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72" yWindow="1188" windowWidth="16668" windowHeight="7080" tabRatio="925" activeTab="1"/>
  </bookViews>
  <sheets>
    <sheet name="Instructions" sheetId="34" r:id="rId1"/>
    <sheet name="Host Side NTC Analysis" sheetId="32" r:id="rId2"/>
    <sheet name="Pack Side NTC Analysis" sheetId="35" r:id="rId3"/>
    <sheet name="NTC" sheetId="33" r:id="rId4"/>
  </sheets>
  <definedNames>
    <definedName name="solver_adj" localSheetId="1" hidden="1">'Host Side NTC Analysis'!$J$2:$J$6,'Host Side NTC Analysis'!$O$3:$O$6</definedName>
    <definedName name="solver_adj" localSheetId="2" hidden="1">'Pack Side NTC Analysis'!$K$3:$K$6</definedName>
    <definedName name="solver_cvg" localSheetId="1" hidden="1">0.0000001</definedName>
    <definedName name="solver_cvg" localSheetId="2" hidden="1">0.0000001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st" localSheetId="1" hidden="1">1</definedName>
    <definedName name="solver_est" localSheetId="2" hidden="1">1</definedName>
    <definedName name="solver_itr" localSheetId="1" hidden="1">9999</definedName>
    <definedName name="solver_itr" localSheetId="2" hidden="1">9999</definedName>
    <definedName name="solver_lhs1" localSheetId="1" hidden="1">'Host Side NTC Analysis'!$C$20</definedName>
    <definedName name="solver_lhs1" localSheetId="2" hidden="1">'Pack Side NTC Analysis'!$F$2</definedName>
    <definedName name="solver_lhs2" localSheetId="1" hidden="1">'Host Side NTC Analysis'!$F$2:$F$3</definedName>
    <definedName name="solver_lhs2" localSheetId="2" hidden="1">'Pack Side NTC Analysis'!$K$3:$K$6</definedName>
    <definedName name="solver_lhs3" localSheetId="1" hidden="1">'Host Side NTC Analysis'!$F$2:$F$3</definedName>
    <definedName name="solver_lhs3" localSheetId="2" hidden="1">'Pack Side NTC Analysis'!$F$2</definedName>
    <definedName name="solver_lhs4" localSheetId="1" hidden="1">'Host Side NTC Analysis'!$J$2:$J$6</definedName>
    <definedName name="solver_lhs4" localSheetId="2" hidden="1">'Pack Side NTC Analysis'!$K$3:$K$6</definedName>
    <definedName name="solver_lhs5" localSheetId="1" hidden="1">'Host Side NTC Analysis'!$J$2:$J$6</definedName>
    <definedName name="solver_lhs5" localSheetId="2" hidden="1">'Pack Side NTC Analysis'!$K$3:$K$6</definedName>
    <definedName name="solver_lhs6" localSheetId="1" hidden="1">'Host Side NTC Analysis'!$O$3:$O$6</definedName>
    <definedName name="solver_lhs6" localSheetId="2" hidden="1">'Pack Side NTC Analysis'!$F$2</definedName>
    <definedName name="solver_lhs7" localSheetId="1" hidden="1">'Host Side NTC Analysis'!$O$3:$O$6</definedName>
    <definedName name="solver_lhs7" localSheetId="2" hidden="1">'Pack Side NTC Analysis'!$F$2:$F$3</definedName>
    <definedName name="solver_lhs8" localSheetId="1" hidden="1">'Host Side NTC Analysis'!$N$29:$P$29</definedName>
    <definedName name="solver_lhs8" localSheetId="2" hidden="1">'Pack Side NTC Analysis'!#REF!</definedName>
    <definedName name="solver_lin" localSheetId="1" hidden="1">2</definedName>
    <definedName name="solver_lin" localSheetId="2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eg" localSheetId="2" hidden="1">2</definedName>
    <definedName name="solver_nod" localSheetId="1" hidden="1">2147483647</definedName>
    <definedName name="solver_num" localSheetId="1" hidden="1">7</definedName>
    <definedName name="solver_num" localSheetId="2" hidden="1">4</definedName>
    <definedName name="solver_nwt" localSheetId="1" hidden="1">1</definedName>
    <definedName name="solver_nwt" localSheetId="2" hidden="1">1</definedName>
    <definedName name="solver_opt" localSheetId="1" hidden="1">'Host Side NTC Analysis'!$M$27</definedName>
    <definedName name="solver_opt" localSheetId="2" hidden="1">'Pack Side NTC Analysis'!$L$28</definedName>
    <definedName name="solver_pre" localSheetId="1" hidden="1">0.0000001</definedName>
    <definedName name="solver_pre" localSheetId="2" hidden="1">0.0000001</definedName>
    <definedName name="solver_rbv" localSheetId="1" hidden="1">1</definedName>
    <definedName name="solver_rel1" localSheetId="1" hidden="1">1</definedName>
    <definedName name="solver_rel1" localSheetId="2" hidden="1">1</definedName>
    <definedName name="solver_rel2" localSheetId="1" hidden="1">3</definedName>
    <definedName name="solver_rel2" localSheetId="2" hidden="1">3</definedName>
    <definedName name="solver_rel3" localSheetId="1" hidden="1">1</definedName>
    <definedName name="solver_rel3" localSheetId="2" hidden="1">3</definedName>
    <definedName name="solver_rel4" localSheetId="1" hidden="1">1</definedName>
    <definedName name="solver_rel4" localSheetId="2" hidden="1">1</definedName>
    <definedName name="solver_rel5" localSheetId="1" hidden="1">3</definedName>
    <definedName name="solver_rel5" localSheetId="2" hidden="1">1</definedName>
    <definedName name="solver_rel6" localSheetId="1" hidden="1">1</definedName>
    <definedName name="solver_rel6" localSheetId="2" hidden="1">3</definedName>
    <definedName name="solver_rel7" localSheetId="1" hidden="1">3</definedName>
    <definedName name="solver_rel7" localSheetId="2" hidden="1">3</definedName>
    <definedName name="solver_rel8" localSheetId="1" hidden="1">1</definedName>
    <definedName name="solver_rel8" localSheetId="2" hidden="1">1</definedName>
    <definedName name="solver_rhs1" localSheetId="1" hidden="1">'Host Side NTC Analysis'!$G$7</definedName>
    <definedName name="solver_rhs1" localSheetId="2" hidden="1">'Pack Side NTC Analysis'!$G$7</definedName>
    <definedName name="solver_rhs2" localSheetId="1" hidden="1">'Host Side NTC Analysis'!$F$7</definedName>
    <definedName name="solver_rhs2" localSheetId="2" hidden="1">'Pack Side NTC Analysis'!$F$7</definedName>
    <definedName name="solver_rhs3" localSheetId="1" hidden="1">'Host Side NTC Analysis'!$G$7</definedName>
    <definedName name="solver_rhs3" localSheetId="2" hidden="1">'Pack Side NTC Analysis'!$F$7</definedName>
    <definedName name="solver_rhs4" localSheetId="1" hidden="1">'Host Side NTC Analysis'!$G$7</definedName>
    <definedName name="solver_rhs4" localSheetId="2" hidden="1">'Pack Side NTC Analysis'!$G$7</definedName>
    <definedName name="solver_rhs5" localSheetId="1" hidden="1">'Host Side NTC Analysis'!$F$7</definedName>
    <definedName name="solver_rhs5" localSheetId="2" hidden="1">'Pack Side NTC Analysis'!$G$7</definedName>
    <definedName name="solver_rhs6" localSheetId="1" hidden="1">'Host Side NTC Analysis'!$G$7</definedName>
    <definedName name="solver_rhs6" localSheetId="2" hidden="1">'Pack Side NTC Analysis'!$F$7</definedName>
    <definedName name="solver_rhs7" localSheetId="1" hidden="1">'Host Side NTC Analysis'!$F$7</definedName>
    <definedName name="solver_rhs7" localSheetId="2" hidden="1">'Pack Side NTC Analysis'!$F$7</definedName>
    <definedName name="solver_rhs8" localSheetId="1" hidden="1">'Host Side NTC Analysis'!$G$7</definedName>
    <definedName name="solver_rhs8" localSheetId="2" hidden="1">'Pack Side NTC Analysis'!$G$7</definedName>
    <definedName name="solver_rlx" localSheetId="1" hidden="1">1</definedName>
    <definedName name="solver_rsd" localSheetId="1" hidden="1">0</definedName>
    <definedName name="solver_scl" localSheetId="1" hidden="1">1</definedName>
    <definedName name="solver_scl" localSheetId="2" hidden="1">1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tim" localSheetId="1" hidden="1">1000</definedName>
    <definedName name="solver_tim" localSheetId="2" hidden="1">1000</definedName>
    <definedName name="solver_tol" localSheetId="1" hidden="1">0.01</definedName>
    <definedName name="solver_tol" localSheetId="2" hidden="1">0.01</definedName>
    <definedName name="solver_typ" localSheetId="1" hidden="1">2</definedName>
    <definedName name="solver_typ" localSheetId="2" hidden="1">2</definedName>
    <definedName name="solver_val" localSheetId="1" hidden="1">0</definedName>
    <definedName name="solver_val" localSheetId="2" hidden="1">0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C31" i="32" l="1"/>
  <c r="D31" i="32" s="1"/>
  <c r="C30" i="32"/>
  <c r="D30" i="32" s="1"/>
  <c r="B12" i="32"/>
  <c r="C39" i="32"/>
  <c r="D39" i="32" s="1"/>
  <c r="C40" i="32"/>
  <c r="D40" i="32" s="1"/>
  <c r="C41" i="32"/>
  <c r="D41" i="32" s="1"/>
  <c r="C42" i="32"/>
  <c r="D42" i="32" s="1"/>
  <c r="C43" i="32"/>
  <c r="D43" i="32" s="1"/>
  <c r="C44" i="32"/>
  <c r="D44" i="32" s="1"/>
  <c r="C45" i="32"/>
  <c r="D45" i="32" s="1"/>
  <c r="C46" i="32"/>
  <c r="D46" i="32" s="1"/>
  <c r="C47" i="32"/>
  <c r="D47" i="32" s="1"/>
  <c r="C48" i="32"/>
  <c r="D48" i="32" s="1"/>
  <c r="C49" i="32"/>
  <c r="D49" i="32" s="1"/>
  <c r="C50" i="32"/>
  <c r="D50" i="32" s="1"/>
  <c r="C51" i="32"/>
  <c r="D51" i="32" s="1"/>
  <c r="C52" i="32"/>
  <c r="D52" i="32" s="1"/>
  <c r="C53" i="32"/>
  <c r="D53" i="32" s="1"/>
  <c r="C54" i="32"/>
  <c r="D54" i="32" s="1"/>
  <c r="C38" i="32"/>
  <c r="D38" i="32" s="1"/>
  <c r="C37" i="32"/>
  <c r="D37" i="32" s="1"/>
  <c r="C36" i="32"/>
  <c r="D36" i="32" s="1"/>
  <c r="E3" i="33" l="1"/>
  <c r="E4" i="33"/>
  <c r="E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2" i="33"/>
  <c r="P6" i="32"/>
  <c r="Q6" i="32" s="1"/>
  <c r="P5" i="32"/>
  <c r="Q5" i="32" s="1"/>
  <c r="P4" i="32"/>
  <c r="Q4" i="32" s="1"/>
  <c r="P3" i="32"/>
  <c r="Q3" i="32" s="1"/>
  <c r="K6" i="32"/>
  <c r="L6" i="32" s="1"/>
  <c r="K5" i="32"/>
  <c r="L5" i="32" s="1"/>
  <c r="K4" i="32"/>
  <c r="L4" i="32" s="1"/>
  <c r="K3" i="32"/>
  <c r="L3" i="32" s="1"/>
  <c r="K2" i="32"/>
  <c r="L2" i="32" s="1"/>
  <c r="C159" i="35" l="1"/>
  <c r="C160" i="35"/>
  <c r="C161" i="35"/>
  <c r="C162" i="35"/>
  <c r="C163" i="35"/>
  <c r="C164" i="35"/>
  <c r="C165" i="35"/>
  <c r="C166" i="35"/>
  <c r="C167" i="35"/>
  <c r="C168" i="35"/>
  <c r="C169" i="35"/>
  <c r="C170" i="35"/>
  <c r="C137" i="35"/>
  <c r="C138" i="35"/>
  <c r="C139" i="35"/>
  <c r="C140" i="35"/>
  <c r="C141" i="35"/>
  <c r="C142" i="35"/>
  <c r="C143" i="35"/>
  <c r="C144" i="35"/>
  <c r="C145" i="35"/>
  <c r="C146" i="35"/>
  <c r="C147" i="35"/>
  <c r="C148" i="35"/>
  <c r="C149" i="35"/>
  <c r="C150" i="35"/>
  <c r="C151" i="35"/>
  <c r="C152" i="35"/>
  <c r="C153" i="35"/>
  <c r="C154" i="35"/>
  <c r="C155" i="35"/>
  <c r="C156" i="35"/>
  <c r="C157" i="35"/>
  <c r="C158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49" i="35"/>
  <c r="D49" i="35"/>
  <c r="D158" i="35"/>
  <c r="D159" i="35"/>
  <c r="D160" i="35"/>
  <c r="D161" i="35"/>
  <c r="D162" i="35"/>
  <c r="D163" i="35"/>
  <c r="D164" i="35"/>
  <c r="D165" i="35"/>
  <c r="D166" i="35"/>
  <c r="D167" i="35"/>
  <c r="D168" i="35"/>
  <c r="D169" i="35"/>
  <c r="D170" i="35"/>
  <c r="D157" i="35" l="1"/>
  <c r="D136" i="35"/>
  <c r="D137" i="35"/>
  <c r="D138" i="35"/>
  <c r="D139" i="35"/>
  <c r="D140" i="35"/>
  <c r="D141" i="35"/>
  <c r="D142" i="35"/>
  <c r="D143" i="35"/>
  <c r="D144" i="35"/>
  <c r="D145" i="35"/>
  <c r="D146" i="35"/>
  <c r="D147" i="35"/>
  <c r="D148" i="35"/>
  <c r="D149" i="35"/>
  <c r="D150" i="35"/>
  <c r="D151" i="35"/>
  <c r="D152" i="35"/>
  <c r="D153" i="35"/>
  <c r="D154" i="35"/>
  <c r="D155" i="35"/>
  <c r="D156" i="35"/>
  <c r="D117" i="35"/>
  <c r="D118" i="35"/>
  <c r="D119" i="35"/>
  <c r="D120" i="35"/>
  <c r="D121" i="35"/>
  <c r="D122" i="35"/>
  <c r="D123" i="35"/>
  <c r="D124" i="35"/>
  <c r="D125" i="35"/>
  <c r="D126" i="35"/>
  <c r="D127" i="35"/>
  <c r="D128" i="35"/>
  <c r="D129" i="35"/>
  <c r="D130" i="35"/>
  <c r="D131" i="35"/>
  <c r="D132" i="35"/>
  <c r="D133" i="35"/>
  <c r="D134" i="35"/>
  <c r="D135" i="35"/>
  <c r="D96" i="35"/>
  <c r="D97" i="35"/>
  <c r="D98" i="35"/>
  <c r="D99" i="35"/>
  <c r="D100" i="35"/>
  <c r="D101" i="35"/>
  <c r="D102" i="35"/>
  <c r="D103" i="35"/>
  <c r="D104" i="35"/>
  <c r="D105" i="35"/>
  <c r="D106" i="35"/>
  <c r="D107" i="35"/>
  <c r="D108" i="35"/>
  <c r="D109" i="35"/>
  <c r="D110" i="35"/>
  <c r="D111" i="35"/>
  <c r="D112" i="35"/>
  <c r="D113" i="35"/>
  <c r="D114" i="35"/>
  <c r="D115" i="35"/>
  <c r="D116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D9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50" i="35"/>
  <c r="D51" i="35"/>
  <c r="D52" i="35"/>
  <c r="D53" i="35"/>
  <c r="D54" i="35"/>
  <c r="D55" i="35"/>
  <c r="L3" i="35"/>
  <c r="L4" i="35"/>
  <c r="M4" i="35" s="1"/>
  <c r="L5" i="35"/>
  <c r="M5" i="35" s="1"/>
  <c r="L6" i="35"/>
  <c r="M6" i="35" s="1"/>
  <c r="B16" i="35"/>
  <c r="B15" i="35"/>
  <c r="B14" i="35"/>
  <c r="B13" i="35"/>
  <c r="G7" i="35"/>
  <c r="F7" i="35"/>
  <c r="E158" i="35" l="1"/>
  <c r="E160" i="35"/>
  <c r="E162" i="35"/>
  <c r="E164" i="35"/>
  <c r="E166" i="35"/>
  <c r="E168" i="35"/>
  <c r="E170" i="35"/>
  <c r="E167" i="35"/>
  <c r="E169" i="35"/>
  <c r="E49" i="35"/>
  <c r="E159" i="35"/>
  <c r="E161" i="35"/>
  <c r="E163" i="35"/>
  <c r="E165" i="35"/>
  <c r="M3" i="35"/>
  <c r="E58" i="35"/>
  <c r="E56" i="35"/>
  <c r="E54" i="35"/>
  <c r="E52" i="35"/>
  <c r="E50" i="35"/>
  <c r="E80" i="35"/>
  <c r="E78" i="35"/>
  <c r="E76" i="35"/>
  <c r="E74" i="35"/>
  <c r="E72" i="35"/>
  <c r="E70" i="35"/>
  <c r="F70" i="35" s="1"/>
  <c r="E68" i="35"/>
  <c r="E66" i="35"/>
  <c r="E64" i="35"/>
  <c r="E62" i="35"/>
  <c r="E60" i="35"/>
  <c r="E106" i="35"/>
  <c r="E104" i="35"/>
  <c r="E102" i="35"/>
  <c r="E100" i="35"/>
  <c r="E98" i="35"/>
  <c r="E96" i="35"/>
  <c r="E94" i="35"/>
  <c r="E92" i="35"/>
  <c r="E90" i="35"/>
  <c r="E88" i="35"/>
  <c r="E86" i="35"/>
  <c r="E84" i="35"/>
  <c r="E82" i="35"/>
  <c r="E136" i="35"/>
  <c r="E134" i="35"/>
  <c r="E132" i="35"/>
  <c r="E130" i="35"/>
  <c r="E128" i="35"/>
  <c r="E126" i="35"/>
  <c r="F126" i="35" s="1"/>
  <c r="E124" i="35"/>
  <c r="E122" i="35"/>
  <c r="E120" i="35"/>
  <c r="E118" i="35"/>
  <c r="E116" i="35"/>
  <c r="E114" i="35"/>
  <c r="E112" i="35"/>
  <c r="E110" i="35"/>
  <c r="E108" i="35"/>
  <c r="E157" i="35"/>
  <c r="E155" i="35"/>
  <c r="E153" i="35"/>
  <c r="E151" i="35"/>
  <c r="E149" i="35"/>
  <c r="E147" i="35"/>
  <c r="E145" i="35"/>
  <c r="E143" i="35"/>
  <c r="E141" i="35"/>
  <c r="E139" i="35"/>
  <c r="E137" i="35"/>
  <c r="E57" i="35"/>
  <c r="E55" i="35"/>
  <c r="E53" i="35"/>
  <c r="E51" i="35"/>
  <c r="E79" i="35"/>
  <c r="E77" i="35"/>
  <c r="E75" i="35"/>
  <c r="E73" i="35"/>
  <c r="E71" i="35"/>
  <c r="E69" i="35"/>
  <c r="E67" i="35"/>
  <c r="E65" i="35"/>
  <c r="F65" i="35" s="1"/>
  <c r="E63" i="35"/>
  <c r="E61" i="35"/>
  <c r="E59" i="35"/>
  <c r="E105" i="35"/>
  <c r="E103" i="35"/>
  <c r="E101" i="35"/>
  <c r="E99" i="35"/>
  <c r="E97" i="35"/>
  <c r="E95" i="35"/>
  <c r="E93" i="35"/>
  <c r="E91" i="35"/>
  <c r="E89" i="35"/>
  <c r="F89" i="35" s="1"/>
  <c r="E87" i="35"/>
  <c r="E85" i="35"/>
  <c r="E83" i="35"/>
  <c r="E81" i="35"/>
  <c r="E135" i="35"/>
  <c r="E133" i="35"/>
  <c r="E131" i="35"/>
  <c r="E129" i="35"/>
  <c r="E127" i="35"/>
  <c r="E125" i="35"/>
  <c r="E123" i="35"/>
  <c r="E121" i="35"/>
  <c r="E119" i="35"/>
  <c r="E117" i="35"/>
  <c r="E115" i="35"/>
  <c r="E113" i="35"/>
  <c r="E111" i="35"/>
  <c r="E109" i="35"/>
  <c r="E107" i="35"/>
  <c r="E156" i="35"/>
  <c r="E154" i="35"/>
  <c r="E152" i="35"/>
  <c r="E150" i="35"/>
  <c r="E148" i="35"/>
  <c r="E146" i="35"/>
  <c r="E144" i="35"/>
  <c r="E142" i="35"/>
  <c r="E140" i="35"/>
  <c r="E138" i="35"/>
  <c r="F50" i="35"/>
  <c r="F85" i="35"/>
  <c r="F107" i="35"/>
  <c r="F103" i="35"/>
  <c r="F99" i="35"/>
  <c r="F95" i="35"/>
  <c r="F91" i="35"/>
  <c r="F56" i="35"/>
  <c r="F52" i="35"/>
  <c r="F83" i="35"/>
  <c r="F79" i="35"/>
  <c r="F75" i="35"/>
  <c r="F71" i="35"/>
  <c r="F67" i="35"/>
  <c r="F63" i="35"/>
  <c r="F59" i="35"/>
  <c r="F105" i="35"/>
  <c r="F57" i="35"/>
  <c r="F55" i="35"/>
  <c r="F53" i="35"/>
  <c r="F84" i="35"/>
  <c r="F82" i="35"/>
  <c r="F80" i="35"/>
  <c r="F76" i="35"/>
  <c r="F74" i="35"/>
  <c r="F72" i="35"/>
  <c r="F68" i="35"/>
  <c r="F66" i="35"/>
  <c r="F64" i="35"/>
  <c r="F60" i="35"/>
  <c r="F58" i="35"/>
  <c r="F110" i="35"/>
  <c r="F108" i="35"/>
  <c r="F106" i="35"/>
  <c r="F104" i="35"/>
  <c r="F102" i="35"/>
  <c r="F100" i="35"/>
  <c r="F98" i="35"/>
  <c r="F96" i="35"/>
  <c r="F94" i="35"/>
  <c r="F92" i="35"/>
  <c r="F90" i="35"/>
  <c r="F88" i="35"/>
  <c r="F86" i="35"/>
  <c r="F146" i="35"/>
  <c r="F142" i="35"/>
  <c r="F138" i="35"/>
  <c r="F136" i="35"/>
  <c r="F132" i="35"/>
  <c r="F130" i="35"/>
  <c r="F128" i="35"/>
  <c r="F124" i="35"/>
  <c r="F122" i="35"/>
  <c r="F120" i="35"/>
  <c r="F116" i="35"/>
  <c r="F114" i="35"/>
  <c r="F112" i="35"/>
  <c r="F154" i="35"/>
  <c r="F152" i="35"/>
  <c r="F150" i="35"/>
  <c r="F87" i="35"/>
  <c r="F149" i="35"/>
  <c r="F147" i="35"/>
  <c r="F141" i="35"/>
  <c r="F139" i="35"/>
  <c r="F137" i="35"/>
  <c r="F135" i="35"/>
  <c r="F133" i="35"/>
  <c r="F131" i="35"/>
  <c r="F129" i="35"/>
  <c r="F127" i="35"/>
  <c r="F125" i="35"/>
  <c r="F123" i="35"/>
  <c r="F121" i="35"/>
  <c r="F119" i="35"/>
  <c r="F117" i="35"/>
  <c r="F115" i="35"/>
  <c r="F113" i="35"/>
  <c r="F157" i="35"/>
  <c r="F155" i="35"/>
  <c r="F151" i="35"/>
  <c r="C32" i="32"/>
  <c r="D32" i="32" s="1"/>
  <c r="C33" i="32"/>
  <c r="D33" i="32" s="1"/>
  <c r="C34" i="32"/>
  <c r="D34" i="32" s="1"/>
  <c r="C35" i="32"/>
  <c r="D35" i="32" s="1"/>
  <c r="C29" i="32"/>
  <c r="D29" i="32" s="1"/>
  <c r="B15" i="32"/>
  <c r="B14" i="32"/>
  <c r="B13" i="32"/>
  <c r="G7" i="32"/>
  <c r="F7" i="32"/>
  <c r="E31" i="32" l="1"/>
  <c r="E30" i="32"/>
  <c r="E53" i="32"/>
  <c r="E49" i="32"/>
  <c r="E45" i="32"/>
  <c r="E41" i="32"/>
  <c r="E38" i="32"/>
  <c r="E37" i="32"/>
  <c r="E50" i="32"/>
  <c r="E52" i="32"/>
  <c r="E48" i="32"/>
  <c r="E44" i="32"/>
  <c r="E40" i="32"/>
  <c r="E36" i="32"/>
  <c r="E51" i="32"/>
  <c r="E47" i="32"/>
  <c r="E43" i="32"/>
  <c r="E39" i="32"/>
  <c r="E54" i="32"/>
  <c r="E46" i="32"/>
  <c r="E42" i="32"/>
  <c r="N113" i="35"/>
  <c r="G113" i="35"/>
  <c r="N105" i="35"/>
  <c r="G105" i="35"/>
  <c r="N86" i="35"/>
  <c r="G86" i="35"/>
  <c r="F54" i="35"/>
  <c r="N54" i="35" s="1"/>
  <c r="O54" i="35" s="1"/>
  <c r="P54" i="35" s="1"/>
  <c r="Q54" i="35" s="1"/>
  <c r="R54" i="35" s="1"/>
  <c r="S54" i="35" s="1"/>
  <c r="N152" i="35"/>
  <c r="G152" i="35"/>
  <c r="N117" i="35"/>
  <c r="G117" i="35"/>
  <c r="N125" i="35"/>
  <c r="G125" i="35"/>
  <c r="N133" i="35"/>
  <c r="G133" i="35"/>
  <c r="N85" i="35"/>
  <c r="G85" i="35"/>
  <c r="N55" i="35"/>
  <c r="G55" i="35"/>
  <c r="N141" i="35"/>
  <c r="G141" i="35"/>
  <c r="N149" i="35"/>
  <c r="G149" i="35"/>
  <c r="N157" i="35"/>
  <c r="G157" i="35"/>
  <c r="N114" i="35"/>
  <c r="G114" i="35"/>
  <c r="N122" i="35"/>
  <c r="G122" i="35"/>
  <c r="N130" i="35"/>
  <c r="G130" i="35"/>
  <c r="N82" i="35"/>
  <c r="G82" i="35"/>
  <c r="N90" i="35"/>
  <c r="G90" i="35"/>
  <c r="N98" i="35"/>
  <c r="G98" i="35"/>
  <c r="N106" i="35"/>
  <c r="G106" i="35"/>
  <c r="N66" i="35"/>
  <c r="G66" i="35"/>
  <c r="N74" i="35"/>
  <c r="G74" i="35"/>
  <c r="N50" i="35"/>
  <c r="G50" i="35"/>
  <c r="N58" i="35"/>
  <c r="G58" i="35"/>
  <c r="N129" i="35"/>
  <c r="G129" i="35"/>
  <c r="N110" i="35"/>
  <c r="G110" i="35"/>
  <c r="G134" i="35"/>
  <c r="N102" i="35"/>
  <c r="G102" i="35"/>
  <c r="F145" i="35"/>
  <c r="N145" i="35" s="1"/>
  <c r="O145" i="35" s="1"/>
  <c r="P145" i="35" s="1"/>
  <c r="Q145" i="35" s="1"/>
  <c r="R145" i="35" s="1"/>
  <c r="S145" i="35" s="1"/>
  <c r="F156" i="35"/>
  <c r="G156" i="35" s="1"/>
  <c r="H156" i="35" s="1"/>
  <c r="F118" i="35"/>
  <c r="N118" i="35" s="1"/>
  <c r="O118" i="35" s="1"/>
  <c r="P118" i="35" s="1"/>
  <c r="Q118" i="35" s="1"/>
  <c r="R118" i="35" s="1"/>
  <c r="S118" i="35" s="1"/>
  <c r="F134" i="35"/>
  <c r="N134" i="35" s="1"/>
  <c r="O134" i="35" s="1"/>
  <c r="P134" i="35" s="1"/>
  <c r="Q134" i="35" s="1"/>
  <c r="R134" i="35" s="1"/>
  <c r="S134" i="35" s="1"/>
  <c r="F62" i="35"/>
  <c r="N62" i="35" s="1"/>
  <c r="O62" i="35" s="1"/>
  <c r="P62" i="35" s="1"/>
  <c r="Q62" i="35" s="1"/>
  <c r="R62" i="35" s="1"/>
  <c r="S62" i="35" s="1"/>
  <c r="F78" i="35"/>
  <c r="N78" i="35" s="1"/>
  <c r="O78" i="35" s="1"/>
  <c r="P78" i="35" s="1"/>
  <c r="Q78" i="35" s="1"/>
  <c r="R78" i="35" s="1"/>
  <c r="S78" i="35" s="1"/>
  <c r="F51" i="35"/>
  <c r="N51" i="35" s="1"/>
  <c r="O51" i="35" s="1"/>
  <c r="P51" i="35" s="1"/>
  <c r="Q51" i="35" s="1"/>
  <c r="R51" i="35" s="1"/>
  <c r="S51" i="35" s="1"/>
  <c r="F97" i="35"/>
  <c r="G97" i="35" s="1"/>
  <c r="H97" i="35" s="1"/>
  <c r="N138" i="35"/>
  <c r="G138" i="35"/>
  <c r="N146" i="35"/>
  <c r="G146" i="35"/>
  <c r="N154" i="35"/>
  <c r="G154" i="35"/>
  <c r="N119" i="35"/>
  <c r="G119" i="35"/>
  <c r="N127" i="35"/>
  <c r="G127" i="35"/>
  <c r="N135" i="35"/>
  <c r="G135" i="35"/>
  <c r="N87" i="35"/>
  <c r="G87" i="35"/>
  <c r="N95" i="35"/>
  <c r="G95" i="35"/>
  <c r="N103" i="35"/>
  <c r="G103" i="35"/>
  <c r="N63" i="35"/>
  <c r="G63" i="35"/>
  <c r="N71" i="35"/>
  <c r="G71" i="35"/>
  <c r="N79" i="35"/>
  <c r="G79" i="35"/>
  <c r="N57" i="35"/>
  <c r="G57" i="35"/>
  <c r="N151" i="35"/>
  <c r="G151" i="35"/>
  <c r="N108" i="35"/>
  <c r="G108" i="35"/>
  <c r="N116" i="35"/>
  <c r="G116" i="35"/>
  <c r="N124" i="35"/>
  <c r="G124" i="35"/>
  <c r="N132" i="35"/>
  <c r="G132" i="35"/>
  <c r="N84" i="35"/>
  <c r="G84" i="35"/>
  <c r="N92" i="35"/>
  <c r="G92" i="35"/>
  <c r="N100" i="35"/>
  <c r="G100" i="35"/>
  <c r="N60" i="35"/>
  <c r="G60" i="35"/>
  <c r="N68" i="35"/>
  <c r="G68" i="35"/>
  <c r="N76" i="35"/>
  <c r="G76" i="35"/>
  <c r="N52" i="35"/>
  <c r="G52" i="35"/>
  <c r="N121" i="35"/>
  <c r="G121" i="35"/>
  <c r="N89" i="35"/>
  <c r="G89" i="35"/>
  <c r="N65" i="35"/>
  <c r="G65" i="35"/>
  <c r="N137" i="35"/>
  <c r="G137" i="35"/>
  <c r="N126" i="35"/>
  <c r="G126" i="35"/>
  <c r="N94" i="35"/>
  <c r="G94" i="35"/>
  <c r="N70" i="35"/>
  <c r="G70" i="35"/>
  <c r="F153" i="35"/>
  <c r="G153" i="35" s="1"/>
  <c r="H153" i="35" s="1"/>
  <c r="N142" i="35"/>
  <c r="G142" i="35"/>
  <c r="N150" i="35"/>
  <c r="G150" i="35"/>
  <c r="N107" i="35"/>
  <c r="G107" i="35"/>
  <c r="N115" i="35"/>
  <c r="G115" i="35"/>
  <c r="N123" i="35"/>
  <c r="G123" i="35"/>
  <c r="N131" i="35"/>
  <c r="G131" i="35"/>
  <c r="N83" i="35"/>
  <c r="G83" i="35"/>
  <c r="N91" i="35"/>
  <c r="G91" i="35"/>
  <c r="N99" i="35"/>
  <c r="G99" i="35"/>
  <c r="N59" i="35"/>
  <c r="G59" i="35"/>
  <c r="N67" i="35"/>
  <c r="G67" i="35"/>
  <c r="N75" i="35"/>
  <c r="G75" i="35"/>
  <c r="G53" i="35"/>
  <c r="N53" i="35"/>
  <c r="N139" i="35"/>
  <c r="G139" i="35"/>
  <c r="N147" i="35"/>
  <c r="G147" i="35"/>
  <c r="N155" i="35"/>
  <c r="G155" i="35"/>
  <c r="N112" i="35"/>
  <c r="G112" i="35"/>
  <c r="N120" i="35"/>
  <c r="G120" i="35"/>
  <c r="N128" i="35"/>
  <c r="G128" i="35"/>
  <c r="N136" i="35"/>
  <c r="G136" i="35"/>
  <c r="N88" i="35"/>
  <c r="G88" i="35"/>
  <c r="N96" i="35"/>
  <c r="G96" i="35"/>
  <c r="N104" i="35"/>
  <c r="G104" i="35"/>
  <c r="N64" i="35"/>
  <c r="G64" i="35"/>
  <c r="N72" i="35"/>
  <c r="G72" i="35"/>
  <c r="N80" i="35"/>
  <c r="G80" i="35"/>
  <c r="N56" i="35"/>
  <c r="G56" i="35"/>
  <c r="E29" i="32"/>
  <c r="B18" i="35"/>
  <c r="M138" i="35"/>
  <c r="O138" i="35"/>
  <c r="P138" i="35" s="1"/>
  <c r="Q138" i="35" s="1"/>
  <c r="R138" i="35" s="1"/>
  <c r="S138" i="35" s="1"/>
  <c r="M142" i="35"/>
  <c r="O142" i="35"/>
  <c r="P142" i="35" s="1"/>
  <c r="Q142" i="35" s="1"/>
  <c r="R142" i="35" s="1"/>
  <c r="S142" i="35" s="1"/>
  <c r="M146" i="35"/>
  <c r="O146" i="35"/>
  <c r="P146" i="35" s="1"/>
  <c r="Q146" i="35" s="1"/>
  <c r="R146" i="35" s="1"/>
  <c r="S146" i="35" s="1"/>
  <c r="M150" i="35"/>
  <c r="O150" i="35"/>
  <c r="P150" i="35" s="1"/>
  <c r="Q150" i="35" s="1"/>
  <c r="R150" i="35" s="1"/>
  <c r="S150" i="35" s="1"/>
  <c r="M154" i="35"/>
  <c r="O154" i="35"/>
  <c r="P154" i="35" s="1"/>
  <c r="Q154" i="35" s="1"/>
  <c r="R154" i="35" s="1"/>
  <c r="S154" i="35" s="1"/>
  <c r="M107" i="35"/>
  <c r="O107" i="35"/>
  <c r="P107" i="35" s="1"/>
  <c r="Q107" i="35" s="1"/>
  <c r="R107" i="35" s="1"/>
  <c r="S107" i="35" s="1"/>
  <c r="M111" i="35"/>
  <c r="M115" i="35"/>
  <c r="O115" i="35"/>
  <c r="P115" i="35" s="1"/>
  <c r="Q115" i="35" s="1"/>
  <c r="R115" i="35" s="1"/>
  <c r="S115" i="35" s="1"/>
  <c r="M119" i="35"/>
  <c r="O119" i="35"/>
  <c r="P119" i="35" s="1"/>
  <c r="Q119" i="35" s="1"/>
  <c r="R119" i="35" s="1"/>
  <c r="S119" i="35" s="1"/>
  <c r="M123" i="35"/>
  <c r="O123" i="35"/>
  <c r="P123" i="35" s="1"/>
  <c r="Q123" i="35" s="1"/>
  <c r="R123" i="35" s="1"/>
  <c r="S123" i="35" s="1"/>
  <c r="M127" i="35"/>
  <c r="O127" i="35"/>
  <c r="P127" i="35" s="1"/>
  <c r="Q127" i="35" s="1"/>
  <c r="R127" i="35" s="1"/>
  <c r="S127" i="35" s="1"/>
  <c r="M131" i="35"/>
  <c r="O131" i="35"/>
  <c r="P131" i="35" s="1"/>
  <c r="Q131" i="35" s="1"/>
  <c r="R131" i="35" s="1"/>
  <c r="S131" i="35" s="1"/>
  <c r="M135" i="35"/>
  <c r="O135" i="35"/>
  <c r="P135" i="35" s="1"/>
  <c r="Q135" i="35" s="1"/>
  <c r="R135" i="35" s="1"/>
  <c r="S135" i="35" s="1"/>
  <c r="M83" i="35"/>
  <c r="O83" i="35"/>
  <c r="P83" i="35" s="1"/>
  <c r="Q83" i="35" s="1"/>
  <c r="R83" i="35" s="1"/>
  <c r="S83" i="35" s="1"/>
  <c r="M87" i="35"/>
  <c r="O87" i="35"/>
  <c r="P87" i="35" s="1"/>
  <c r="Q87" i="35" s="1"/>
  <c r="R87" i="35" s="1"/>
  <c r="S87" i="35" s="1"/>
  <c r="M91" i="35"/>
  <c r="O91" i="35"/>
  <c r="P91" i="35" s="1"/>
  <c r="Q91" i="35" s="1"/>
  <c r="R91" i="35" s="1"/>
  <c r="S91" i="35" s="1"/>
  <c r="M95" i="35"/>
  <c r="O95" i="35"/>
  <c r="P95" i="35" s="1"/>
  <c r="Q95" i="35" s="1"/>
  <c r="R95" i="35" s="1"/>
  <c r="S95" i="35" s="1"/>
  <c r="M99" i="35"/>
  <c r="O99" i="35"/>
  <c r="P99" i="35" s="1"/>
  <c r="Q99" i="35" s="1"/>
  <c r="R99" i="35" s="1"/>
  <c r="S99" i="35" s="1"/>
  <c r="M103" i="35"/>
  <c r="O103" i="35"/>
  <c r="P103" i="35" s="1"/>
  <c r="Q103" i="35" s="1"/>
  <c r="R103" i="35" s="1"/>
  <c r="S103" i="35" s="1"/>
  <c r="M59" i="35"/>
  <c r="O59" i="35"/>
  <c r="P59" i="35" s="1"/>
  <c r="Q59" i="35" s="1"/>
  <c r="R59" i="35" s="1"/>
  <c r="S59" i="35" s="1"/>
  <c r="M63" i="35"/>
  <c r="O63" i="35"/>
  <c r="P63" i="35" s="1"/>
  <c r="Q63" i="35" s="1"/>
  <c r="R63" i="35" s="1"/>
  <c r="S63" i="35" s="1"/>
  <c r="M67" i="35"/>
  <c r="O67" i="35"/>
  <c r="P67" i="35" s="1"/>
  <c r="Q67" i="35" s="1"/>
  <c r="R67" i="35" s="1"/>
  <c r="S67" i="35" s="1"/>
  <c r="M71" i="35"/>
  <c r="O71" i="35"/>
  <c r="P71" i="35" s="1"/>
  <c r="Q71" i="35" s="1"/>
  <c r="R71" i="35" s="1"/>
  <c r="M75" i="35"/>
  <c r="O75" i="35"/>
  <c r="P75" i="35" s="1"/>
  <c r="Q75" i="35" s="1"/>
  <c r="R75" i="35" s="1"/>
  <c r="S75" i="35" s="1"/>
  <c r="M79" i="35"/>
  <c r="O79" i="35"/>
  <c r="P79" i="35" s="1"/>
  <c r="Q79" i="35" s="1"/>
  <c r="R79" i="35" s="1"/>
  <c r="S79" i="35" s="1"/>
  <c r="M53" i="35"/>
  <c r="O53" i="35"/>
  <c r="P53" i="35" s="1"/>
  <c r="Q53" i="35" s="1"/>
  <c r="R53" i="35" s="1"/>
  <c r="S53" i="35" s="1"/>
  <c r="M57" i="35"/>
  <c r="O57" i="35"/>
  <c r="P57" i="35" s="1"/>
  <c r="Q57" i="35" s="1"/>
  <c r="R57" i="35" s="1"/>
  <c r="S57" i="35" s="1"/>
  <c r="M139" i="35"/>
  <c r="O139" i="35"/>
  <c r="P139" i="35" s="1"/>
  <c r="Q139" i="35" s="1"/>
  <c r="R139" i="35" s="1"/>
  <c r="S139" i="35" s="1"/>
  <c r="M143" i="35"/>
  <c r="M147" i="35"/>
  <c r="O147" i="35"/>
  <c r="P147" i="35" s="1"/>
  <c r="Q147" i="35" s="1"/>
  <c r="R147" i="35" s="1"/>
  <c r="S147" i="35" s="1"/>
  <c r="M151" i="35"/>
  <c r="O151" i="35"/>
  <c r="P151" i="35" s="1"/>
  <c r="Q151" i="35" s="1"/>
  <c r="R151" i="35" s="1"/>
  <c r="S151" i="35" s="1"/>
  <c r="M155" i="35"/>
  <c r="O155" i="35"/>
  <c r="P155" i="35" s="1"/>
  <c r="Q155" i="35" s="1"/>
  <c r="R155" i="35" s="1"/>
  <c r="S155" i="35" s="1"/>
  <c r="M108" i="35"/>
  <c r="O108" i="35"/>
  <c r="P108" i="35" s="1"/>
  <c r="Q108" i="35" s="1"/>
  <c r="R108" i="35" s="1"/>
  <c r="S108" i="35" s="1"/>
  <c r="M112" i="35"/>
  <c r="O112" i="35"/>
  <c r="P112" i="35" s="1"/>
  <c r="Q112" i="35" s="1"/>
  <c r="R112" i="35" s="1"/>
  <c r="S112" i="35" s="1"/>
  <c r="M116" i="35"/>
  <c r="O116" i="35"/>
  <c r="P116" i="35" s="1"/>
  <c r="Q116" i="35" s="1"/>
  <c r="R116" i="35" s="1"/>
  <c r="S116" i="35" s="1"/>
  <c r="M120" i="35"/>
  <c r="O120" i="35"/>
  <c r="P120" i="35" s="1"/>
  <c r="Q120" i="35" s="1"/>
  <c r="R120" i="35" s="1"/>
  <c r="S120" i="35" s="1"/>
  <c r="M124" i="35"/>
  <c r="O124" i="35"/>
  <c r="P124" i="35" s="1"/>
  <c r="Q124" i="35" s="1"/>
  <c r="R124" i="35" s="1"/>
  <c r="S124" i="35" s="1"/>
  <c r="M128" i="35"/>
  <c r="O128" i="35"/>
  <c r="P128" i="35" s="1"/>
  <c r="Q128" i="35" s="1"/>
  <c r="R128" i="35" s="1"/>
  <c r="S128" i="35" s="1"/>
  <c r="M132" i="35"/>
  <c r="O132" i="35"/>
  <c r="P132" i="35" s="1"/>
  <c r="Q132" i="35" s="1"/>
  <c r="R132" i="35" s="1"/>
  <c r="S132" i="35" s="1"/>
  <c r="M136" i="35"/>
  <c r="O136" i="35"/>
  <c r="P136" i="35" s="1"/>
  <c r="Q136" i="35" s="1"/>
  <c r="R136" i="35" s="1"/>
  <c r="S136" i="35" s="1"/>
  <c r="M84" i="35"/>
  <c r="O84" i="35"/>
  <c r="P84" i="35" s="1"/>
  <c r="Q84" i="35" s="1"/>
  <c r="R84" i="35" s="1"/>
  <c r="S84" i="35" s="1"/>
  <c r="M88" i="35"/>
  <c r="O88" i="35"/>
  <c r="P88" i="35" s="1"/>
  <c r="Q88" i="35" s="1"/>
  <c r="R88" i="35" s="1"/>
  <c r="S88" i="35" s="1"/>
  <c r="M92" i="35"/>
  <c r="O92" i="35"/>
  <c r="P92" i="35" s="1"/>
  <c r="Q92" i="35" s="1"/>
  <c r="R92" i="35" s="1"/>
  <c r="S92" i="35" s="1"/>
  <c r="M96" i="35"/>
  <c r="O96" i="35"/>
  <c r="P96" i="35" s="1"/>
  <c r="Q96" i="35" s="1"/>
  <c r="R96" i="35" s="1"/>
  <c r="S96" i="35" s="1"/>
  <c r="M100" i="35"/>
  <c r="O100" i="35"/>
  <c r="P100" i="35" s="1"/>
  <c r="Q100" i="35" s="1"/>
  <c r="R100" i="35" s="1"/>
  <c r="S100" i="35" s="1"/>
  <c r="M104" i="35"/>
  <c r="O104" i="35"/>
  <c r="P104" i="35" s="1"/>
  <c r="Q104" i="35" s="1"/>
  <c r="R104" i="35" s="1"/>
  <c r="S104" i="35" s="1"/>
  <c r="M60" i="35"/>
  <c r="O60" i="35"/>
  <c r="P60" i="35" s="1"/>
  <c r="Q60" i="35" s="1"/>
  <c r="R60" i="35" s="1"/>
  <c r="S60" i="35" s="1"/>
  <c r="M64" i="35"/>
  <c r="O64" i="35"/>
  <c r="P64" i="35" s="1"/>
  <c r="Q64" i="35" s="1"/>
  <c r="R64" i="35" s="1"/>
  <c r="S64" i="35" s="1"/>
  <c r="M68" i="35"/>
  <c r="O68" i="35"/>
  <c r="P68" i="35" s="1"/>
  <c r="Q68" i="35" s="1"/>
  <c r="R68" i="35" s="1"/>
  <c r="S68" i="35" s="1"/>
  <c r="M72" i="35"/>
  <c r="O72" i="35"/>
  <c r="P72" i="35" s="1"/>
  <c r="Q72" i="35" s="1"/>
  <c r="R72" i="35" s="1"/>
  <c r="S72" i="35" s="1"/>
  <c r="M76" i="35"/>
  <c r="O76" i="35"/>
  <c r="P76" i="35" s="1"/>
  <c r="Q76" i="35" s="1"/>
  <c r="R76" i="35" s="1"/>
  <c r="S76" i="35" s="1"/>
  <c r="M80" i="35"/>
  <c r="O80" i="35"/>
  <c r="P80" i="35" s="1"/>
  <c r="Q80" i="35" s="1"/>
  <c r="R80" i="35" s="1"/>
  <c r="S80" i="35" s="1"/>
  <c r="M52" i="35"/>
  <c r="O52" i="35"/>
  <c r="P52" i="35" s="1"/>
  <c r="Q52" i="35" s="1"/>
  <c r="R52" i="35" s="1"/>
  <c r="S52" i="35" s="1"/>
  <c r="M56" i="35"/>
  <c r="O56" i="35"/>
  <c r="P56" i="35" s="1"/>
  <c r="Q56" i="35" s="1"/>
  <c r="R56" i="35" s="1"/>
  <c r="S56" i="35" s="1"/>
  <c r="M163" i="35"/>
  <c r="M159" i="35"/>
  <c r="M169" i="35"/>
  <c r="M170" i="35"/>
  <c r="M166" i="35"/>
  <c r="M162" i="35"/>
  <c r="M158" i="35"/>
  <c r="F140" i="35"/>
  <c r="N140" i="35" s="1"/>
  <c r="O140" i="35" s="1"/>
  <c r="P140" i="35" s="1"/>
  <c r="Q140" i="35" s="1"/>
  <c r="R140" i="35" s="1"/>
  <c r="S140" i="35" s="1"/>
  <c r="M140" i="35"/>
  <c r="F144" i="35"/>
  <c r="G144" i="35" s="1"/>
  <c r="H144" i="35" s="1"/>
  <c r="M144" i="35"/>
  <c r="F148" i="35"/>
  <c r="N148" i="35" s="1"/>
  <c r="O148" i="35" s="1"/>
  <c r="P148" i="35" s="1"/>
  <c r="Q148" i="35" s="1"/>
  <c r="R148" i="35" s="1"/>
  <c r="S148" i="35" s="1"/>
  <c r="M148" i="35"/>
  <c r="M152" i="35"/>
  <c r="O152" i="35"/>
  <c r="P152" i="35" s="1"/>
  <c r="Q152" i="35" s="1"/>
  <c r="R152" i="35" s="1"/>
  <c r="S152" i="35" s="1"/>
  <c r="M156" i="35"/>
  <c r="F109" i="35"/>
  <c r="G109" i="35" s="1"/>
  <c r="H109" i="35" s="1"/>
  <c r="M109" i="35"/>
  <c r="M113" i="35"/>
  <c r="O113" i="35"/>
  <c r="P113" i="35" s="1"/>
  <c r="Q113" i="35" s="1"/>
  <c r="R113" i="35" s="1"/>
  <c r="S113" i="35" s="1"/>
  <c r="M117" i="35"/>
  <c r="O117" i="35"/>
  <c r="P117" i="35" s="1"/>
  <c r="Q117" i="35" s="1"/>
  <c r="R117" i="35" s="1"/>
  <c r="S117" i="35" s="1"/>
  <c r="M121" i="35"/>
  <c r="O121" i="35"/>
  <c r="P121" i="35" s="1"/>
  <c r="Q121" i="35" s="1"/>
  <c r="R121" i="35" s="1"/>
  <c r="M125" i="35"/>
  <c r="O125" i="35"/>
  <c r="P125" i="35" s="1"/>
  <c r="Q125" i="35" s="1"/>
  <c r="R125" i="35" s="1"/>
  <c r="S125" i="35" s="1"/>
  <c r="M129" i="35"/>
  <c r="O129" i="35"/>
  <c r="P129" i="35" s="1"/>
  <c r="Q129" i="35" s="1"/>
  <c r="R129" i="35" s="1"/>
  <c r="S129" i="35" s="1"/>
  <c r="M133" i="35"/>
  <c r="O133" i="35"/>
  <c r="P133" i="35" s="1"/>
  <c r="Q133" i="35" s="1"/>
  <c r="R133" i="35" s="1"/>
  <c r="S133" i="35" s="1"/>
  <c r="M81" i="35"/>
  <c r="M85" i="35"/>
  <c r="O85" i="35"/>
  <c r="P85" i="35" s="1"/>
  <c r="Q85" i="35" s="1"/>
  <c r="R85" i="35" s="1"/>
  <c r="S85" i="35" s="1"/>
  <c r="M89" i="35"/>
  <c r="O89" i="35"/>
  <c r="P89" i="35" s="1"/>
  <c r="Q89" i="35" s="1"/>
  <c r="R89" i="35" s="1"/>
  <c r="S89" i="35" s="1"/>
  <c r="F93" i="35"/>
  <c r="N93" i="35" s="1"/>
  <c r="O93" i="35" s="1"/>
  <c r="P93" i="35" s="1"/>
  <c r="Q93" i="35" s="1"/>
  <c r="R93" i="35" s="1"/>
  <c r="S93" i="35" s="1"/>
  <c r="M93" i="35"/>
  <c r="M97" i="35"/>
  <c r="F101" i="35"/>
  <c r="G101" i="35" s="1"/>
  <c r="H101" i="35" s="1"/>
  <c r="M101" i="35"/>
  <c r="M105" i="35"/>
  <c r="O105" i="35"/>
  <c r="P105" i="35" s="1"/>
  <c r="Q105" i="35" s="1"/>
  <c r="R105" i="35" s="1"/>
  <c r="S105" i="35" s="1"/>
  <c r="M61" i="35"/>
  <c r="M65" i="35"/>
  <c r="O65" i="35"/>
  <c r="P65" i="35" s="1"/>
  <c r="Q65" i="35" s="1"/>
  <c r="R65" i="35" s="1"/>
  <c r="S65" i="35" s="1"/>
  <c r="M69" i="35"/>
  <c r="F73" i="35"/>
  <c r="N73" i="35" s="1"/>
  <c r="O73" i="35" s="1"/>
  <c r="P73" i="35" s="1"/>
  <c r="Q73" i="35" s="1"/>
  <c r="R73" i="35" s="1"/>
  <c r="S73" i="35" s="1"/>
  <c r="M73" i="35"/>
  <c r="M77" i="35"/>
  <c r="M51" i="35"/>
  <c r="M55" i="35"/>
  <c r="O55" i="35"/>
  <c r="P55" i="35" s="1"/>
  <c r="Q55" i="35" s="1"/>
  <c r="R55" i="35" s="1"/>
  <c r="S55" i="35" s="1"/>
  <c r="M137" i="35"/>
  <c r="O137" i="35"/>
  <c r="P137" i="35" s="1"/>
  <c r="Q137" i="35" s="1"/>
  <c r="R137" i="35" s="1"/>
  <c r="S137" i="35" s="1"/>
  <c r="M141" i="35"/>
  <c r="O141" i="35"/>
  <c r="P141" i="35" s="1"/>
  <c r="Q141" i="35" s="1"/>
  <c r="R141" i="35" s="1"/>
  <c r="S141" i="35" s="1"/>
  <c r="M145" i="35"/>
  <c r="M149" i="35"/>
  <c r="O149" i="35"/>
  <c r="P149" i="35" s="1"/>
  <c r="Q149" i="35" s="1"/>
  <c r="R149" i="35" s="1"/>
  <c r="S149" i="35" s="1"/>
  <c r="M153" i="35"/>
  <c r="M157" i="35"/>
  <c r="O157" i="35"/>
  <c r="P157" i="35" s="1"/>
  <c r="Q157" i="35" s="1"/>
  <c r="R157" i="35" s="1"/>
  <c r="S157" i="35" s="1"/>
  <c r="M110" i="35"/>
  <c r="O110" i="35"/>
  <c r="P110" i="35" s="1"/>
  <c r="Q110" i="35" s="1"/>
  <c r="R110" i="35" s="1"/>
  <c r="S110" i="35" s="1"/>
  <c r="M114" i="35"/>
  <c r="O114" i="35"/>
  <c r="P114" i="35" s="1"/>
  <c r="Q114" i="35" s="1"/>
  <c r="R114" i="35" s="1"/>
  <c r="S114" i="35" s="1"/>
  <c r="M118" i="35"/>
  <c r="M122" i="35"/>
  <c r="O122" i="35"/>
  <c r="P122" i="35" s="1"/>
  <c r="Q122" i="35" s="1"/>
  <c r="R122" i="35" s="1"/>
  <c r="S122" i="35" s="1"/>
  <c r="M126" i="35"/>
  <c r="O126" i="35"/>
  <c r="P126" i="35" s="1"/>
  <c r="Q126" i="35" s="1"/>
  <c r="R126" i="35" s="1"/>
  <c r="S126" i="35" s="1"/>
  <c r="M130" i="35"/>
  <c r="O130" i="35"/>
  <c r="P130" i="35" s="1"/>
  <c r="Q130" i="35" s="1"/>
  <c r="R130" i="35" s="1"/>
  <c r="S130" i="35" s="1"/>
  <c r="M134" i="35"/>
  <c r="M82" i="35"/>
  <c r="O82" i="35"/>
  <c r="P82" i="35" s="1"/>
  <c r="Q82" i="35" s="1"/>
  <c r="R82" i="35" s="1"/>
  <c r="S82" i="35" s="1"/>
  <c r="M86" i="35"/>
  <c r="O86" i="35"/>
  <c r="P86" i="35" s="1"/>
  <c r="Q86" i="35" s="1"/>
  <c r="R86" i="35" s="1"/>
  <c r="S86" i="35" s="1"/>
  <c r="M90" i="35"/>
  <c r="O90" i="35"/>
  <c r="P90" i="35" s="1"/>
  <c r="Q90" i="35" s="1"/>
  <c r="R90" i="35" s="1"/>
  <c r="S90" i="35" s="1"/>
  <c r="M94" i="35"/>
  <c r="O94" i="35"/>
  <c r="P94" i="35" s="1"/>
  <c r="Q94" i="35" s="1"/>
  <c r="R94" i="35" s="1"/>
  <c r="S94" i="35" s="1"/>
  <c r="M98" i="35"/>
  <c r="O98" i="35"/>
  <c r="P98" i="35" s="1"/>
  <c r="Q98" i="35" s="1"/>
  <c r="R98" i="35" s="1"/>
  <c r="S98" i="35" s="1"/>
  <c r="M102" i="35"/>
  <c r="O102" i="35"/>
  <c r="P102" i="35" s="1"/>
  <c r="Q102" i="35" s="1"/>
  <c r="R102" i="35" s="1"/>
  <c r="S102" i="35" s="1"/>
  <c r="M106" i="35"/>
  <c r="O106" i="35"/>
  <c r="P106" i="35" s="1"/>
  <c r="Q106" i="35" s="1"/>
  <c r="R106" i="35" s="1"/>
  <c r="S106" i="35" s="1"/>
  <c r="M62" i="35"/>
  <c r="M66" i="35"/>
  <c r="O66" i="35"/>
  <c r="P66" i="35" s="1"/>
  <c r="Q66" i="35" s="1"/>
  <c r="R66" i="35" s="1"/>
  <c r="S66" i="35" s="1"/>
  <c r="M70" i="35"/>
  <c r="O70" i="35"/>
  <c r="P70" i="35" s="1"/>
  <c r="Q70" i="35" s="1"/>
  <c r="R70" i="35" s="1"/>
  <c r="S70" i="35" s="1"/>
  <c r="M74" i="35"/>
  <c r="O74" i="35"/>
  <c r="P74" i="35" s="1"/>
  <c r="Q74" i="35" s="1"/>
  <c r="R74" i="35" s="1"/>
  <c r="S74" i="35" s="1"/>
  <c r="M78" i="35"/>
  <c r="M50" i="35"/>
  <c r="O50" i="35"/>
  <c r="P50" i="35" s="1"/>
  <c r="Q50" i="35" s="1"/>
  <c r="R50" i="35" s="1"/>
  <c r="S50" i="35" s="1"/>
  <c r="M54" i="35"/>
  <c r="M58" i="35"/>
  <c r="O58" i="35"/>
  <c r="P58" i="35" s="1"/>
  <c r="Q58" i="35" s="1"/>
  <c r="R58" i="35" s="1"/>
  <c r="S58" i="35" s="1"/>
  <c r="M165" i="35"/>
  <c r="M161" i="35"/>
  <c r="C18" i="35"/>
  <c r="M49" i="35"/>
  <c r="M167" i="35"/>
  <c r="M168" i="35"/>
  <c r="M164" i="35"/>
  <c r="M160" i="35"/>
  <c r="H151" i="35"/>
  <c r="H155" i="35"/>
  <c r="H137" i="35"/>
  <c r="H141" i="35"/>
  <c r="H147" i="35"/>
  <c r="H150" i="35"/>
  <c r="H154" i="35"/>
  <c r="H157" i="35"/>
  <c r="H139" i="35"/>
  <c r="H149" i="35"/>
  <c r="H152" i="35"/>
  <c r="H138" i="35"/>
  <c r="H142" i="35"/>
  <c r="H146" i="35"/>
  <c r="H117" i="35"/>
  <c r="H121" i="35"/>
  <c r="H125" i="35"/>
  <c r="H129" i="35"/>
  <c r="H133" i="35"/>
  <c r="H120" i="35"/>
  <c r="H124" i="35"/>
  <c r="H128" i="35"/>
  <c r="H132" i="35"/>
  <c r="H136" i="35"/>
  <c r="H119" i="35"/>
  <c r="H123" i="35"/>
  <c r="H127" i="35"/>
  <c r="H131" i="35"/>
  <c r="H135" i="35"/>
  <c r="H122" i="35"/>
  <c r="H126" i="35"/>
  <c r="H130" i="35"/>
  <c r="H134" i="35"/>
  <c r="H113" i="35"/>
  <c r="H112" i="35"/>
  <c r="H116" i="35"/>
  <c r="H96" i="35"/>
  <c r="H100" i="35"/>
  <c r="H104" i="35"/>
  <c r="H108" i="35"/>
  <c r="H99" i="35"/>
  <c r="H107" i="35"/>
  <c r="H115" i="35"/>
  <c r="H114" i="35"/>
  <c r="H98" i="35"/>
  <c r="H102" i="35"/>
  <c r="H106" i="35"/>
  <c r="H110" i="35"/>
  <c r="H105" i="35"/>
  <c r="H95" i="35"/>
  <c r="H103" i="35"/>
  <c r="H58" i="35"/>
  <c r="H55" i="35"/>
  <c r="H63" i="35"/>
  <c r="H52" i="35"/>
  <c r="H50" i="35"/>
  <c r="H60" i="35"/>
  <c r="H64" i="35"/>
  <c r="H53" i="35"/>
  <c r="H57" i="35"/>
  <c r="H59" i="35"/>
  <c r="H56" i="35"/>
  <c r="H65" i="35"/>
  <c r="F111" i="35"/>
  <c r="N111" i="35" s="1"/>
  <c r="F143" i="35"/>
  <c r="G143" i="35" s="1"/>
  <c r="F81" i="35"/>
  <c r="N81" i="35" s="1"/>
  <c r="F61" i="35"/>
  <c r="F69" i="35"/>
  <c r="G69" i="35" s="1"/>
  <c r="F77" i="35"/>
  <c r="N77" i="35" s="1"/>
  <c r="F163" i="35"/>
  <c r="N163" i="35" s="1"/>
  <c r="F159" i="35"/>
  <c r="F169" i="35"/>
  <c r="G169" i="35" s="1"/>
  <c r="F170" i="35"/>
  <c r="G170" i="35" s="1"/>
  <c r="F166" i="35"/>
  <c r="G166" i="35" s="1"/>
  <c r="F162" i="35"/>
  <c r="F158" i="35"/>
  <c r="G158" i="35" s="1"/>
  <c r="F165" i="35"/>
  <c r="N165" i="35" s="1"/>
  <c r="F161" i="35"/>
  <c r="N161" i="35" s="1"/>
  <c r="F49" i="35"/>
  <c r="G49" i="35" s="1"/>
  <c r="F167" i="35"/>
  <c r="N167" i="35" s="1"/>
  <c r="F168" i="35"/>
  <c r="F164" i="35"/>
  <c r="F160" i="35"/>
  <c r="E35" i="32"/>
  <c r="F35" i="32" s="1"/>
  <c r="E34" i="32"/>
  <c r="F34" i="32" s="1"/>
  <c r="G34" i="32" s="1"/>
  <c r="H34" i="32" s="1"/>
  <c r="I34" i="32" s="1"/>
  <c r="J34" i="32" s="1"/>
  <c r="K34" i="32" s="1"/>
  <c r="L34" i="32" s="1"/>
  <c r="E33" i="32"/>
  <c r="N33" i="32" s="1"/>
  <c r="E32" i="32"/>
  <c r="F32" i="32" s="1"/>
  <c r="G32" i="32" s="1"/>
  <c r="H32" i="32" s="1"/>
  <c r="I32" i="32" s="1"/>
  <c r="J32" i="32" s="1"/>
  <c r="K32" i="32" s="1"/>
  <c r="L32" i="32" s="1"/>
  <c r="N35" i="32" l="1"/>
  <c r="O35" i="32" s="1"/>
  <c r="P35" i="32" s="1"/>
  <c r="Q35" i="32" s="1"/>
  <c r="R35" i="32" s="1"/>
  <c r="S35" i="32" s="1"/>
  <c r="T35" i="32" s="1"/>
  <c r="U35" i="32" s="1"/>
  <c r="F30" i="32"/>
  <c r="G30" i="32" s="1"/>
  <c r="H30" i="32" s="1"/>
  <c r="I30" i="32" s="1"/>
  <c r="J30" i="32" s="1"/>
  <c r="K30" i="32" s="1"/>
  <c r="L30" i="32" s="1"/>
  <c r="N30" i="32"/>
  <c r="O30" i="32" s="1"/>
  <c r="P30" i="32" s="1"/>
  <c r="Q30" i="32" s="1"/>
  <c r="R30" i="32" s="1"/>
  <c r="S30" i="32" s="1"/>
  <c r="T30" i="32" s="1"/>
  <c r="U30" i="32" s="1"/>
  <c r="F31" i="32"/>
  <c r="G31" i="32" s="1"/>
  <c r="H31" i="32" s="1"/>
  <c r="I31" i="32" s="1"/>
  <c r="J31" i="32" s="1"/>
  <c r="K31" i="32" s="1"/>
  <c r="L31" i="32" s="1"/>
  <c r="N31" i="32"/>
  <c r="F33" i="32"/>
  <c r="G33" i="32" s="1"/>
  <c r="H33" i="32" s="1"/>
  <c r="I33" i="32" s="1"/>
  <c r="J33" i="32" s="1"/>
  <c r="K33" i="32" s="1"/>
  <c r="L33" i="32" s="1"/>
  <c r="F52" i="32"/>
  <c r="G52" i="32" s="1"/>
  <c r="H52" i="32" s="1"/>
  <c r="I52" i="32" s="1"/>
  <c r="J52" i="32" s="1"/>
  <c r="K52" i="32" s="1"/>
  <c r="L52" i="32" s="1"/>
  <c r="N52" i="32"/>
  <c r="N42" i="32"/>
  <c r="O42" i="32" s="1"/>
  <c r="P42" i="32" s="1"/>
  <c r="Q42" i="32" s="1"/>
  <c r="R42" i="32" s="1"/>
  <c r="S42" i="32" s="1"/>
  <c r="T42" i="32" s="1"/>
  <c r="U42" i="32" s="1"/>
  <c r="F42" i="32"/>
  <c r="G42" i="32" s="1"/>
  <c r="H42" i="32" s="1"/>
  <c r="I42" i="32" s="1"/>
  <c r="J42" i="32" s="1"/>
  <c r="K42" i="32" s="1"/>
  <c r="L42" i="32" s="1"/>
  <c r="F40" i="32"/>
  <c r="N40" i="32"/>
  <c r="N45" i="32"/>
  <c r="F45" i="32"/>
  <c r="N46" i="32"/>
  <c r="F46" i="32"/>
  <c r="F47" i="32"/>
  <c r="N47" i="32"/>
  <c r="O47" i="32" s="1"/>
  <c r="P47" i="32" s="1"/>
  <c r="Q47" i="32" s="1"/>
  <c r="R47" i="32" s="1"/>
  <c r="S47" i="32" s="1"/>
  <c r="T47" i="32" s="1"/>
  <c r="U47" i="32" s="1"/>
  <c r="F44" i="32"/>
  <c r="N44" i="32"/>
  <c r="F37" i="32"/>
  <c r="N37" i="32"/>
  <c r="N49" i="32"/>
  <c r="F49" i="32"/>
  <c r="F39" i="32"/>
  <c r="N39" i="32"/>
  <c r="O39" i="32" s="1"/>
  <c r="P39" i="32" s="1"/>
  <c r="Q39" i="32" s="1"/>
  <c r="R39" i="32" s="1"/>
  <c r="S39" i="32" s="1"/>
  <c r="T39" i="32" s="1"/>
  <c r="U39" i="32" s="1"/>
  <c r="F36" i="32"/>
  <c r="G36" i="32" s="1"/>
  <c r="H36" i="32" s="1"/>
  <c r="I36" i="32" s="1"/>
  <c r="J36" i="32" s="1"/>
  <c r="K36" i="32" s="1"/>
  <c r="L36" i="32" s="1"/>
  <c r="N36" i="32"/>
  <c r="F41" i="32"/>
  <c r="N41" i="32"/>
  <c r="F43" i="32"/>
  <c r="N43" i="32"/>
  <c r="O43" i="32" s="1"/>
  <c r="P43" i="32" s="1"/>
  <c r="Q43" i="32" s="1"/>
  <c r="R43" i="32" s="1"/>
  <c r="S43" i="32" s="1"/>
  <c r="T43" i="32" s="1"/>
  <c r="U43" i="32" s="1"/>
  <c r="N50" i="32"/>
  <c r="F50" i="32"/>
  <c r="G50" i="32" s="1"/>
  <c r="H50" i="32" s="1"/>
  <c r="I50" i="32" s="1"/>
  <c r="J50" i="32" s="1"/>
  <c r="K50" i="32" s="1"/>
  <c r="L50" i="32" s="1"/>
  <c r="F54" i="32"/>
  <c r="G54" i="32" s="1"/>
  <c r="H54" i="32" s="1"/>
  <c r="I54" i="32" s="1"/>
  <c r="J54" i="32" s="1"/>
  <c r="K54" i="32" s="1"/>
  <c r="L54" i="32" s="1"/>
  <c r="N54" i="32"/>
  <c r="F51" i="32"/>
  <c r="N51" i="32"/>
  <c r="O51" i="32" s="1"/>
  <c r="P51" i="32" s="1"/>
  <c r="Q51" i="32" s="1"/>
  <c r="R51" i="32" s="1"/>
  <c r="S51" i="32" s="1"/>
  <c r="T51" i="32" s="1"/>
  <c r="U51" i="32" s="1"/>
  <c r="N48" i="32"/>
  <c r="F48" i="32"/>
  <c r="N38" i="32"/>
  <c r="F38" i="32"/>
  <c r="G38" i="32" s="1"/>
  <c r="H38" i="32" s="1"/>
  <c r="I38" i="32" s="1"/>
  <c r="J38" i="32" s="1"/>
  <c r="K38" i="32" s="1"/>
  <c r="L38" i="32" s="1"/>
  <c r="F53" i="32"/>
  <c r="N53" i="32"/>
  <c r="O53" i="32" s="1"/>
  <c r="P53" i="32" s="1"/>
  <c r="Q53" i="32" s="1"/>
  <c r="R53" i="32" s="1"/>
  <c r="S53" i="32" s="1"/>
  <c r="T53" i="32" s="1"/>
  <c r="U53" i="32" s="1"/>
  <c r="O164" i="35"/>
  <c r="P164" i="35" s="1"/>
  <c r="Q164" i="35" s="1"/>
  <c r="R164" i="35" s="1"/>
  <c r="S164" i="35" s="1"/>
  <c r="O159" i="35"/>
  <c r="P159" i="35" s="1"/>
  <c r="Q159" i="35" s="1"/>
  <c r="R159" i="35" s="1"/>
  <c r="S159" i="35" s="1"/>
  <c r="G163" i="35"/>
  <c r="N153" i="35"/>
  <c r="O153" i="35" s="1"/>
  <c r="P153" i="35" s="1"/>
  <c r="Q153" i="35" s="1"/>
  <c r="R153" i="35" s="1"/>
  <c r="S153" i="35" s="1"/>
  <c r="N162" i="35"/>
  <c r="O162" i="35" s="1"/>
  <c r="P162" i="35" s="1"/>
  <c r="Q162" i="35" s="1"/>
  <c r="R162" i="35" s="1"/>
  <c r="S162" i="35" s="1"/>
  <c r="N159" i="35"/>
  <c r="N49" i="35"/>
  <c r="N97" i="35"/>
  <c r="O97" i="35" s="1"/>
  <c r="P97" i="35" s="1"/>
  <c r="Q97" i="35" s="1"/>
  <c r="R97" i="35" s="1"/>
  <c r="S97" i="35" s="1"/>
  <c r="N156" i="35"/>
  <c r="O156" i="35" s="1"/>
  <c r="P156" i="35" s="1"/>
  <c r="Q156" i="35" s="1"/>
  <c r="R156" i="35" s="1"/>
  <c r="S156" i="35" s="1"/>
  <c r="N69" i="35"/>
  <c r="N101" i="35"/>
  <c r="O101" i="35" s="1"/>
  <c r="P101" i="35" s="1"/>
  <c r="Q101" i="35" s="1"/>
  <c r="R101" i="35" s="1"/>
  <c r="S101" i="35" s="1"/>
  <c r="N109" i="35"/>
  <c r="O109" i="35" s="1"/>
  <c r="P109" i="35" s="1"/>
  <c r="Q109" i="35" s="1"/>
  <c r="R109" i="35" s="1"/>
  <c r="S109" i="35" s="1"/>
  <c r="N144" i="35"/>
  <c r="O144" i="35" s="1"/>
  <c r="P144" i="35" s="1"/>
  <c r="Q144" i="35" s="1"/>
  <c r="R144" i="35" s="1"/>
  <c r="S144" i="35" s="1"/>
  <c r="G54" i="35"/>
  <c r="H54" i="35" s="1"/>
  <c r="G145" i="35"/>
  <c r="H145" i="35" s="1"/>
  <c r="N166" i="35"/>
  <c r="O166" i="35" s="1"/>
  <c r="P166" i="35" s="1"/>
  <c r="Q166" i="35" s="1"/>
  <c r="R166" i="35" s="1"/>
  <c r="S166" i="35" s="1"/>
  <c r="G160" i="35"/>
  <c r="H160" i="35" s="1"/>
  <c r="I160" i="35" s="1"/>
  <c r="J160" i="35" s="1"/>
  <c r="K160" i="35" s="1"/>
  <c r="G148" i="35"/>
  <c r="H148" i="35" s="1"/>
  <c r="G78" i="35"/>
  <c r="G73" i="35"/>
  <c r="H73" i="35" s="1"/>
  <c r="I73" i="35" s="1"/>
  <c r="J73" i="35" s="1"/>
  <c r="K73" i="35" s="1"/>
  <c r="T73" i="35" s="1"/>
  <c r="G164" i="35"/>
  <c r="G161" i="35"/>
  <c r="G77" i="35"/>
  <c r="G61" i="35"/>
  <c r="H61" i="35" s="1"/>
  <c r="I61" i="35" s="1"/>
  <c r="J61" i="35" s="1"/>
  <c r="K61" i="35" s="1"/>
  <c r="G93" i="35"/>
  <c r="O163" i="35"/>
  <c r="P163" i="35" s="1"/>
  <c r="Q163" i="35" s="1"/>
  <c r="R163" i="35" s="1"/>
  <c r="S163" i="35" s="1"/>
  <c r="H168" i="35"/>
  <c r="O165" i="35"/>
  <c r="P165" i="35" s="1"/>
  <c r="Q165" i="35" s="1"/>
  <c r="R165" i="35" s="1"/>
  <c r="S165" i="35" s="1"/>
  <c r="O170" i="35"/>
  <c r="P170" i="35" s="1"/>
  <c r="Q170" i="35" s="1"/>
  <c r="R170" i="35" s="1"/>
  <c r="S170" i="35" s="1"/>
  <c r="H143" i="35"/>
  <c r="N160" i="35"/>
  <c r="O160" i="35" s="1"/>
  <c r="P160" i="35" s="1"/>
  <c r="Q160" i="35" s="1"/>
  <c r="R160" i="35" s="1"/>
  <c r="S160" i="35" s="1"/>
  <c r="N170" i="35"/>
  <c r="N143" i="35"/>
  <c r="N164" i="35"/>
  <c r="N61" i="35"/>
  <c r="O61" i="35" s="1"/>
  <c r="P61" i="35" s="1"/>
  <c r="Q61" i="35" s="1"/>
  <c r="R61" i="35" s="1"/>
  <c r="S61" i="35" s="1"/>
  <c r="G168" i="35"/>
  <c r="G62" i="35"/>
  <c r="H62" i="35" s="1"/>
  <c r="G118" i="35"/>
  <c r="H118" i="35" s="1"/>
  <c r="G51" i="35"/>
  <c r="H51" i="35" s="1"/>
  <c r="G81" i="35"/>
  <c r="G140" i="35"/>
  <c r="H140" i="35" s="1"/>
  <c r="O161" i="35"/>
  <c r="P161" i="35" s="1"/>
  <c r="Q161" i="35" s="1"/>
  <c r="R161" i="35" s="1"/>
  <c r="S161" i="35" s="1"/>
  <c r="O167" i="35"/>
  <c r="P167" i="35" s="1"/>
  <c r="Q167" i="35" s="1"/>
  <c r="R167" i="35" s="1"/>
  <c r="S167" i="35" s="1"/>
  <c r="O158" i="35"/>
  <c r="P158" i="35" s="1"/>
  <c r="Q158" i="35" s="1"/>
  <c r="R158" i="35" s="1"/>
  <c r="S158" i="35" s="1"/>
  <c r="H111" i="35"/>
  <c r="N158" i="35"/>
  <c r="N169" i="35"/>
  <c r="O169" i="35" s="1"/>
  <c r="P169" i="35" s="1"/>
  <c r="Q169" i="35" s="1"/>
  <c r="R169" i="35" s="1"/>
  <c r="S169" i="35" s="1"/>
  <c r="G165" i="35"/>
  <c r="G162" i="35"/>
  <c r="G159" i="35"/>
  <c r="G111" i="35"/>
  <c r="G167" i="35"/>
  <c r="N168" i="35"/>
  <c r="C17" i="32"/>
  <c r="N32" i="32"/>
  <c r="O32" i="32" s="1"/>
  <c r="P32" i="32" s="1"/>
  <c r="Q32" i="32" s="1"/>
  <c r="R32" i="32" s="1"/>
  <c r="S32" i="32" s="1"/>
  <c r="T32" i="32" s="1"/>
  <c r="N34" i="32"/>
  <c r="O34" i="32" s="1"/>
  <c r="P34" i="32" s="1"/>
  <c r="Q34" i="32" s="1"/>
  <c r="R34" i="32" s="1"/>
  <c r="S34" i="32" s="1"/>
  <c r="T34" i="32" s="1"/>
  <c r="U34" i="32" s="1"/>
  <c r="B17" i="32"/>
  <c r="H49" i="35"/>
  <c r="B19" i="35"/>
  <c r="C19" i="35"/>
  <c r="O77" i="35"/>
  <c r="P77" i="35" s="1"/>
  <c r="Q77" i="35" s="1"/>
  <c r="R77" i="35" s="1"/>
  <c r="S77" i="35" s="1"/>
  <c r="S121" i="35"/>
  <c r="S71" i="35"/>
  <c r="O168" i="35"/>
  <c r="P168" i="35" s="1"/>
  <c r="Q168" i="35" s="1"/>
  <c r="R168" i="35" s="1"/>
  <c r="S168" i="35" s="1"/>
  <c r="O49" i="35"/>
  <c r="O69" i="35"/>
  <c r="P69" i="35" s="1"/>
  <c r="Q69" i="35" s="1"/>
  <c r="R69" i="35" s="1"/>
  <c r="S69" i="35" s="1"/>
  <c r="O81" i="35"/>
  <c r="P81" i="35" s="1"/>
  <c r="Q81" i="35" s="1"/>
  <c r="R81" i="35" s="1"/>
  <c r="S81" i="35" s="1"/>
  <c r="O143" i="35"/>
  <c r="P143" i="35" s="1"/>
  <c r="Q143" i="35" s="1"/>
  <c r="R143" i="35" s="1"/>
  <c r="S143" i="35" s="1"/>
  <c r="O111" i="35"/>
  <c r="P111" i="35" s="1"/>
  <c r="Q111" i="35" s="1"/>
  <c r="R111" i="35" s="1"/>
  <c r="S111" i="35" s="1"/>
  <c r="H69" i="35"/>
  <c r="I69" i="35" s="1"/>
  <c r="J69" i="35" s="1"/>
  <c r="K69" i="35" s="1"/>
  <c r="H81" i="35"/>
  <c r="I81" i="35" s="1"/>
  <c r="J81" i="35" s="1"/>
  <c r="K81" i="35" s="1"/>
  <c r="T81" i="35" s="1"/>
  <c r="H77" i="35"/>
  <c r="I77" i="35" s="1"/>
  <c r="J77" i="35" s="1"/>
  <c r="K77" i="35" s="1"/>
  <c r="H67" i="35"/>
  <c r="I67" i="35" s="1"/>
  <c r="J67" i="35" s="1"/>
  <c r="K67" i="35" s="1"/>
  <c r="T67" i="35" s="1"/>
  <c r="H68" i="35"/>
  <c r="I68" i="35" s="1"/>
  <c r="J68" i="35" s="1"/>
  <c r="K68" i="35" s="1"/>
  <c r="T68" i="35" s="1"/>
  <c r="H70" i="35"/>
  <c r="I70" i="35" s="1"/>
  <c r="J70" i="35" s="1"/>
  <c r="K70" i="35" s="1"/>
  <c r="T70" i="35" s="1"/>
  <c r="H66" i="35"/>
  <c r="I66" i="35" s="1"/>
  <c r="J66" i="35" s="1"/>
  <c r="K66" i="35" s="1"/>
  <c r="T66" i="35" s="1"/>
  <c r="H85" i="35"/>
  <c r="I85" i="35" s="1"/>
  <c r="J85" i="35" s="1"/>
  <c r="K85" i="35" s="1"/>
  <c r="T85" i="35" s="1"/>
  <c r="H83" i="35"/>
  <c r="I83" i="35" s="1"/>
  <c r="J83" i="35" s="1"/>
  <c r="K83" i="35" s="1"/>
  <c r="T83" i="35" s="1"/>
  <c r="H75" i="35"/>
  <c r="I75" i="35" s="1"/>
  <c r="J75" i="35" s="1"/>
  <c r="K75" i="35" s="1"/>
  <c r="T75" i="35" s="1"/>
  <c r="H84" i="35"/>
  <c r="I84" i="35" s="1"/>
  <c r="J84" i="35" s="1"/>
  <c r="K84" i="35" s="1"/>
  <c r="T84" i="35" s="1"/>
  <c r="H80" i="35"/>
  <c r="I80" i="35" s="1"/>
  <c r="J80" i="35" s="1"/>
  <c r="K80" i="35" s="1"/>
  <c r="T80" i="35" s="1"/>
  <c r="H76" i="35"/>
  <c r="I76" i="35" s="1"/>
  <c r="J76" i="35" s="1"/>
  <c r="K76" i="35" s="1"/>
  <c r="T76" i="35" s="1"/>
  <c r="H72" i="35"/>
  <c r="I72" i="35" s="1"/>
  <c r="J72" i="35" s="1"/>
  <c r="K72" i="35" s="1"/>
  <c r="T72" i="35" s="1"/>
  <c r="H94" i="35"/>
  <c r="I94" i="35" s="1"/>
  <c r="J94" i="35" s="1"/>
  <c r="K94" i="35" s="1"/>
  <c r="T94" i="35" s="1"/>
  <c r="H90" i="35"/>
  <c r="I90" i="35" s="1"/>
  <c r="J90" i="35" s="1"/>
  <c r="K90" i="35" s="1"/>
  <c r="T90" i="35" s="1"/>
  <c r="H86" i="35"/>
  <c r="I86" i="35" s="1"/>
  <c r="J86" i="35" s="1"/>
  <c r="K86" i="35" s="1"/>
  <c r="T86" i="35" s="1"/>
  <c r="H89" i="35"/>
  <c r="I89" i="35" s="1"/>
  <c r="J89" i="35" s="1"/>
  <c r="K89" i="35" s="1"/>
  <c r="T89" i="35" s="1"/>
  <c r="H91" i="35"/>
  <c r="I91" i="35" s="1"/>
  <c r="J91" i="35" s="1"/>
  <c r="K91" i="35" s="1"/>
  <c r="T91" i="35" s="1"/>
  <c r="H79" i="35"/>
  <c r="I79" i="35" s="1"/>
  <c r="J79" i="35" s="1"/>
  <c r="K79" i="35" s="1"/>
  <c r="T79" i="35" s="1"/>
  <c r="H71" i="35"/>
  <c r="I71" i="35" s="1"/>
  <c r="J71" i="35" s="1"/>
  <c r="K71" i="35" s="1"/>
  <c r="T71" i="35" s="1"/>
  <c r="H93" i="35"/>
  <c r="I93" i="35" s="1"/>
  <c r="J93" i="35" s="1"/>
  <c r="K93" i="35" s="1"/>
  <c r="T93" i="35" s="1"/>
  <c r="H82" i="35"/>
  <c r="I82" i="35" s="1"/>
  <c r="J82" i="35" s="1"/>
  <c r="K82" i="35" s="1"/>
  <c r="T82" i="35" s="1"/>
  <c r="H78" i="35"/>
  <c r="I78" i="35" s="1"/>
  <c r="J78" i="35" s="1"/>
  <c r="K78" i="35" s="1"/>
  <c r="T78" i="35" s="1"/>
  <c r="H74" i="35"/>
  <c r="I74" i="35" s="1"/>
  <c r="J74" i="35" s="1"/>
  <c r="K74" i="35" s="1"/>
  <c r="T74" i="35" s="1"/>
  <c r="H92" i="35"/>
  <c r="I92" i="35" s="1"/>
  <c r="J92" i="35" s="1"/>
  <c r="K92" i="35" s="1"/>
  <c r="T92" i="35" s="1"/>
  <c r="H88" i="35"/>
  <c r="I88" i="35" s="1"/>
  <c r="J88" i="35" s="1"/>
  <c r="K88" i="35" s="1"/>
  <c r="T88" i="35" s="1"/>
  <c r="H87" i="35"/>
  <c r="I87" i="35" s="1"/>
  <c r="J87" i="35" s="1"/>
  <c r="K87" i="35" s="1"/>
  <c r="T87" i="35" s="1"/>
  <c r="I49" i="35"/>
  <c r="J49" i="35" s="1"/>
  <c r="K49" i="35" s="1"/>
  <c r="P49" i="35"/>
  <c r="Q49" i="35" s="1"/>
  <c r="R49" i="35" s="1"/>
  <c r="I168" i="35"/>
  <c r="J168" i="35" s="1"/>
  <c r="K168" i="35" s="1"/>
  <c r="I156" i="35"/>
  <c r="J156" i="35" s="1"/>
  <c r="K156" i="35" s="1"/>
  <c r="T156" i="35" s="1"/>
  <c r="I154" i="35"/>
  <c r="J154" i="35" s="1"/>
  <c r="K154" i="35" s="1"/>
  <c r="T154" i="35" s="1"/>
  <c r="I150" i="35"/>
  <c r="J150" i="35" s="1"/>
  <c r="K150" i="35" s="1"/>
  <c r="T150" i="35" s="1"/>
  <c r="I148" i="35"/>
  <c r="J148" i="35" s="1"/>
  <c r="K148" i="35" s="1"/>
  <c r="T148" i="35" s="1"/>
  <c r="I146" i="35"/>
  <c r="J146" i="35" s="1"/>
  <c r="K146" i="35" s="1"/>
  <c r="T146" i="35" s="1"/>
  <c r="I144" i="35"/>
  <c r="J144" i="35" s="1"/>
  <c r="K144" i="35" s="1"/>
  <c r="T144" i="35" s="1"/>
  <c r="I142" i="35"/>
  <c r="J142" i="35" s="1"/>
  <c r="K142" i="35" s="1"/>
  <c r="T142" i="35" s="1"/>
  <c r="I140" i="35"/>
  <c r="J140" i="35" s="1"/>
  <c r="K140" i="35" s="1"/>
  <c r="T140" i="35" s="1"/>
  <c r="I138" i="35"/>
  <c r="J138" i="35" s="1"/>
  <c r="K138" i="35" s="1"/>
  <c r="T138" i="35" s="1"/>
  <c r="I136" i="35"/>
  <c r="J136" i="35" s="1"/>
  <c r="K136" i="35" s="1"/>
  <c r="T136" i="35" s="1"/>
  <c r="I134" i="35"/>
  <c r="J134" i="35" s="1"/>
  <c r="K134" i="35" s="1"/>
  <c r="T134" i="35" s="1"/>
  <c r="I132" i="35"/>
  <c r="J132" i="35" s="1"/>
  <c r="K132" i="35" s="1"/>
  <c r="T132" i="35" s="1"/>
  <c r="I130" i="35"/>
  <c r="J130" i="35" s="1"/>
  <c r="K130" i="35" s="1"/>
  <c r="T130" i="35" s="1"/>
  <c r="I128" i="35"/>
  <c r="J128" i="35" s="1"/>
  <c r="K128" i="35" s="1"/>
  <c r="T128" i="35" s="1"/>
  <c r="I126" i="35"/>
  <c r="J126" i="35" s="1"/>
  <c r="K126" i="35" s="1"/>
  <c r="T126" i="35" s="1"/>
  <c r="I124" i="35"/>
  <c r="J124" i="35" s="1"/>
  <c r="K124" i="35" s="1"/>
  <c r="T124" i="35" s="1"/>
  <c r="I122" i="35"/>
  <c r="J122" i="35" s="1"/>
  <c r="K122" i="35" s="1"/>
  <c r="T122" i="35" s="1"/>
  <c r="I120" i="35"/>
  <c r="J120" i="35" s="1"/>
  <c r="K120" i="35" s="1"/>
  <c r="T120" i="35" s="1"/>
  <c r="I118" i="35"/>
  <c r="J118" i="35" s="1"/>
  <c r="K118" i="35" s="1"/>
  <c r="T118" i="35" s="1"/>
  <c r="I116" i="35"/>
  <c r="J116" i="35" s="1"/>
  <c r="K116" i="35" s="1"/>
  <c r="T116" i="35" s="1"/>
  <c r="I114" i="35"/>
  <c r="J114" i="35" s="1"/>
  <c r="K114" i="35" s="1"/>
  <c r="T114" i="35" s="1"/>
  <c r="I112" i="35"/>
  <c r="J112" i="35" s="1"/>
  <c r="K112" i="35" s="1"/>
  <c r="T112" i="35" s="1"/>
  <c r="I110" i="35"/>
  <c r="J110" i="35" s="1"/>
  <c r="K110" i="35" s="1"/>
  <c r="T110" i="35" s="1"/>
  <c r="I108" i="35"/>
  <c r="J108" i="35" s="1"/>
  <c r="K108" i="35" s="1"/>
  <c r="T108" i="35" s="1"/>
  <c r="I153" i="35"/>
  <c r="J153" i="35" s="1"/>
  <c r="K153" i="35" s="1"/>
  <c r="T153" i="35" s="1"/>
  <c r="I106" i="35"/>
  <c r="J106" i="35" s="1"/>
  <c r="K106" i="35" s="1"/>
  <c r="T106" i="35" s="1"/>
  <c r="I104" i="35"/>
  <c r="J104" i="35" s="1"/>
  <c r="K104" i="35" s="1"/>
  <c r="T104" i="35" s="1"/>
  <c r="I102" i="35"/>
  <c r="J102" i="35" s="1"/>
  <c r="K102" i="35" s="1"/>
  <c r="T102" i="35" s="1"/>
  <c r="I100" i="35"/>
  <c r="J100" i="35" s="1"/>
  <c r="K100" i="35" s="1"/>
  <c r="T100" i="35" s="1"/>
  <c r="I98" i="35"/>
  <c r="J98" i="35" s="1"/>
  <c r="K98" i="35" s="1"/>
  <c r="T98" i="35" s="1"/>
  <c r="I96" i="35"/>
  <c r="J96" i="35" s="1"/>
  <c r="K96" i="35" s="1"/>
  <c r="T96" i="35" s="1"/>
  <c r="I64" i="35"/>
  <c r="J64" i="35" s="1"/>
  <c r="K64" i="35" s="1"/>
  <c r="T64" i="35" s="1"/>
  <c r="I62" i="35"/>
  <c r="J62" i="35" s="1"/>
  <c r="K62" i="35" s="1"/>
  <c r="T62" i="35" s="1"/>
  <c r="I60" i="35"/>
  <c r="J60" i="35" s="1"/>
  <c r="K60" i="35" s="1"/>
  <c r="T60" i="35" s="1"/>
  <c r="I58" i="35"/>
  <c r="J58" i="35" s="1"/>
  <c r="K58" i="35" s="1"/>
  <c r="T58" i="35" s="1"/>
  <c r="I56" i="35"/>
  <c r="J56" i="35" s="1"/>
  <c r="K56" i="35" s="1"/>
  <c r="T56" i="35" s="1"/>
  <c r="I54" i="35"/>
  <c r="J54" i="35" s="1"/>
  <c r="K54" i="35" s="1"/>
  <c r="T54" i="35" s="1"/>
  <c r="I52" i="35"/>
  <c r="J52" i="35" s="1"/>
  <c r="K52" i="35" s="1"/>
  <c r="T52" i="35" s="1"/>
  <c r="I50" i="35"/>
  <c r="J50" i="35" s="1"/>
  <c r="K50" i="35" s="1"/>
  <c r="T50" i="35" s="1"/>
  <c r="I157" i="35"/>
  <c r="J157" i="35" s="1"/>
  <c r="K157" i="35" s="1"/>
  <c r="T157" i="35" s="1"/>
  <c r="I155" i="35"/>
  <c r="J155" i="35" s="1"/>
  <c r="K155" i="35" s="1"/>
  <c r="T155" i="35" s="1"/>
  <c r="I151" i="35"/>
  <c r="J151" i="35" s="1"/>
  <c r="K151" i="35" s="1"/>
  <c r="T151" i="35" s="1"/>
  <c r="I149" i="35"/>
  <c r="J149" i="35" s="1"/>
  <c r="K149" i="35" s="1"/>
  <c r="T149" i="35" s="1"/>
  <c r="I147" i="35"/>
  <c r="J147" i="35" s="1"/>
  <c r="K147" i="35" s="1"/>
  <c r="T147" i="35" s="1"/>
  <c r="I145" i="35"/>
  <c r="J145" i="35" s="1"/>
  <c r="K145" i="35" s="1"/>
  <c r="T145" i="35" s="1"/>
  <c r="I143" i="35"/>
  <c r="J143" i="35" s="1"/>
  <c r="K143" i="35" s="1"/>
  <c r="T143" i="35" s="1"/>
  <c r="I141" i="35"/>
  <c r="J141" i="35" s="1"/>
  <c r="K141" i="35" s="1"/>
  <c r="T141" i="35" s="1"/>
  <c r="I139" i="35"/>
  <c r="J139" i="35" s="1"/>
  <c r="K139" i="35" s="1"/>
  <c r="T139" i="35" s="1"/>
  <c r="I137" i="35"/>
  <c r="J137" i="35" s="1"/>
  <c r="K137" i="35" s="1"/>
  <c r="T137" i="35" s="1"/>
  <c r="I135" i="35"/>
  <c r="J135" i="35" s="1"/>
  <c r="K135" i="35" s="1"/>
  <c r="T135" i="35" s="1"/>
  <c r="I133" i="35"/>
  <c r="J133" i="35" s="1"/>
  <c r="K133" i="35" s="1"/>
  <c r="T133" i="35" s="1"/>
  <c r="I131" i="35"/>
  <c r="J131" i="35" s="1"/>
  <c r="K131" i="35" s="1"/>
  <c r="T131" i="35" s="1"/>
  <c r="I129" i="35"/>
  <c r="J129" i="35" s="1"/>
  <c r="K129" i="35" s="1"/>
  <c r="T129" i="35" s="1"/>
  <c r="I127" i="35"/>
  <c r="J127" i="35" s="1"/>
  <c r="K127" i="35" s="1"/>
  <c r="T127" i="35" s="1"/>
  <c r="I125" i="35"/>
  <c r="J125" i="35" s="1"/>
  <c r="K125" i="35" s="1"/>
  <c r="T125" i="35" s="1"/>
  <c r="I123" i="35"/>
  <c r="J123" i="35" s="1"/>
  <c r="K123" i="35" s="1"/>
  <c r="T123" i="35" s="1"/>
  <c r="I121" i="35"/>
  <c r="J121" i="35" s="1"/>
  <c r="K121" i="35" s="1"/>
  <c r="T121" i="35" s="1"/>
  <c r="I119" i="35"/>
  <c r="J119" i="35" s="1"/>
  <c r="K119" i="35" s="1"/>
  <c r="T119" i="35" s="1"/>
  <c r="I117" i="35"/>
  <c r="J117" i="35" s="1"/>
  <c r="K117" i="35" s="1"/>
  <c r="T117" i="35" s="1"/>
  <c r="I115" i="35"/>
  <c r="J115" i="35" s="1"/>
  <c r="K115" i="35" s="1"/>
  <c r="T115" i="35" s="1"/>
  <c r="I113" i="35"/>
  <c r="J113" i="35" s="1"/>
  <c r="K113" i="35" s="1"/>
  <c r="T113" i="35" s="1"/>
  <c r="I111" i="35"/>
  <c r="J111" i="35" s="1"/>
  <c r="K111" i="35" s="1"/>
  <c r="I109" i="35"/>
  <c r="J109" i="35" s="1"/>
  <c r="K109" i="35" s="1"/>
  <c r="T109" i="35" s="1"/>
  <c r="I107" i="35"/>
  <c r="J107" i="35" s="1"/>
  <c r="K107" i="35" s="1"/>
  <c r="T107" i="35" s="1"/>
  <c r="I152" i="35"/>
  <c r="J152" i="35" s="1"/>
  <c r="K152" i="35" s="1"/>
  <c r="T152" i="35" s="1"/>
  <c r="I105" i="35"/>
  <c r="J105" i="35" s="1"/>
  <c r="K105" i="35" s="1"/>
  <c r="T105" i="35" s="1"/>
  <c r="I103" i="35"/>
  <c r="J103" i="35" s="1"/>
  <c r="K103" i="35" s="1"/>
  <c r="T103" i="35" s="1"/>
  <c r="I101" i="35"/>
  <c r="J101" i="35" s="1"/>
  <c r="K101" i="35" s="1"/>
  <c r="T101" i="35" s="1"/>
  <c r="I99" i="35"/>
  <c r="J99" i="35" s="1"/>
  <c r="K99" i="35" s="1"/>
  <c r="T99" i="35" s="1"/>
  <c r="I97" i="35"/>
  <c r="J97" i="35" s="1"/>
  <c r="K97" i="35" s="1"/>
  <c r="T97" i="35" s="1"/>
  <c r="I95" i="35"/>
  <c r="J95" i="35" s="1"/>
  <c r="K95" i="35" s="1"/>
  <c r="T95" i="35" s="1"/>
  <c r="I65" i="35"/>
  <c r="J65" i="35" s="1"/>
  <c r="K65" i="35" s="1"/>
  <c r="T65" i="35" s="1"/>
  <c r="I63" i="35"/>
  <c r="J63" i="35" s="1"/>
  <c r="K63" i="35" s="1"/>
  <c r="T63" i="35" s="1"/>
  <c r="I59" i="35"/>
  <c r="J59" i="35" s="1"/>
  <c r="K59" i="35" s="1"/>
  <c r="T59" i="35" s="1"/>
  <c r="I57" i="35"/>
  <c r="J57" i="35" s="1"/>
  <c r="K57" i="35" s="1"/>
  <c r="T57" i="35" s="1"/>
  <c r="I55" i="35"/>
  <c r="J55" i="35" s="1"/>
  <c r="K55" i="35" s="1"/>
  <c r="T55" i="35" s="1"/>
  <c r="I53" i="35"/>
  <c r="J53" i="35" s="1"/>
  <c r="K53" i="35" s="1"/>
  <c r="T53" i="35" s="1"/>
  <c r="I51" i="35"/>
  <c r="J51" i="35" s="1"/>
  <c r="K51" i="35" s="1"/>
  <c r="T51" i="35" s="1"/>
  <c r="M34" i="32"/>
  <c r="M32" i="32"/>
  <c r="O33" i="32"/>
  <c r="P33" i="32" s="1"/>
  <c r="Q33" i="32" s="1"/>
  <c r="R33" i="32" s="1"/>
  <c r="S33" i="32" s="1"/>
  <c r="T33" i="32" s="1"/>
  <c r="U33" i="32" s="1"/>
  <c r="G35" i="32"/>
  <c r="H35" i="32" s="1"/>
  <c r="I35" i="32" s="1"/>
  <c r="J35" i="32" s="1"/>
  <c r="K35" i="32" s="1"/>
  <c r="L35" i="32" s="1"/>
  <c r="N29" i="32"/>
  <c r="F29" i="32"/>
  <c r="O31" i="32" l="1"/>
  <c r="P31" i="32" s="1"/>
  <c r="Q31" i="32" s="1"/>
  <c r="R31" i="32" s="1"/>
  <c r="S31" i="32" s="1"/>
  <c r="T31" i="32" s="1"/>
  <c r="M31" i="32"/>
  <c r="M30" i="32"/>
  <c r="V30" i="32"/>
  <c r="O38" i="32"/>
  <c r="P38" i="32" s="1"/>
  <c r="Q38" i="32" s="1"/>
  <c r="R38" i="32" s="1"/>
  <c r="S38" i="32" s="1"/>
  <c r="T38" i="32" s="1"/>
  <c r="U38" i="32" s="1"/>
  <c r="G51" i="32"/>
  <c r="H51" i="32" s="1"/>
  <c r="I51" i="32" s="1"/>
  <c r="J51" i="32" s="1"/>
  <c r="K51" i="32" s="1"/>
  <c r="L51" i="32" s="1"/>
  <c r="O50" i="32"/>
  <c r="P50" i="32" s="1"/>
  <c r="Q50" i="32" s="1"/>
  <c r="R50" i="32" s="1"/>
  <c r="S50" i="32" s="1"/>
  <c r="T50" i="32" s="1"/>
  <c r="U50" i="32" s="1"/>
  <c r="O41" i="32"/>
  <c r="P41" i="32" s="1"/>
  <c r="Q41" i="32" s="1"/>
  <c r="R41" i="32" s="1"/>
  <c r="S41" i="32" s="1"/>
  <c r="T41" i="32" s="1"/>
  <c r="U41" i="32" s="1"/>
  <c r="M42" i="32"/>
  <c r="V42" i="32"/>
  <c r="G48" i="32"/>
  <c r="H48" i="32" s="1"/>
  <c r="I48" i="32" s="1"/>
  <c r="J48" i="32" s="1"/>
  <c r="K48" i="32" s="1"/>
  <c r="L48" i="32" s="1"/>
  <c r="O54" i="32"/>
  <c r="P54" i="32" s="1"/>
  <c r="Q54" i="32" s="1"/>
  <c r="R54" i="32" s="1"/>
  <c r="S54" i="32" s="1"/>
  <c r="T54" i="32" s="1"/>
  <c r="G41" i="32"/>
  <c r="H41" i="32" s="1"/>
  <c r="I41" i="32" s="1"/>
  <c r="J41" i="32" s="1"/>
  <c r="K41" i="32" s="1"/>
  <c r="L41" i="32" s="1"/>
  <c r="G39" i="32"/>
  <c r="H39" i="32" s="1"/>
  <c r="I39" i="32" s="1"/>
  <c r="J39" i="32" s="1"/>
  <c r="K39" i="32" s="1"/>
  <c r="L39" i="32" s="1"/>
  <c r="G37" i="32"/>
  <c r="H37" i="32" s="1"/>
  <c r="I37" i="32" s="1"/>
  <c r="J37" i="32" s="1"/>
  <c r="K37" i="32" s="1"/>
  <c r="L37" i="32" s="1"/>
  <c r="G47" i="32"/>
  <c r="H47" i="32" s="1"/>
  <c r="I47" i="32" s="1"/>
  <c r="J47" i="32" s="1"/>
  <c r="K47" i="32" s="1"/>
  <c r="L47" i="32" s="1"/>
  <c r="O45" i="32"/>
  <c r="P45" i="32" s="1"/>
  <c r="Q45" i="32" s="1"/>
  <c r="R45" i="32" s="1"/>
  <c r="S45" i="32" s="1"/>
  <c r="T45" i="32" s="1"/>
  <c r="U45" i="32" s="1"/>
  <c r="G53" i="32"/>
  <c r="H53" i="32" s="1"/>
  <c r="I53" i="32" s="1"/>
  <c r="J53" i="32" s="1"/>
  <c r="K53" i="32" s="1"/>
  <c r="L53" i="32" s="1"/>
  <c r="O48" i="32"/>
  <c r="P48" i="32" s="1"/>
  <c r="Q48" i="32" s="1"/>
  <c r="R48" i="32" s="1"/>
  <c r="S48" i="32" s="1"/>
  <c r="T48" i="32" s="1"/>
  <c r="U48" i="32" s="1"/>
  <c r="M54" i="32"/>
  <c r="G43" i="32"/>
  <c r="H43" i="32" s="1"/>
  <c r="I43" i="32" s="1"/>
  <c r="J43" i="32" s="1"/>
  <c r="K43" i="32" s="1"/>
  <c r="L43" i="32" s="1"/>
  <c r="O36" i="32"/>
  <c r="P36" i="32" s="1"/>
  <c r="Q36" i="32" s="1"/>
  <c r="R36" i="32" s="1"/>
  <c r="S36" i="32" s="1"/>
  <c r="T36" i="32" s="1"/>
  <c r="U36" i="32" s="1"/>
  <c r="G49" i="32"/>
  <c r="H49" i="32" s="1"/>
  <c r="I49" i="32" s="1"/>
  <c r="J49" i="32" s="1"/>
  <c r="K49" i="32" s="1"/>
  <c r="L49" i="32" s="1"/>
  <c r="O44" i="32"/>
  <c r="P44" i="32" s="1"/>
  <c r="Q44" i="32" s="1"/>
  <c r="R44" i="32" s="1"/>
  <c r="S44" i="32" s="1"/>
  <c r="T44" i="32" s="1"/>
  <c r="G46" i="32"/>
  <c r="H46" i="32" s="1"/>
  <c r="I46" i="32" s="1"/>
  <c r="J46" i="32" s="1"/>
  <c r="K46" i="32" s="1"/>
  <c r="L46" i="32" s="1"/>
  <c r="O40" i="32"/>
  <c r="P40" i="32" s="1"/>
  <c r="Q40" i="32" s="1"/>
  <c r="R40" i="32" s="1"/>
  <c r="S40" i="32" s="1"/>
  <c r="T40" i="32" s="1"/>
  <c r="U40" i="32" s="1"/>
  <c r="O52" i="32"/>
  <c r="P52" i="32" s="1"/>
  <c r="Q52" i="32" s="1"/>
  <c r="R52" i="32" s="1"/>
  <c r="S52" i="32" s="1"/>
  <c r="T52" i="32" s="1"/>
  <c r="U52" i="32" s="1"/>
  <c r="O37" i="32"/>
  <c r="P37" i="32" s="1"/>
  <c r="Q37" i="32" s="1"/>
  <c r="R37" i="32" s="1"/>
  <c r="S37" i="32" s="1"/>
  <c r="T37" i="32" s="1"/>
  <c r="U37" i="32" s="1"/>
  <c r="G45" i="32"/>
  <c r="H45" i="32" s="1"/>
  <c r="I45" i="32" s="1"/>
  <c r="J45" i="32" s="1"/>
  <c r="K45" i="32" s="1"/>
  <c r="L45" i="32" s="1"/>
  <c r="M38" i="32"/>
  <c r="M50" i="32"/>
  <c r="M36" i="32"/>
  <c r="O49" i="32"/>
  <c r="P49" i="32" s="1"/>
  <c r="Q49" i="32" s="1"/>
  <c r="R49" i="32" s="1"/>
  <c r="S49" i="32" s="1"/>
  <c r="T49" i="32" s="1"/>
  <c r="U49" i="32" s="1"/>
  <c r="G44" i="32"/>
  <c r="H44" i="32" s="1"/>
  <c r="I44" i="32" s="1"/>
  <c r="J44" i="32" s="1"/>
  <c r="K44" i="32" s="1"/>
  <c r="L44" i="32" s="1"/>
  <c r="M44" i="32" s="1"/>
  <c r="O46" i="32"/>
  <c r="P46" i="32" s="1"/>
  <c r="Q46" i="32" s="1"/>
  <c r="R46" i="32" s="1"/>
  <c r="S46" i="32" s="1"/>
  <c r="T46" i="32" s="1"/>
  <c r="U46" i="32" s="1"/>
  <c r="G40" i="32"/>
  <c r="H40" i="32" s="1"/>
  <c r="I40" i="32" s="1"/>
  <c r="J40" i="32" s="1"/>
  <c r="K40" i="32" s="1"/>
  <c r="L40" i="32" s="1"/>
  <c r="M52" i="32"/>
  <c r="T61" i="35"/>
  <c r="T160" i="35"/>
  <c r="B18" i="32"/>
  <c r="C18" i="32"/>
  <c r="T111" i="35"/>
  <c r="T168" i="35"/>
  <c r="T77" i="35"/>
  <c r="T69" i="35"/>
  <c r="C23" i="35"/>
  <c r="S49" i="35"/>
  <c r="C22" i="35"/>
  <c r="B22" i="35"/>
  <c r="C24" i="35"/>
  <c r="B23" i="35"/>
  <c r="B24" i="35"/>
  <c r="H158" i="35"/>
  <c r="I158" i="35" s="1"/>
  <c r="J158" i="35" s="1"/>
  <c r="K158" i="35" s="1"/>
  <c r="T158" i="35" s="1"/>
  <c r="H166" i="35"/>
  <c r="I166" i="35" s="1"/>
  <c r="J166" i="35" s="1"/>
  <c r="K166" i="35" s="1"/>
  <c r="T166" i="35" s="1"/>
  <c r="H164" i="35"/>
  <c r="I164" i="35" s="1"/>
  <c r="J164" i="35" s="1"/>
  <c r="K164" i="35" s="1"/>
  <c r="T164" i="35" s="1"/>
  <c r="H159" i="35"/>
  <c r="I159" i="35" s="1"/>
  <c r="J159" i="35" s="1"/>
  <c r="K159" i="35" s="1"/>
  <c r="T159" i="35" s="1"/>
  <c r="H165" i="35"/>
  <c r="I165" i="35" s="1"/>
  <c r="J165" i="35" s="1"/>
  <c r="K165" i="35" s="1"/>
  <c r="T165" i="35" s="1"/>
  <c r="H167" i="35"/>
  <c r="I167" i="35" s="1"/>
  <c r="J167" i="35" s="1"/>
  <c r="K167" i="35" s="1"/>
  <c r="T167" i="35" s="1"/>
  <c r="H170" i="35"/>
  <c r="I170" i="35" s="1"/>
  <c r="J170" i="35" s="1"/>
  <c r="K170" i="35" s="1"/>
  <c r="T170" i="35" s="1"/>
  <c r="H162" i="35"/>
  <c r="I162" i="35" s="1"/>
  <c r="J162" i="35" s="1"/>
  <c r="K162" i="35" s="1"/>
  <c r="T162" i="35" s="1"/>
  <c r="H163" i="35"/>
  <c r="I163" i="35" s="1"/>
  <c r="J163" i="35" s="1"/>
  <c r="K163" i="35" s="1"/>
  <c r="T163" i="35" s="1"/>
  <c r="H169" i="35"/>
  <c r="I169" i="35" s="1"/>
  <c r="J169" i="35" s="1"/>
  <c r="K169" i="35" s="1"/>
  <c r="T169" i="35" s="1"/>
  <c r="H161" i="35"/>
  <c r="I161" i="35" s="1"/>
  <c r="J161" i="35" s="1"/>
  <c r="K161" i="35" s="1"/>
  <c r="T161" i="35" s="1"/>
  <c r="L168" i="35"/>
  <c r="L160" i="35"/>
  <c r="L49" i="35"/>
  <c r="T49" i="35"/>
  <c r="L103" i="35"/>
  <c r="L152" i="35"/>
  <c r="L157" i="35"/>
  <c r="L102" i="35"/>
  <c r="L106" i="35"/>
  <c r="L154" i="35"/>
  <c r="L105" i="35"/>
  <c r="L155" i="35"/>
  <c r="L104" i="35"/>
  <c r="L153" i="35"/>
  <c r="L156" i="35"/>
  <c r="L53" i="35"/>
  <c r="L57" i="35"/>
  <c r="L61" i="35"/>
  <c r="L65" i="35"/>
  <c r="L69" i="35"/>
  <c r="L73" i="35"/>
  <c r="L77" i="35"/>
  <c r="L81" i="35"/>
  <c r="L85" i="35"/>
  <c r="L89" i="35"/>
  <c r="L93" i="35"/>
  <c r="L97" i="35"/>
  <c r="L101" i="35"/>
  <c r="L107" i="35"/>
  <c r="L111" i="35"/>
  <c r="L115" i="35"/>
  <c r="L119" i="35"/>
  <c r="L123" i="35"/>
  <c r="L127" i="35"/>
  <c r="L131" i="35"/>
  <c r="L135" i="35"/>
  <c r="L139" i="35"/>
  <c r="L143" i="35"/>
  <c r="L147" i="35"/>
  <c r="L151" i="35"/>
  <c r="L51" i="35"/>
  <c r="L55" i="35"/>
  <c r="L59" i="35"/>
  <c r="L63" i="35"/>
  <c r="L67" i="35"/>
  <c r="L71" i="35"/>
  <c r="L75" i="35"/>
  <c r="L79" i="35"/>
  <c r="L83" i="35"/>
  <c r="L87" i="35"/>
  <c r="L91" i="35"/>
  <c r="L95" i="35"/>
  <c r="L99" i="35"/>
  <c r="L109" i="35"/>
  <c r="L113" i="35"/>
  <c r="L117" i="35"/>
  <c r="L121" i="35"/>
  <c r="L125" i="35"/>
  <c r="L129" i="35"/>
  <c r="L133" i="35"/>
  <c r="L137" i="35"/>
  <c r="L141" i="35"/>
  <c r="L145" i="35"/>
  <c r="L149" i="35"/>
  <c r="L50" i="35"/>
  <c r="L52" i="35"/>
  <c r="L54" i="35"/>
  <c r="L56" i="35"/>
  <c r="L58" i="35"/>
  <c r="L60" i="35"/>
  <c r="L62" i="35"/>
  <c r="L64" i="35"/>
  <c r="L66" i="35"/>
  <c r="L68" i="35"/>
  <c r="L70" i="35"/>
  <c r="L72" i="35"/>
  <c r="L74" i="35"/>
  <c r="L76" i="35"/>
  <c r="L78" i="35"/>
  <c r="L80" i="35"/>
  <c r="L82" i="35"/>
  <c r="L84" i="35"/>
  <c r="L86" i="35"/>
  <c r="L88" i="35"/>
  <c r="L90" i="35"/>
  <c r="L92" i="35"/>
  <c r="L94" i="35"/>
  <c r="L96" i="35"/>
  <c r="L98" i="35"/>
  <c r="L100" i="35"/>
  <c r="L108" i="35"/>
  <c r="L110" i="35"/>
  <c r="L112" i="35"/>
  <c r="L114" i="35"/>
  <c r="L116" i="35"/>
  <c r="L118" i="35"/>
  <c r="L120" i="35"/>
  <c r="L122" i="35"/>
  <c r="L124" i="35"/>
  <c r="L126" i="35"/>
  <c r="L128" i="35"/>
  <c r="L130" i="35"/>
  <c r="L132" i="35"/>
  <c r="L134" i="35"/>
  <c r="L136" i="35"/>
  <c r="L138" i="35"/>
  <c r="L140" i="35"/>
  <c r="L142" i="35"/>
  <c r="L144" i="35"/>
  <c r="L146" i="35"/>
  <c r="L148" i="35"/>
  <c r="L150" i="35"/>
  <c r="U32" i="32"/>
  <c r="V32" i="32"/>
  <c r="V33" i="32"/>
  <c r="M33" i="32"/>
  <c r="V35" i="32"/>
  <c r="M35" i="32"/>
  <c r="V34" i="32"/>
  <c r="G29" i="32"/>
  <c r="O29" i="32"/>
  <c r="P29" i="32" s="1"/>
  <c r="Q29" i="32" s="1"/>
  <c r="R29" i="32" s="1"/>
  <c r="S29" i="32" s="1"/>
  <c r="T29" i="32" s="1"/>
  <c r="U31" i="32" l="1"/>
  <c r="C22" i="32"/>
  <c r="V31" i="32"/>
  <c r="B22" i="32"/>
  <c r="V52" i="32"/>
  <c r="V50" i="32"/>
  <c r="V44" i="32"/>
  <c r="U44" i="32"/>
  <c r="M51" i="32"/>
  <c r="V51" i="32"/>
  <c r="M47" i="32"/>
  <c r="V47" i="32"/>
  <c r="U54" i="32"/>
  <c r="V54" i="32"/>
  <c r="M39" i="32"/>
  <c r="V39" i="32"/>
  <c r="M40" i="32"/>
  <c r="V40" i="32"/>
  <c r="M53" i="32"/>
  <c r="V53" i="32"/>
  <c r="V36" i="32"/>
  <c r="V38" i="32"/>
  <c r="M45" i="32"/>
  <c r="V45" i="32"/>
  <c r="M46" i="32"/>
  <c r="V46" i="32"/>
  <c r="M49" i="32"/>
  <c r="V49" i="32"/>
  <c r="M43" i="32"/>
  <c r="V43" i="32"/>
  <c r="V37" i="32"/>
  <c r="M37" i="32"/>
  <c r="M41" i="32"/>
  <c r="V41" i="32"/>
  <c r="M48" i="32"/>
  <c r="V48" i="32"/>
  <c r="B23" i="32"/>
  <c r="U29" i="32"/>
  <c r="C21" i="32"/>
  <c r="B21" i="32"/>
  <c r="C23" i="32"/>
  <c r="H29" i="32"/>
  <c r="B19" i="32"/>
  <c r="C19" i="32"/>
  <c r="L169" i="35"/>
  <c r="L162" i="35"/>
  <c r="L167" i="35"/>
  <c r="L159" i="35"/>
  <c r="L166" i="35"/>
  <c r="L161" i="35"/>
  <c r="L163" i="35"/>
  <c r="L170" i="35"/>
  <c r="L165" i="35"/>
  <c r="L164" i="35"/>
  <c r="L158" i="35"/>
  <c r="D22" i="35"/>
  <c r="D24" i="35"/>
  <c r="D23" i="35"/>
  <c r="I29" i="32" l="1"/>
  <c r="J29" i="32" s="1"/>
  <c r="K29" i="32" s="1"/>
  <c r="L29" i="32" s="1"/>
  <c r="C20" i="32"/>
  <c r="B20" i="32"/>
  <c r="L28" i="35"/>
  <c r="D21" i="32"/>
  <c r="D22" i="32"/>
  <c r="D23" i="32"/>
  <c r="V29" i="32" l="1"/>
  <c r="M29" i="32"/>
  <c r="M27" i="32" s="1"/>
</calcChain>
</file>

<file path=xl/comments1.xml><?xml version="1.0" encoding="utf-8"?>
<comments xmlns="http://schemas.openxmlformats.org/spreadsheetml/2006/main">
  <authors>
    <author>a0214251</author>
    <author>Steve Harrell</author>
  </authors>
  <commentList>
    <comment ref="B11" authorId="0">
      <text>
        <r>
          <rPr>
            <b/>
            <sz val="8"/>
            <color indexed="81"/>
            <rFont val="Tahoma"/>
            <family val="2"/>
          </rPr>
          <t>a0214251:</t>
        </r>
        <r>
          <rPr>
            <sz val="8"/>
            <color indexed="81"/>
            <rFont val="Tahoma"/>
            <family val="2"/>
          </rPr>
          <t xml:space="preserve">
do not change</t>
        </r>
      </text>
    </comment>
    <comment ref="C17" authorId="1">
      <text>
        <r>
          <rPr>
            <b/>
            <sz val="8"/>
            <color indexed="81"/>
            <rFont val="Tahoma"/>
            <family val="2"/>
          </rPr>
          <t>Steve Harrell:</t>
        </r>
        <r>
          <rPr>
            <sz val="8"/>
            <color indexed="81"/>
            <rFont val="Tahoma"/>
            <family val="2"/>
          </rPr>
          <t xml:space="preserve">
It is advised to limit this value to &lt;27000.
</t>
        </r>
      </text>
    </comment>
  </commentList>
</comments>
</file>

<file path=xl/comments2.xml><?xml version="1.0" encoding="utf-8"?>
<comments xmlns="http://schemas.openxmlformats.org/spreadsheetml/2006/main">
  <authors>
    <author>Steve Harrell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>Steve Harrell:</t>
        </r>
        <r>
          <rPr>
            <sz val="8"/>
            <color indexed="81"/>
            <rFont val="Tahoma"/>
            <family val="2"/>
          </rPr>
          <t xml:space="preserve">
It is advised to limit this value to &lt;27000.
</t>
        </r>
      </text>
    </comment>
  </commentList>
</comments>
</file>

<file path=xl/sharedStrings.xml><?xml version="1.0" encoding="utf-8"?>
<sst xmlns="http://schemas.openxmlformats.org/spreadsheetml/2006/main" count="193" uniqueCount="104">
  <si>
    <t>Max</t>
  </si>
  <si>
    <t>Min</t>
  </si>
  <si>
    <t>adp</t>
  </si>
  <si>
    <t>adp=(ad*rc0)/(rc0-(1-ad)*(rc0-ad)/(1-ad0))</t>
  </si>
  <si>
    <t>temp = Pb(adp/Pa(adp))</t>
  </si>
  <si>
    <t>Pb(x) = b3*x^3+b2*x^2+b1*x^1+b0</t>
  </si>
  <si>
    <t>Pa(x) = a4*x^4+a3*x^3+a2*x^2+a1*x^1+a0</t>
  </si>
  <si>
    <t>Value</t>
  </si>
  <si>
    <t>Vref</t>
  </si>
  <si>
    <t>Vadref</t>
  </si>
  <si>
    <t>ADres</t>
  </si>
  <si>
    <t>Vadmax</t>
  </si>
  <si>
    <t>Rs</t>
  </si>
  <si>
    <t>Vs</t>
  </si>
  <si>
    <t>Err</t>
  </si>
  <si>
    <t>Pa(adp)</t>
  </si>
  <si>
    <t>adp/
Pa(adp)</t>
  </si>
  <si>
    <t>temp (raw)</t>
  </si>
  <si>
    <t>temp (degC)</t>
  </si>
  <si>
    <t>R1 (PU) (K)</t>
  </si>
  <si>
    <t>R2 (PD) (K)</t>
  </si>
  <si>
    <t xml:space="preserve">
NTC
R(K)</t>
  </si>
  <si>
    <t>Reff(PD)
(K)</t>
  </si>
  <si>
    <t>temp
(degK)</t>
  </si>
  <si>
    <t>adp/Pa(adp)</t>
  </si>
  <si>
    <t>x^0</t>
  </si>
  <si>
    <t>x^1</t>
  </si>
  <si>
    <t>x^2</t>
  </si>
  <si>
    <t>x^3</t>
  </si>
  <si>
    <t>x^4</t>
  </si>
  <si>
    <t>mV(TS)</t>
  </si>
  <si>
    <t>Err^2</t>
  </si>
  <si>
    <t>sum of Err^2 =</t>
  </si>
  <si>
    <t>A0 (Coef5)</t>
  </si>
  <si>
    <t>A1 (Coef4)</t>
  </si>
  <si>
    <t>A2 (Coef3)</t>
  </si>
  <si>
    <t>A3 (Coef2)</t>
  </si>
  <si>
    <t>A4 (Coef1)</t>
  </si>
  <si>
    <t>B0 (Coef4)</t>
  </si>
  <si>
    <t>B1 (Coef3)</t>
  </si>
  <si>
    <t>B2 (Coef2)</t>
  </si>
  <si>
    <t>B3 (Coef1)</t>
  </si>
  <si>
    <t>Coef-B</t>
  </si>
  <si>
    <t>Coef-A</t>
  </si>
  <si>
    <t>Scalers</t>
  </si>
  <si>
    <t>Round</t>
  </si>
  <si>
    <t>Solver Target:</t>
  </si>
  <si>
    <t>Round
Error*100</t>
  </si>
  <si>
    <t xml:space="preserve">
Actual
Temp</t>
  </si>
  <si>
    <t>Floating Point Calc's</t>
  </si>
  <si>
    <t>Rounded Integer Calc's</t>
  </si>
  <si>
    <t>Analysis</t>
  </si>
  <si>
    <t>NTC Part#</t>
  </si>
  <si>
    <t>NTC Descr.</t>
  </si>
  <si>
    <t>NTC Network and ADC</t>
  </si>
  <si>
    <t>Firmware Linearization Equations:</t>
  </si>
  <si>
    <t>Coef Backoff:</t>
  </si>
  <si>
    <t>Max Coefficient:</t>
  </si>
  <si>
    <t>Error
for Plot</t>
  </si>
  <si>
    <t>Multiplier</t>
  </si>
  <si>
    <t>Err(Middle)</t>
  </si>
  <si>
    <t>16bit Min/Max:</t>
  </si>
  <si>
    <t>Err (Coldest)</t>
  </si>
  <si>
    <t>Err (Hottest)</t>
  </si>
  <si>
    <t>AbsMax</t>
  </si>
  <si>
    <t>adc
raw</t>
  </si>
  <si>
    <t>adc max</t>
  </si>
  <si>
    <t>&lt;- Pull-up from NTC</t>
  </si>
  <si>
    <t>&lt;- Pull-down, parallel to NTC</t>
  </si>
  <si>
    <t>ad0 (MaxT)</t>
  </si>
  <si>
    <t>rc0 (MinAD)</t>
  </si>
  <si>
    <t>DF</t>
  </si>
  <si>
    <t>Texas Instruments Fuel Gauge Temperature Polynomial Coefficient Calculator</t>
  </si>
  <si>
    <t>Host Side Configuration</t>
  </si>
  <si>
    <t>Pack Side configuration</t>
  </si>
  <si>
    <t>Temp©</t>
  </si>
  <si>
    <t>R-low(k)</t>
  </si>
  <si>
    <t>R-Center</t>
  </si>
  <si>
    <t>R-high</t>
  </si>
  <si>
    <t>10K +/-5% Beta= 3900K +/-3%</t>
  </si>
  <si>
    <t>3. Select Solver from Tools menu. Use Add-Ins menu if not available.</t>
  </si>
  <si>
    <t>2. Verify ADC count value in cell C17 does not exceed 27000</t>
  </si>
  <si>
    <t xml:space="preserve">          If necessary, raise value of R1 in cell B8 to a higher standard</t>
  </si>
  <si>
    <t xml:space="preserve">          resistor value so that C17 is under 27000.</t>
  </si>
  <si>
    <t>4. Set Target Cell to $M$27</t>
  </si>
  <si>
    <t>5. Choose Equal to: Value Of 0 (choose "Value Of", enter 0)</t>
  </si>
  <si>
    <t>6. Set "By Changing Cells" to $J$2:$J$6,$O$3:$O$6</t>
  </si>
  <si>
    <t>7. Set all the constrains</t>
  </si>
  <si>
    <t>8. Press Solve button - Accept the solution, even though not "feasible"</t>
  </si>
  <si>
    <t xml:space="preserve">9. Compare columns A and S to evaluate the accuracy </t>
  </si>
  <si>
    <t>10. Linearity may be improved by changing R2 in some cases</t>
  </si>
  <si>
    <t>1. Insert Temperature and Resistance values in column A&amp;B</t>
  </si>
  <si>
    <t>NTC103AT</t>
  </si>
  <si>
    <t>&lt;- Pull-up , parallel to NTC</t>
  </si>
  <si>
    <t>&lt;- Pull-down</t>
  </si>
  <si>
    <t>Rpad (K)</t>
  </si>
  <si>
    <t>RTsense</t>
  </si>
  <si>
    <t>adp=ad+(RTsense-ad)*(32767-rc0)/(32767-RTsense)</t>
  </si>
  <si>
    <t>temp 
(raw)</t>
  </si>
  <si>
    <t>ada</t>
  </si>
  <si>
    <t>temp = Pb(ada)</t>
  </si>
  <si>
    <t>Instructions (Host Side, Pack Side is similar)</t>
  </si>
  <si>
    <t xml:space="preserve">    (A lower number in M27 indicates a better fit)</t>
  </si>
  <si>
    <t>ada = rc0*ad/(adp-Rpad*ad/R2)/2^16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</si>
</sst>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0.0E+00"/>
    <numFmt numFmtId="167" formatCode="0.0000"/>
    <numFmt numFmtId="168" formatCode="0.00000"/>
  </numFmts>
  <fonts count="18"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新細明體"/>
      <family val="1"/>
      <charset val="136"/>
    </font>
    <font>
      <b/>
      <sz val="10"/>
      <color rgb="FFFF0000"/>
      <name val="Arial"/>
      <family val="2"/>
    </font>
    <font>
      <b/>
      <i/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>
      <alignment vertical="center"/>
    </xf>
    <xf numFmtId="9" fontId="1" fillId="0" borderId="0" applyFont="0" applyFill="0" applyBorder="0" applyAlignment="0" applyProtection="0"/>
    <xf numFmtId="0" fontId="2" fillId="0" borderId="0">
      <alignment vertical="center"/>
    </xf>
  </cellStyleXfs>
  <cellXfs count="129">
    <xf numFmtId="0" fontId="0" fillId="0" borderId="0" xfId="0"/>
    <xf numFmtId="0" fontId="1" fillId="0" borderId="0" xfId="1"/>
    <xf numFmtId="0" fontId="1" fillId="0" borderId="0" xfId="1" applyFill="1" applyBorder="1"/>
    <xf numFmtId="0" fontId="1" fillId="0" borderId="0" xfId="1" applyAlignment="1">
      <alignment horizontal="center"/>
    </xf>
    <xf numFmtId="165" fontId="1" fillId="0" borderId="0" xfId="1" applyNumberFormat="1"/>
    <xf numFmtId="0" fontId="1" fillId="0" borderId="1" xfId="1" applyBorder="1"/>
    <xf numFmtId="0" fontId="1" fillId="0" borderId="2" xfId="1" applyBorder="1"/>
    <xf numFmtId="0" fontId="1" fillId="0" borderId="3" xfId="1" applyBorder="1"/>
    <xf numFmtId="165" fontId="1" fillId="0" borderId="0" xfId="1" applyNumberFormat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0" xfId="1" applyFill="1"/>
    <xf numFmtId="0" fontId="3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3" borderId="0" xfId="1" applyFill="1"/>
    <xf numFmtId="0" fontId="1" fillId="0" borderId="0" xfId="1" applyAlignment="1">
      <alignment horizontal="center" wrapText="1"/>
    </xf>
    <xf numFmtId="0" fontId="3" fillId="0" borderId="3" xfId="1" applyFont="1" applyBorder="1"/>
    <xf numFmtId="0" fontId="1" fillId="0" borderId="0" xfId="1" applyFill="1" applyAlignment="1">
      <alignment horizontal="center"/>
    </xf>
    <xf numFmtId="165" fontId="1" fillId="0" borderId="4" xfId="1" applyNumberFormat="1" applyFill="1" applyBorder="1" applyAlignment="1">
      <alignment horizontal="right"/>
    </xf>
    <xf numFmtId="165" fontId="1" fillId="0" borderId="5" xfId="1" applyNumberFormat="1" applyFill="1" applyBorder="1" applyAlignment="1">
      <alignment horizontal="right"/>
    </xf>
    <xf numFmtId="0" fontId="1" fillId="2" borderId="6" xfId="1" applyFill="1" applyBorder="1" applyAlignment="1" applyProtection="1">
      <alignment horizontal="right"/>
    </xf>
    <xf numFmtId="165" fontId="1" fillId="0" borderId="8" xfId="1" applyNumberFormat="1" applyFill="1" applyBorder="1" applyAlignment="1">
      <alignment horizontal="right"/>
    </xf>
    <xf numFmtId="0" fontId="3" fillId="0" borderId="10" xfId="1" applyFont="1" applyBorder="1"/>
    <xf numFmtId="0" fontId="3" fillId="0" borderId="11" xfId="1" applyFont="1" applyBorder="1"/>
    <xf numFmtId="0" fontId="3" fillId="0" borderId="12" xfId="1" applyFont="1" applyBorder="1"/>
    <xf numFmtId="164" fontId="3" fillId="0" borderId="0" xfId="1" applyNumberFormat="1" applyFont="1" applyBorder="1" applyAlignment="1">
      <alignment horizontal="center"/>
    </xf>
    <xf numFmtId="0" fontId="3" fillId="0" borderId="0" xfId="1" applyFont="1" applyBorder="1"/>
    <xf numFmtId="164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3" fillId="0" borderId="0" xfId="1" applyFont="1" applyBorder="1" applyAlignment="1">
      <alignment horizontal="right"/>
    </xf>
    <xf numFmtId="0" fontId="3" fillId="4" borderId="13" xfId="1" applyFont="1" applyFill="1" applyBorder="1" applyAlignment="1">
      <alignment horizontal="center" wrapText="1"/>
    </xf>
    <xf numFmtId="0" fontId="3" fillId="4" borderId="14" xfId="1" applyFont="1" applyFill="1" applyBorder="1" applyAlignment="1">
      <alignment horizontal="center" wrapText="1"/>
    </xf>
    <xf numFmtId="0" fontId="3" fillId="4" borderId="15" xfId="1" applyFont="1" applyFill="1" applyBorder="1" applyAlignment="1">
      <alignment horizontal="center" wrapText="1"/>
    </xf>
    <xf numFmtId="0" fontId="3" fillId="5" borderId="13" xfId="1" applyFont="1" applyFill="1" applyBorder="1" applyAlignment="1">
      <alignment horizontal="center" wrapText="1"/>
    </xf>
    <xf numFmtId="0" fontId="3" fillId="5" borderId="14" xfId="1" applyFont="1" applyFill="1" applyBorder="1" applyAlignment="1">
      <alignment horizontal="center" wrapText="1"/>
    </xf>
    <xf numFmtId="0" fontId="3" fillId="5" borderId="15" xfId="1" applyFont="1" applyFill="1" applyBorder="1" applyAlignment="1">
      <alignment horizontal="center" wrapText="1"/>
    </xf>
    <xf numFmtId="2" fontId="9" fillId="6" borderId="16" xfId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Fill="1" applyBorder="1"/>
    <xf numFmtId="0" fontId="3" fillId="0" borderId="2" xfId="1" applyFont="1" applyBorder="1"/>
    <xf numFmtId="0" fontId="3" fillId="0" borderId="16" xfId="1" applyFont="1" applyBorder="1"/>
    <xf numFmtId="0" fontId="5" fillId="0" borderId="0" xfId="1" applyFont="1"/>
    <xf numFmtId="164" fontId="1" fillId="0" borderId="0" xfId="1" applyNumberFormat="1" applyAlignment="1">
      <alignment horizontal="center"/>
    </xf>
    <xf numFmtId="0" fontId="3" fillId="7" borderId="6" xfId="1" applyFont="1" applyFill="1" applyBorder="1" applyAlignment="1">
      <alignment horizontal="center"/>
    </xf>
    <xf numFmtId="0" fontId="1" fillId="7" borderId="3" xfId="1" applyFill="1" applyBorder="1" applyAlignment="1">
      <alignment horizontal="center"/>
    </xf>
    <xf numFmtId="2" fontId="1" fillId="7" borderId="6" xfId="1" applyNumberFormat="1" applyFill="1" applyBorder="1" applyAlignment="1">
      <alignment horizontal="center"/>
    </xf>
    <xf numFmtId="0" fontId="1" fillId="7" borderId="1" xfId="1" applyFill="1" applyBorder="1" applyAlignment="1">
      <alignment horizontal="center"/>
    </xf>
    <xf numFmtId="2" fontId="1" fillId="7" borderId="7" xfId="1" applyNumberFormat="1" applyFill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165" fontId="1" fillId="7" borderId="13" xfId="1" applyNumberFormat="1" applyFill="1" applyBorder="1" applyAlignment="1">
      <alignment horizontal="left"/>
    </xf>
    <xf numFmtId="165" fontId="1" fillId="7" borderId="14" xfId="1" applyNumberFormat="1" applyFill="1" applyBorder="1" applyAlignment="1">
      <alignment horizontal="left"/>
    </xf>
    <xf numFmtId="165" fontId="1" fillId="7" borderId="15" xfId="1" applyNumberFormat="1" applyFill="1" applyBorder="1" applyAlignment="1">
      <alignment horizontal="left"/>
    </xf>
    <xf numFmtId="0" fontId="1" fillId="7" borderId="13" xfId="1" applyFill="1" applyBorder="1" applyAlignment="1">
      <alignment horizontal="left"/>
    </xf>
    <xf numFmtId="0" fontId="1" fillId="7" borderId="14" xfId="1" applyFill="1" applyBorder="1" applyAlignment="1">
      <alignment horizontal="left"/>
    </xf>
    <xf numFmtId="0" fontId="1" fillId="7" borderId="15" xfId="1" applyFill="1" applyBorder="1" applyAlignment="1">
      <alignment horizontal="left"/>
    </xf>
    <xf numFmtId="0" fontId="10" fillId="0" borderId="0" xfId="1" applyFont="1"/>
    <xf numFmtId="0" fontId="1" fillId="0" borderId="0" xfId="1" quotePrefix="1"/>
    <xf numFmtId="11" fontId="3" fillId="7" borderId="7" xfId="1" applyNumberFormat="1" applyFont="1" applyFill="1" applyBorder="1" applyAlignment="1">
      <alignment horizontal="center"/>
    </xf>
    <xf numFmtId="2" fontId="1" fillId="0" borderId="0" xfId="3" applyNumberFormat="1" applyFont="1" applyAlignment="1">
      <alignment horizontal="center"/>
    </xf>
    <xf numFmtId="1" fontId="1" fillId="0" borderId="0" xfId="3" applyNumberFormat="1" applyFont="1" applyAlignment="1">
      <alignment horizontal="center"/>
    </xf>
    <xf numFmtId="0" fontId="1" fillId="0" borderId="0" xfId="3"/>
    <xf numFmtId="0" fontId="1" fillId="0" borderId="0" xfId="3" applyFill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0" fontId="1" fillId="0" borderId="0" xfId="3" applyFont="1" applyAlignment="1">
      <alignment horizontal="right"/>
    </xf>
    <xf numFmtId="0" fontId="11" fillId="0" borderId="0" xfId="3" applyFont="1"/>
    <xf numFmtId="0" fontId="1" fillId="8" borderId="6" xfId="1" applyFill="1" applyBorder="1" applyAlignment="1" applyProtection="1">
      <alignment horizontal="right"/>
    </xf>
    <xf numFmtId="2" fontId="1" fillId="7" borderId="17" xfId="1" applyNumberFormat="1" applyFill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1" fillId="2" borderId="19" xfId="1" applyFill="1" applyBorder="1" applyAlignment="1" applyProtection="1">
      <alignment horizontal="right"/>
    </xf>
    <xf numFmtId="0" fontId="1" fillId="2" borderId="20" xfId="1" applyFill="1" applyBorder="1" applyAlignment="1" applyProtection="1">
      <alignment horizontal="right"/>
    </xf>
    <xf numFmtId="0" fontId="1" fillId="2" borderId="21" xfId="1" applyFill="1" applyBorder="1" applyAlignment="1" applyProtection="1">
      <alignment horizontal="right"/>
    </xf>
    <xf numFmtId="0" fontId="1" fillId="0" borderId="22" xfId="1" applyBorder="1"/>
    <xf numFmtId="165" fontId="1" fillId="0" borderId="23" xfId="1" applyNumberFormat="1" applyFill="1" applyBorder="1" applyAlignment="1">
      <alignment horizontal="right"/>
    </xf>
    <xf numFmtId="0" fontId="1" fillId="2" borderId="24" xfId="1" applyFill="1" applyBorder="1" applyAlignment="1" applyProtection="1">
      <alignment horizontal="right"/>
    </xf>
    <xf numFmtId="0" fontId="1" fillId="6" borderId="6" xfId="3" applyFill="1" applyBorder="1"/>
    <xf numFmtId="0" fontId="1" fillId="6" borderId="7" xfId="3" applyFill="1" applyBorder="1"/>
    <xf numFmtId="0" fontId="1" fillId="6" borderId="9" xfId="3" applyFill="1" applyBorder="1"/>
    <xf numFmtId="0" fontId="3" fillId="0" borderId="12" xfId="3" applyFont="1" applyBorder="1" applyAlignment="1">
      <alignment horizontal="center"/>
    </xf>
    <xf numFmtId="0" fontId="1" fillId="6" borderId="25" xfId="3" applyFill="1" applyBorder="1" applyAlignment="1">
      <alignment horizontal="right"/>
    </xf>
    <xf numFmtId="0" fontId="1" fillId="6" borderId="7" xfId="3" applyFill="1" applyBorder="1" applyAlignment="1">
      <alignment horizontal="right"/>
    </xf>
    <xf numFmtId="0" fontId="1" fillId="6" borderId="9" xfId="3" applyFill="1" applyBorder="1" applyAlignment="1">
      <alignment horizontal="right"/>
    </xf>
    <xf numFmtId="0" fontId="1" fillId="7" borderId="7" xfId="1" applyFill="1" applyBorder="1" applyAlignment="1">
      <alignment horizontal="center"/>
    </xf>
    <xf numFmtId="0" fontId="1" fillId="7" borderId="2" xfId="1" applyFill="1" applyBorder="1" applyAlignment="1">
      <alignment horizontal="center"/>
    </xf>
    <xf numFmtId="0" fontId="12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/>
    <xf numFmtId="0" fontId="1" fillId="0" borderId="0" xfId="3" applyAlignment="1">
      <alignment horizontal="center"/>
    </xf>
    <xf numFmtId="0" fontId="3" fillId="4" borderId="13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4" borderId="15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1" fontId="3" fillId="7" borderId="6" xfId="1" applyNumberFormat="1" applyFont="1" applyFill="1" applyBorder="1" applyAlignment="1">
      <alignment horizontal="center"/>
    </xf>
    <xf numFmtId="0" fontId="3" fillId="5" borderId="13" xfId="1" applyFont="1" applyFill="1" applyBorder="1" applyAlignment="1"/>
    <xf numFmtId="0" fontId="3" fillId="5" borderId="14" xfId="1" applyFont="1" applyFill="1" applyBorder="1" applyAlignment="1"/>
    <xf numFmtId="0" fontId="3" fillId="5" borderId="15" xfId="1" applyFont="1" applyFill="1" applyBorder="1" applyAlignment="1"/>
    <xf numFmtId="167" fontId="1" fillId="0" borderId="0" xfId="3" applyNumberFormat="1" applyFont="1" applyAlignment="1">
      <alignment horizontal="center"/>
    </xf>
    <xf numFmtId="0" fontId="1" fillId="0" borderId="10" xfId="1" applyBorder="1"/>
    <xf numFmtId="0" fontId="1" fillId="8" borderId="12" xfId="1" applyFill="1" applyBorder="1" applyAlignment="1" applyProtection="1">
      <alignment horizontal="right"/>
    </xf>
    <xf numFmtId="0" fontId="1" fillId="2" borderId="12" xfId="1" applyFill="1" applyBorder="1" applyAlignment="1" applyProtection="1">
      <alignment horizontal="right"/>
    </xf>
    <xf numFmtId="0" fontId="1" fillId="0" borderId="0" xfId="1" applyFill="1" applyBorder="1" applyAlignment="1" applyProtection="1">
      <alignment horizontal="right"/>
    </xf>
    <xf numFmtId="0" fontId="1" fillId="0" borderId="0" xfId="3" applyFill="1"/>
    <xf numFmtId="0" fontId="1" fillId="0" borderId="0" xfId="3" applyFont="1" applyFill="1" applyAlignment="1">
      <alignment horizontal="right"/>
    </xf>
    <xf numFmtId="0" fontId="1" fillId="0" borderId="0" xfId="3" applyNumberFormat="1" applyFont="1" applyAlignment="1">
      <alignment horizontal="center"/>
    </xf>
    <xf numFmtId="168" fontId="1" fillId="0" borderId="0" xfId="3" applyNumberFormat="1" applyFont="1" applyAlignment="1">
      <alignment horizontal="center"/>
    </xf>
    <xf numFmtId="164" fontId="1" fillId="7" borderId="6" xfId="1" applyNumberFormat="1" applyFill="1" applyBorder="1" applyAlignment="1">
      <alignment horizontal="center"/>
    </xf>
    <xf numFmtId="164" fontId="1" fillId="7" borderId="7" xfId="1" applyNumberFormat="1" applyFill="1" applyBorder="1" applyAlignment="1">
      <alignment horizontal="center"/>
    </xf>
    <xf numFmtId="164" fontId="1" fillId="7" borderId="9" xfId="1" applyNumberFormat="1" applyFill="1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1" fillId="0" borderId="0" xfId="1" applyAlignment="1">
      <alignment wrapText="1"/>
    </xf>
    <xf numFmtId="0" fontId="13" fillId="3" borderId="0" xfId="0" applyFont="1" applyFill="1" applyAlignment="1">
      <alignment horizontal="center" wrapText="1"/>
    </xf>
    <xf numFmtId="0" fontId="1" fillId="0" borderId="0" xfId="3" applyAlignment="1">
      <alignment horizontal="center"/>
    </xf>
    <xf numFmtId="0" fontId="3" fillId="5" borderId="13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4" borderId="15" xfId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3 2" xfId="3"/>
    <cellStyle name="Normal 4" xfId="4"/>
    <cellStyle name="Percent 2" xfId="5"/>
    <cellStyle name="標準_BF05-3I103F" xfId="6"/>
  </cellStyles>
  <dxfs count="4"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5874363327679"/>
          <c:y val="4.5936395759717412E-2"/>
          <c:w val="0.7521452215079607"/>
          <c:h val="0.77385159010600879"/>
        </c:manualLayout>
      </c:layout>
      <c:scatterChart>
        <c:scatterStyle val="smoothMarker"/>
        <c:varyColors val="0"/>
        <c:ser>
          <c:idx val="5"/>
          <c:order val="4"/>
          <c:tx>
            <c:v>T Error</c:v>
          </c:tx>
          <c:spPr>
            <a:ln w="44450"/>
          </c:spPr>
          <c:marker>
            <c:symbol val="none"/>
          </c:marker>
          <c:xVal>
            <c:numRef>
              <c:f>'Host Side NTC Analysis'!$A$29:$A$38</c:f>
              <c:numCache>
                <c:formatCode>General</c:formatCode>
                <c:ptCount val="10"/>
                <c:pt idx="0">
                  <c:v>-40.096768618306598</c:v>
                </c:pt>
                <c:pt idx="1">
                  <c:v>-34.943605959593299</c:v>
                </c:pt>
                <c:pt idx="2">
                  <c:v>-29.736919069319601</c:v>
                </c:pt>
                <c:pt idx="3">
                  <c:v>-24.716308521164301</c:v>
                </c:pt>
                <c:pt idx="4">
                  <c:v>-19.8737553118923</c:v>
                </c:pt>
                <c:pt idx="5">
                  <c:v>-14.900112737536972</c:v>
                </c:pt>
                <c:pt idx="6">
                  <c:v>-10.060778184531999</c:v>
                </c:pt>
                <c:pt idx="7">
                  <c:v>-5.1781290849089601</c:v>
                </c:pt>
                <c:pt idx="8">
                  <c:v>-7.2284706174684701E-2</c:v>
                </c:pt>
                <c:pt idx="9">
                  <c:v>5.2740604345839897</c:v>
                </c:pt>
              </c:numCache>
            </c:numRef>
          </c:xVal>
          <c:yVal>
            <c:numRef>
              <c:f>'Host Side NTC Analysis'!$U$29:$U$38</c:f>
              <c:numCache>
                <c:formatCode>0.000</c:formatCode>
                <c:ptCount val="10"/>
                <c:pt idx="0">
                  <c:v>0.8304320857107399</c:v>
                </c:pt>
                <c:pt idx="1">
                  <c:v>-0.12393513388815336</c:v>
                </c:pt>
                <c:pt idx="2">
                  <c:v>-0.52634786766001795</c:v>
                </c:pt>
                <c:pt idx="3">
                  <c:v>-0.50695788669327868</c:v>
                </c:pt>
                <c:pt idx="4">
                  <c:v>-0.27540523431229857</c:v>
                </c:pt>
                <c:pt idx="5">
                  <c:v>3.5276484619259918E-2</c:v>
                </c:pt>
                <c:pt idx="6">
                  <c:v>0.28053604307528879</c:v>
                </c:pt>
                <c:pt idx="7">
                  <c:v>0.40227166131148806</c:v>
                </c:pt>
                <c:pt idx="8">
                  <c:v>0.37897939088475135</c:v>
                </c:pt>
                <c:pt idx="9">
                  <c:v>0.23482595221281333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98656"/>
        <c:axId val="309847168"/>
      </c:scatterChart>
      <c:scatterChart>
        <c:scatterStyle val="smoothMarker"/>
        <c:varyColors val="0"/>
        <c:ser>
          <c:idx val="1"/>
          <c:order val="0"/>
          <c:tx>
            <c:v>adc</c:v>
          </c:tx>
          <c:spPr>
            <a:ln w="22225"/>
          </c:spPr>
          <c:marker>
            <c:symbol val="none"/>
          </c:marker>
          <c:xVal>
            <c:numRef>
              <c:f>'Host Side NTC Analysis'!$A$29:$A$38</c:f>
              <c:numCache>
                <c:formatCode>General</c:formatCode>
                <c:ptCount val="10"/>
                <c:pt idx="0">
                  <c:v>-40.096768618306598</c:v>
                </c:pt>
                <c:pt idx="1">
                  <c:v>-34.943605959593299</c:v>
                </c:pt>
                <c:pt idx="2">
                  <c:v>-29.736919069319601</c:v>
                </c:pt>
                <c:pt idx="3">
                  <c:v>-24.716308521164301</c:v>
                </c:pt>
                <c:pt idx="4">
                  <c:v>-19.8737553118923</c:v>
                </c:pt>
                <c:pt idx="5">
                  <c:v>-14.900112737536972</c:v>
                </c:pt>
                <c:pt idx="6">
                  <c:v>-10.060778184531999</c:v>
                </c:pt>
                <c:pt idx="7">
                  <c:v>-5.1781290849089601</c:v>
                </c:pt>
                <c:pt idx="8">
                  <c:v>-7.2284706174684701E-2</c:v>
                </c:pt>
                <c:pt idx="9">
                  <c:v>5.2740604345839897</c:v>
                </c:pt>
              </c:numCache>
            </c:numRef>
          </c:xVal>
          <c:yVal>
            <c:numRef>
              <c:f>'Host Side NTC Analysis'!$E$29:$E$38</c:f>
              <c:numCache>
                <c:formatCode>General</c:formatCode>
                <c:ptCount val="10"/>
                <c:pt idx="0">
                  <c:v>29527</c:v>
                </c:pt>
                <c:pt idx="1">
                  <c:v>28824</c:v>
                </c:pt>
                <c:pt idx="2">
                  <c:v>27944</c:v>
                </c:pt>
                <c:pt idx="3">
                  <c:v>26921</c:v>
                </c:pt>
                <c:pt idx="4">
                  <c:v>25772</c:v>
                </c:pt>
                <c:pt idx="5">
                  <c:v>24431</c:v>
                </c:pt>
                <c:pt idx="6">
                  <c:v>22989</c:v>
                </c:pt>
                <c:pt idx="7">
                  <c:v>21424</c:v>
                </c:pt>
                <c:pt idx="8">
                  <c:v>19708</c:v>
                </c:pt>
                <c:pt idx="9">
                  <c:v>17872</c:v>
                </c:pt>
              </c:numCache>
            </c:numRef>
          </c:yVal>
          <c:smooth val="1"/>
        </c:ser>
        <c:ser>
          <c:idx val="2"/>
          <c:order val="1"/>
          <c:tx>
            <c:v>adp</c:v>
          </c:tx>
          <c:spPr>
            <a:ln w="25400"/>
          </c:spPr>
          <c:marker>
            <c:symbol val="none"/>
          </c:marker>
          <c:xVal>
            <c:numRef>
              <c:f>'Host Side NTC Analysis'!$A$29:$A$38</c:f>
              <c:numCache>
                <c:formatCode>General</c:formatCode>
                <c:ptCount val="10"/>
                <c:pt idx="0">
                  <c:v>-40.096768618306598</c:v>
                </c:pt>
                <c:pt idx="1">
                  <c:v>-34.943605959593299</c:v>
                </c:pt>
                <c:pt idx="2">
                  <c:v>-29.736919069319601</c:v>
                </c:pt>
                <c:pt idx="3">
                  <c:v>-24.716308521164301</c:v>
                </c:pt>
                <c:pt idx="4">
                  <c:v>-19.8737553118923</c:v>
                </c:pt>
                <c:pt idx="5">
                  <c:v>-14.900112737536972</c:v>
                </c:pt>
                <c:pt idx="6">
                  <c:v>-10.060778184531999</c:v>
                </c:pt>
                <c:pt idx="7">
                  <c:v>-5.1781290849089601</c:v>
                </c:pt>
                <c:pt idx="8">
                  <c:v>-7.2284706174684701E-2</c:v>
                </c:pt>
                <c:pt idx="9">
                  <c:v>5.2740604345839897</c:v>
                </c:pt>
              </c:numCache>
            </c:numRef>
          </c:xVal>
          <c:yVal>
            <c:numRef>
              <c:f>'Host Side NTC Analysis'!$N$29:$N$38</c:f>
              <c:numCache>
                <c:formatCode>0</c:formatCode>
                <c:ptCount val="10"/>
                <c:pt idx="0">
                  <c:v>29527</c:v>
                </c:pt>
                <c:pt idx="1">
                  <c:v>28824</c:v>
                </c:pt>
                <c:pt idx="2">
                  <c:v>27944</c:v>
                </c:pt>
                <c:pt idx="3">
                  <c:v>26921</c:v>
                </c:pt>
                <c:pt idx="4">
                  <c:v>25772</c:v>
                </c:pt>
                <c:pt idx="5">
                  <c:v>24431</c:v>
                </c:pt>
                <c:pt idx="6">
                  <c:v>22989</c:v>
                </c:pt>
                <c:pt idx="7">
                  <c:v>21424</c:v>
                </c:pt>
                <c:pt idx="8">
                  <c:v>19708</c:v>
                </c:pt>
                <c:pt idx="9">
                  <c:v>17872</c:v>
                </c:pt>
              </c:numCache>
            </c:numRef>
          </c:yVal>
          <c:smooth val="1"/>
        </c:ser>
        <c:ser>
          <c:idx val="0"/>
          <c:order val="2"/>
          <c:tx>
            <c:v>Pa(adp)</c:v>
          </c:tx>
          <c:spPr>
            <a:ln w="25400"/>
          </c:spPr>
          <c:marker>
            <c:symbol val="none"/>
          </c:marker>
          <c:xVal>
            <c:numRef>
              <c:f>'Host Side NTC Analysis'!$A$29:$A$38</c:f>
              <c:numCache>
                <c:formatCode>General</c:formatCode>
                <c:ptCount val="10"/>
                <c:pt idx="0">
                  <c:v>-40.096768618306598</c:v>
                </c:pt>
                <c:pt idx="1">
                  <c:v>-34.943605959593299</c:v>
                </c:pt>
                <c:pt idx="2">
                  <c:v>-29.736919069319601</c:v>
                </c:pt>
                <c:pt idx="3">
                  <c:v>-24.716308521164301</c:v>
                </c:pt>
                <c:pt idx="4">
                  <c:v>-19.8737553118923</c:v>
                </c:pt>
                <c:pt idx="5">
                  <c:v>-14.900112737536972</c:v>
                </c:pt>
                <c:pt idx="6">
                  <c:v>-10.060778184531999</c:v>
                </c:pt>
                <c:pt idx="7">
                  <c:v>-5.1781290849089601</c:v>
                </c:pt>
                <c:pt idx="8">
                  <c:v>-7.2284706174684701E-2</c:v>
                </c:pt>
                <c:pt idx="9">
                  <c:v>5.2740604345839897</c:v>
                </c:pt>
              </c:numCache>
            </c:numRef>
          </c:xVal>
          <c:yVal>
            <c:numRef>
              <c:f>'Host Side NTC Analysis'!$O$29:$O$38</c:f>
              <c:numCache>
                <c:formatCode>0</c:formatCode>
                <c:ptCount val="10"/>
                <c:pt idx="0">
                  <c:v>14768.890864480434</c:v>
                </c:pt>
                <c:pt idx="1">
                  <c:v>14686.065414544741</c:v>
                </c:pt>
                <c:pt idx="2">
                  <c:v>14547.302258814569</c:v>
                </c:pt>
                <c:pt idx="3">
                  <c:v>14341.153407135855</c:v>
                </c:pt>
                <c:pt idx="4">
                  <c:v>14058.047600142956</c:v>
                </c:pt>
                <c:pt idx="5">
                  <c:v>13667.052343512314</c:v>
                </c:pt>
                <c:pt idx="6">
                  <c:v>13184.064843973385</c:v>
                </c:pt>
                <c:pt idx="7">
                  <c:v>12598.34064610647</c:v>
                </c:pt>
                <c:pt idx="8">
                  <c:v>11895.652468405175</c:v>
                </c:pt>
                <c:pt idx="9">
                  <c:v>11087.40126748024</c:v>
                </c:pt>
              </c:numCache>
            </c:numRef>
          </c:yVal>
          <c:smooth val="1"/>
        </c:ser>
        <c:ser>
          <c:idx val="3"/>
          <c:order val="3"/>
          <c:tx>
            <c:v>adp/Pa(adp)</c:v>
          </c:tx>
          <c:spPr>
            <a:ln w="25400">
              <a:prstDash val="solid"/>
            </a:ln>
          </c:spPr>
          <c:marker>
            <c:symbol val="none"/>
          </c:marker>
          <c:xVal>
            <c:numRef>
              <c:f>'Host Side NTC Analysis'!$A$29:$A$38</c:f>
              <c:numCache>
                <c:formatCode>General</c:formatCode>
                <c:ptCount val="10"/>
                <c:pt idx="0">
                  <c:v>-40.096768618306598</c:v>
                </c:pt>
                <c:pt idx="1">
                  <c:v>-34.943605959593299</c:v>
                </c:pt>
                <c:pt idx="2">
                  <c:v>-29.736919069319601</c:v>
                </c:pt>
                <c:pt idx="3">
                  <c:v>-24.716308521164301</c:v>
                </c:pt>
                <c:pt idx="4">
                  <c:v>-19.8737553118923</c:v>
                </c:pt>
                <c:pt idx="5">
                  <c:v>-14.900112737536972</c:v>
                </c:pt>
                <c:pt idx="6">
                  <c:v>-10.060778184531999</c:v>
                </c:pt>
                <c:pt idx="7">
                  <c:v>-5.1781290849089601</c:v>
                </c:pt>
                <c:pt idx="8">
                  <c:v>-7.2284706174684701E-2</c:v>
                </c:pt>
                <c:pt idx="9">
                  <c:v>5.2740604345839897</c:v>
                </c:pt>
              </c:numCache>
            </c:numRef>
          </c:xVal>
          <c:yVal>
            <c:numRef>
              <c:f>'Host Side NTC Analysis'!$P$29:$P$38</c:f>
              <c:numCache>
                <c:formatCode>0</c:formatCode>
                <c:ptCount val="10"/>
                <c:pt idx="0">
                  <c:v>32756.039193402146</c:v>
                </c:pt>
                <c:pt idx="1">
                  <c:v>32156.496833542093</c:v>
                </c:pt>
                <c:pt idx="2">
                  <c:v>31472.123686890936</c:v>
                </c:pt>
                <c:pt idx="3">
                  <c:v>30755.801257974905</c:v>
                </c:pt>
                <c:pt idx="4">
                  <c:v>30036.066174346015</c:v>
                </c:pt>
                <c:pt idx="5">
                  <c:v>29287.771345224257</c:v>
                </c:pt>
                <c:pt idx="6">
                  <c:v>28568.713857029659</c:v>
                </c:pt>
                <c:pt idx="7">
                  <c:v>27861.670505669354</c:v>
                </c:pt>
                <c:pt idx="8">
                  <c:v>27144.023655500248</c:v>
                </c:pt>
                <c:pt idx="9">
                  <c:v>26409.69158921278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14816"/>
        <c:axId val="70916352"/>
      </c:scatterChart>
      <c:valAx>
        <c:axId val="67398656"/>
        <c:scaling>
          <c:orientation val="minMax"/>
          <c:max val="125"/>
          <c:min val="-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9847168"/>
        <c:crossesAt val="-10"/>
        <c:crossBetween val="midCat"/>
        <c:majorUnit val="25"/>
      </c:valAx>
      <c:valAx>
        <c:axId val="309847168"/>
        <c:scaling>
          <c:orientation val="minMax"/>
          <c:max val="10"/>
          <c:min val="-10"/>
        </c:scaling>
        <c:delete val="0"/>
        <c:axPos val="l"/>
        <c:majorGridlines>
          <c:spPr>
            <a:ln w="0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Error</a:t>
                </a:r>
                <a:r>
                  <a:rPr lang="en-US" baseline="0"/>
                  <a:t> (C)</a:t>
                </a: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67398656"/>
        <c:crossesAt val="-50"/>
        <c:crossBetween val="midCat"/>
        <c:majorUnit val="2"/>
      </c:valAx>
      <c:valAx>
        <c:axId val="7091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916352"/>
        <c:crosses val="autoZero"/>
        <c:crossBetween val="midCat"/>
      </c:valAx>
      <c:valAx>
        <c:axId val="70916352"/>
        <c:scaling>
          <c:orientation val="minMax"/>
          <c:max val="3278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Code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-1200000"/>
          <a:lstStyle/>
          <a:p>
            <a:pPr>
              <a:defRPr/>
            </a:pPr>
            <a:endParaRPr lang="en-US"/>
          </a:p>
        </c:txPr>
        <c:crossAx val="70914816"/>
        <c:crosses val="max"/>
        <c:crossBetween val="midCat"/>
        <c:majorUnit val="8192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0609872269561562"/>
          <c:y val="1.9004978772280821E-2"/>
          <c:w val="0.29546597769581329"/>
          <c:h val="0.43398997593574701"/>
        </c:manualLayout>
      </c:layout>
      <c:overlay val="0"/>
    </c:legend>
    <c:plotVisOnly val="1"/>
    <c:dispBlanksAs val="gap"/>
    <c:showDLblsOverMax val="0"/>
  </c:chart>
  <c:spPr>
    <a:ln w="12700"/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5874363327679"/>
          <c:y val="4.5936395759717412E-2"/>
          <c:w val="0.7521452215079607"/>
          <c:h val="0.77385159010600901"/>
        </c:manualLayout>
      </c:layout>
      <c:scatterChart>
        <c:scatterStyle val="smoothMarker"/>
        <c:varyColors val="0"/>
        <c:ser>
          <c:idx val="5"/>
          <c:order val="4"/>
          <c:tx>
            <c:v>T Error</c:v>
          </c:tx>
          <c:spPr>
            <a:ln w="44450"/>
          </c:spPr>
          <c:marker>
            <c:symbol val="none"/>
          </c:marker>
          <c:xVal>
            <c:numRef>
              <c:f>'Pack Side NTC Analysis'!$A$49:$A$157</c:f>
              <c:numCache>
                <c:formatCode>General</c:formatCode>
                <c:ptCount val="109"/>
                <c:pt idx="0">
                  <c:v>-21</c:v>
                </c:pt>
                <c:pt idx="1">
                  <c:v>-20</c:v>
                </c:pt>
                <c:pt idx="2">
                  <c:v>-19</c:v>
                </c:pt>
                <c:pt idx="3">
                  <c:v>-18</c:v>
                </c:pt>
                <c:pt idx="4">
                  <c:v>-17</c:v>
                </c:pt>
                <c:pt idx="5">
                  <c:v>-16</c:v>
                </c:pt>
                <c:pt idx="6">
                  <c:v>-15</c:v>
                </c:pt>
                <c:pt idx="7">
                  <c:v>-14</c:v>
                </c:pt>
                <c:pt idx="8">
                  <c:v>-13</c:v>
                </c:pt>
                <c:pt idx="9">
                  <c:v>-12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-7</c:v>
                </c:pt>
                <c:pt idx="15">
                  <c:v>-6</c:v>
                </c:pt>
                <c:pt idx="16">
                  <c:v>-5</c:v>
                </c:pt>
                <c:pt idx="17">
                  <c:v>-4</c:v>
                </c:pt>
                <c:pt idx="18">
                  <c:v>-3</c:v>
                </c:pt>
                <c:pt idx="19">
                  <c:v>-2</c:v>
                </c:pt>
                <c:pt idx="20">
                  <c:v>-1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  <c:pt idx="70">
                  <c:v>49</c:v>
                </c:pt>
                <c:pt idx="71">
                  <c:v>50</c:v>
                </c:pt>
                <c:pt idx="72">
                  <c:v>51</c:v>
                </c:pt>
                <c:pt idx="73">
                  <c:v>52</c:v>
                </c:pt>
                <c:pt idx="74">
                  <c:v>53</c:v>
                </c:pt>
                <c:pt idx="75">
                  <c:v>54</c:v>
                </c:pt>
                <c:pt idx="76">
                  <c:v>55</c:v>
                </c:pt>
                <c:pt idx="77">
                  <c:v>56</c:v>
                </c:pt>
                <c:pt idx="78">
                  <c:v>57</c:v>
                </c:pt>
                <c:pt idx="79">
                  <c:v>58</c:v>
                </c:pt>
                <c:pt idx="80">
                  <c:v>59</c:v>
                </c:pt>
                <c:pt idx="81">
                  <c:v>60</c:v>
                </c:pt>
                <c:pt idx="82">
                  <c:v>61</c:v>
                </c:pt>
                <c:pt idx="83">
                  <c:v>62</c:v>
                </c:pt>
                <c:pt idx="84">
                  <c:v>63</c:v>
                </c:pt>
                <c:pt idx="85">
                  <c:v>64</c:v>
                </c:pt>
                <c:pt idx="86">
                  <c:v>65</c:v>
                </c:pt>
                <c:pt idx="87">
                  <c:v>66</c:v>
                </c:pt>
                <c:pt idx="88">
                  <c:v>67</c:v>
                </c:pt>
                <c:pt idx="89">
                  <c:v>68</c:v>
                </c:pt>
                <c:pt idx="90">
                  <c:v>69</c:v>
                </c:pt>
                <c:pt idx="91">
                  <c:v>70</c:v>
                </c:pt>
                <c:pt idx="92">
                  <c:v>71</c:v>
                </c:pt>
                <c:pt idx="93">
                  <c:v>72</c:v>
                </c:pt>
                <c:pt idx="94">
                  <c:v>73</c:v>
                </c:pt>
                <c:pt idx="95">
                  <c:v>74</c:v>
                </c:pt>
                <c:pt idx="96">
                  <c:v>75</c:v>
                </c:pt>
                <c:pt idx="97">
                  <c:v>76</c:v>
                </c:pt>
                <c:pt idx="98">
                  <c:v>77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81</c:v>
                </c:pt>
                <c:pt idx="103">
                  <c:v>82</c:v>
                </c:pt>
                <c:pt idx="104">
                  <c:v>83</c:v>
                </c:pt>
                <c:pt idx="105">
                  <c:v>84</c:v>
                </c:pt>
                <c:pt idx="106">
                  <c:v>85</c:v>
                </c:pt>
                <c:pt idx="107">
                  <c:v>86</c:v>
                </c:pt>
                <c:pt idx="108">
                  <c:v>87</c:v>
                </c:pt>
              </c:numCache>
            </c:numRef>
          </c:xVal>
          <c:yVal>
            <c:numRef>
              <c:f>'Pack Side NTC Analysis'!$S$49:$S$157</c:f>
              <c:numCache>
                <c:formatCode>0.000</c:formatCode>
                <c:ptCount val="109"/>
                <c:pt idx="0">
                  <c:v>1.8086273480500665</c:v>
                </c:pt>
                <c:pt idx="1">
                  <c:v>1.4790892908709168</c:v>
                </c:pt>
                <c:pt idx="2">
                  <c:v>1.1731992009920589</c:v>
                </c:pt>
                <c:pt idx="3">
                  <c:v>0.89002216853697291</c:v>
                </c:pt>
                <c:pt idx="4">
                  <c:v>0.62860165514166511</c:v>
                </c:pt>
                <c:pt idx="5">
                  <c:v>0.39535971296976413</c:v>
                </c:pt>
                <c:pt idx="6">
                  <c:v>0.18171422326742004</c:v>
                </c:pt>
                <c:pt idx="7">
                  <c:v>-1.3348293541923795E-2</c:v>
                </c:pt>
                <c:pt idx="8">
                  <c:v>-0.18375092455073627</c:v>
                </c:pt>
                <c:pt idx="9">
                  <c:v>-0.33783419435155793</c:v>
                </c:pt>
                <c:pt idx="10">
                  <c:v>-0.46285867303066652</c:v>
                </c:pt>
                <c:pt idx="11">
                  <c:v>-0.56730252655859204</c:v>
                </c:pt>
                <c:pt idx="12">
                  <c:v>-0.65255229262879766</c:v>
                </c:pt>
                <c:pt idx="13">
                  <c:v>-0.71999984641769288</c:v>
                </c:pt>
                <c:pt idx="14">
                  <c:v>-0.7645957064016784</c:v>
                </c:pt>
                <c:pt idx="15">
                  <c:v>-0.78808023477711231</c:v>
                </c:pt>
                <c:pt idx="16">
                  <c:v>-0.80460381988700647</c:v>
                </c:pt>
                <c:pt idx="17">
                  <c:v>-0.80300922726684121</c:v>
                </c:pt>
                <c:pt idx="18">
                  <c:v>-0.78500996891057184</c:v>
                </c:pt>
                <c:pt idx="19">
                  <c:v>-0.75814151614730463</c:v>
                </c:pt>
                <c:pt idx="20">
                  <c:v>-0.71798578739048935</c:v>
                </c:pt>
                <c:pt idx="21">
                  <c:v>-0.66617737080059669</c:v>
                </c:pt>
                <c:pt idx="22">
                  <c:v>-0.60431176306337875</c:v>
                </c:pt>
                <c:pt idx="23">
                  <c:v>-0.53393809224428423</c:v>
                </c:pt>
                <c:pt idx="24">
                  <c:v>-0.46177154909730689</c:v>
                </c:pt>
                <c:pt idx="25">
                  <c:v>-0.38377957039779176</c:v>
                </c:pt>
                <c:pt idx="26">
                  <c:v>-0.29635785298739847</c:v>
                </c:pt>
                <c:pt idx="27">
                  <c:v>-0.21572154519043352</c:v>
                </c:pt>
                <c:pt idx="28">
                  <c:v>-0.12816546643830407</c:v>
                </c:pt>
                <c:pt idx="29">
                  <c:v>-4.4402507538507052E-2</c:v>
                </c:pt>
                <c:pt idx="30">
                  <c:v>3.9380176691963698E-2</c:v>
                </c:pt>
                <c:pt idx="31">
                  <c:v>0.12224325190635454</c:v>
                </c:pt>
                <c:pt idx="32">
                  <c:v>0.19908396323830857</c:v>
                </c:pt>
                <c:pt idx="33">
                  <c:v>0.2695079131386251</c:v>
                </c:pt>
                <c:pt idx="34">
                  <c:v>0.33727414216588159</c:v>
                </c:pt>
                <c:pt idx="35">
                  <c:v>0.39793033496243879</c:v>
                </c:pt>
                <c:pt idx="36">
                  <c:v>0.45139970480192915</c:v>
                </c:pt>
                <c:pt idx="37">
                  <c:v>0.49395658975504375</c:v>
                </c:pt>
                <c:pt idx="38">
                  <c:v>0.53335177362669128</c:v>
                </c:pt>
                <c:pt idx="39">
                  <c:v>0.55882891954075831</c:v>
                </c:pt>
                <c:pt idx="40">
                  <c:v>0.57825210683671457</c:v>
                </c:pt>
                <c:pt idx="41">
                  <c:v>0.58866496697822868</c:v>
                </c:pt>
                <c:pt idx="42">
                  <c:v>0.59086937079064228</c:v>
                </c:pt>
                <c:pt idx="43">
                  <c:v>0.58575852797548578</c:v>
                </c:pt>
                <c:pt idx="44">
                  <c:v>0.57109577133178391</c:v>
                </c:pt>
                <c:pt idx="45">
                  <c:v>0.54812722171510586</c:v>
                </c:pt>
                <c:pt idx="46">
                  <c:v>0.51815869317601937</c:v>
                </c:pt>
                <c:pt idx="47">
                  <c:v>0.48255501308790372</c:v>
                </c:pt>
                <c:pt idx="48">
                  <c:v>0.43971058682996045</c:v>
                </c:pt>
                <c:pt idx="49">
                  <c:v>0.39120959559551238</c:v>
                </c:pt>
                <c:pt idx="50">
                  <c:v>0.33865989038469024</c:v>
                </c:pt>
                <c:pt idx="51">
                  <c:v>0.28075019789343969</c:v>
                </c:pt>
                <c:pt idx="52">
                  <c:v>0.2250353481101115</c:v>
                </c:pt>
                <c:pt idx="53">
                  <c:v>0.16440116161362539</c:v>
                </c:pt>
                <c:pt idx="54">
                  <c:v>0.10058567874852997</c:v>
                </c:pt>
                <c:pt idx="55">
                  <c:v>4.1087879453471032E-2</c:v>
                </c:pt>
                <c:pt idx="56">
                  <c:v>-2.1137642122312172E-2</c:v>
                </c:pt>
                <c:pt idx="57">
                  <c:v>-7.8648216428462092E-2</c:v>
                </c:pt>
                <c:pt idx="58">
                  <c:v>-0.13567384737501698</c:v>
                </c:pt>
                <c:pt idx="59">
                  <c:v>-0.19070983897785254</c:v>
                </c:pt>
                <c:pt idx="60">
                  <c:v>-0.23935296271980633</c:v>
                </c:pt>
                <c:pt idx="61">
                  <c:v>-0.28613653263641936</c:v>
                </c:pt>
                <c:pt idx="62">
                  <c:v>-0.32680767956304635</c:v>
                </c:pt>
                <c:pt idx="63">
                  <c:v>-0.36011829215163971</c:v>
                </c:pt>
                <c:pt idx="64">
                  <c:v>-0.39107094255928132</c:v>
                </c:pt>
                <c:pt idx="65">
                  <c:v>-0.41250980022920203</c:v>
                </c:pt>
                <c:pt idx="66">
                  <c:v>-0.42974515123978563</c:v>
                </c:pt>
                <c:pt idx="67">
                  <c:v>-0.43883357309704252</c:v>
                </c:pt>
                <c:pt idx="68">
                  <c:v>-0.44227914036360971</c:v>
                </c:pt>
                <c:pt idx="69">
                  <c:v>-0.43953172615374569</c:v>
                </c:pt>
                <c:pt idx="70">
                  <c:v>-0.42672676232263029</c:v>
                </c:pt>
                <c:pt idx="71">
                  <c:v>-0.41019530425614903</c:v>
                </c:pt>
                <c:pt idx="72">
                  <c:v>-0.38978790676407016</c:v>
                </c:pt>
                <c:pt idx="73">
                  <c:v>-0.36185768553139042</c:v>
                </c:pt>
                <c:pt idx="74">
                  <c:v>-0.32985442528047315</c:v>
                </c:pt>
                <c:pt idx="75">
                  <c:v>-0.29384451399562295</c:v>
                </c:pt>
                <c:pt idx="76">
                  <c:v>-0.25395832057051848</c:v>
                </c:pt>
                <c:pt idx="77">
                  <c:v>-0.21038555202545695</c:v>
                </c:pt>
                <c:pt idx="78">
                  <c:v>-0.16337085262335904</c:v>
                </c:pt>
                <c:pt idx="79">
                  <c:v>-0.11320963238142667</c:v>
                </c:pt>
                <c:pt idx="80">
                  <c:v>-6.429875467392776E-2</c:v>
                </c:pt>
                <c:pt idx="81">
                  <c:v>-1.3112575326204023E-2</c:v>
                </c:pt>
                <c:pt idx="82">
                  <c:v>3.9922547537969422E-2</c:v>
                </c:pt>
                <c:pt idx="83">
                  <c:v>9.0073645200561714E-2</c:v>
                </c:pt>
                <c:pt idx="84">
                  <c:v>0.14097152584145078</c:v>
                </c:pt>
                <c:pt idx="85">
                  <c:v>0.187675504998424</c:v>
                </c:pt>
                <c:pt idx="86">
                  <c:v>0.23390521313831414</c:v>
                </c:pt>
                <c:pt idx="87">
                  <c:v>0.27908610861118177</c:v>
                </c:pt>
                <c:pt idx="88">
                  <c:v>0.32262290326764287</c:v>
                </c:pt>
                <c:pt idx="89">
                  <c:v>0.35919648379910996</c:v>
                </c:pt>
                <c:pt idx="90">
                  <c:v>0.39273894180570323</c:v>
                </c:pt>
                <c:pt idx="91">
                  <c:v>0.41775955672966347</c:v>
                </c:pt>
                <c:pt idx="92">
                  <c:v>0.42847462891853638</c:v>
                </c:pt>
                <c:pt idx="93">
                  <c:v>0.42879216256392283</c:v>
                </c:pt>
                <c:pt idx="94">
                  <c:v>0.42289496644269775</c:v>
                </c:pt>
                <c:pt idx="95">
                  <c:v>0.4101125307553275</c:v>
                </c:pt>
                <c:pt idx="96">
                  <c:v>0.38458112579502313</c:v>
                </c:pt>
                <c:pt idx="97">
                  <c:v>0.35068159606993277</c:v>
                </c:pt>
                <c:pt idx="98">
                  <c:v>0.3130593202939167</c:v>
                </c:pt>
                <c:pt idx="99">
                  <c:v>0.2604633886207921</c:v>
                </c:pt>
                <c:pt idx="100">
                  <c:v>0.19747656991148688</c:v>
                </c:pt>
                <c:pt idx="101">
                  <c:v>0.11791933084873563</c:v>
                </c:pt>
                <c:pt idx="102">
                  <c:v>3.2084999558037453E-2</c:v>
                </c:pt>
                <c:pt idx="103">
                  <c:v>-6.6134373193563079E-2</c:v>
                </c:pt>
                <c:pt idx="104">
                  <c:v>-0.1773928544172918</c:v>
                </c:pt>
                <c:pt idx="105">
                  <c:v>-0.30233743340693309</c:v>
                </c:pt>
                <c:pt idx="106">
                  <c:v>-0.44160714140588198</c:v>
                </c:pt>
                <c:pt idx="107">
                  <c:v>-0.58997126179156112</c:v>
                </c:pt>
                <c:pt idx="108">
                  <c:v>-0.75380225212211371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86880"/>
        <c:axId val="72189056"/>
      </c:scatterChart>
      <c:scatterChart>
        <c:scatterStyle val="smoothMarker"/>
        <c:varyColors val="0"/>
        <c:ser>
          <c:idx val="1"/>
          <c:order val="0"/>
          <c:tx>
            <c:v>adc</c:v>
          </c:tx>
          <c:spPr>
            <a:ln w="22225"/>
          </c:spPr>
          <c:marker>
            <c:symbol val="none"/>
          </c:marker>
          <c:xVal>
            <c:numRef>
              <c:f>'Pack Side NTC Analysis'!$A$49:$A$157</c:f>
              <c:numCache>
                <c:formatCode>General</c:formatCode>
                <c:ptCount val="109"/>
                <c:pt idx="0">
                  <c:v>-21</c:v>
                </c:pt>
                <c:pt idx="1">
                  <c:v>-20</c:v>
                </c:pt>
                <c:pt idx="2">
                  <c:v>-19</c:v>
                </c:pt>
                <c:pt idx="3">
                  <c:v>-18</c:v>
                </c:pt>
                <c:pt idx="4">
                  <c:v>-17</c:v>
                </c:pt>
                <c:pt idx="5">
                  <c:v>-16</c:v>
                </c:pt>
                <c:pt idx="6">
                  <c:v>-15</c:v>
                </c:pt>
                <c:pt idx="7">
                  <c:v>-14</c:v>
                </c:pt>
                <c:pt idx="8">
                  <c:v>-13</c:v>
                </c:pt>
                <c:pt idx="9">
                  <c:v>-12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-7</c:v>
                </c:pt>
                <c:pt idx="15">
                  <c:v>-6</c:v>
                </c:pt>
                <c:pt idx="16">
                  <c:v>-5</c:v>
                </c:pt>
                <c:pt idx="17">
                  <c:v>-4</c:v>
                </c:pt>
                <c:pt idx="18">
                  <c:v>-3</c:v>
                </c:pt>
                <c:pt idx="19">
                  <c:v>-2</c:v>
                </c:pt>
                <c:pt idx="20">
                  <c:v>-1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  <c:pt idx="70">
                  <c:v>49</c:v>
                </c:pt>
                <c:pt idx="71">
                  <c:v>50</c:v>
                </c:pt>
                <c:pt idx="72">
                  <c:v>51</c:v>
                </c:pt>
                <c:pt idx="73">
                  <c:v>52</c:v>
                </c:pt>
                <c:pt idx="74">
                  <c:v>53</c:v>
                </c:pt>
                <c:pt idx="75">
                  <c:v>54</c:v>
                </c:pt>
                <c:pt idx="76">
                  <c:v>55</c:v>
                </c:pt>
                <c:pt idx="77">
                  <c:v>56</c:v>
                </c:pt>
                <c:pt idx="78">
                  <c:v>57</c:v>
                </c:pt>
                <c:pt idx="79">
                  <c:v>58</c:v>
                </c:pt>
                <c:pt idx="80">
                  <c:v>59</c:v>
                </c:pt>
                <c:pt idx="81">
                  <c:v>60</c:v>
                </c:pt>
                <c:pt idx="82">
                  <c:v>61</c:v>
                </c:pt>
                <c:pt idx="83">
                  <c:v>62</c:v>
                </c:pt>
                <c:pt idx="84">
                  <c:v>63</c:v>
                </c:pt>
                <c:pt idx="85">
                  <c:v>64</c:v>
                </c:pt>
                <c:pt idx="86">
                  <c:v>65</c:v>
                </c:pt>
                <c:pt idx="87">
                  <c:v>66</c:v>
                </c:pt>
                <c:pt idx="88">
                  <c:v>67</c:v>
                </c:pt>
                <c:pt idx="89">
                  <c:v>68</c:v>
                </c:pt>
                <c:pt idx="90">
                  <c:v>69</c:v>
                </c:pt>
                <c:pt idx="91">
                  <c:v>70</c:v>
                </c:pt>
                <c:pt idx="92">
                  <c:v>71</c:v>
                </c:pt>
                <c:pt idx="93">
                  <c:v>72</c:v>
                </c:pt>
                <c:pt idx="94">
                  <c:v>73</c:v>
                </c:pt>
                <c:pt idx="95">
                  <c:v>74</c:v>
                </c:pt>
                <c:pt idx="96">
                  <c:v>75</c:v>
                </c:pt>
                <c:pt idx="97">
                  <c:v>76</c:v>
                </c:pt>
                <c:pt idx="98">
                  <c:v>77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81</c:v>
                </c:pt>
                <c:pt idx="103">
                  <c:v>82</c:v>
                </c:pt>
                <c:pt idx="104">
                  <c:v>83</c:v>
                </c:pt>
                <c:pt idx="105">
                  <c:v>84</c:v>
                </c:pt>
                <c:pt idx="106">
                  <c:v>85</c:v>
                </c:pt>
                <c:pt idx="107">
                  <c:v>86</c:v>
                </c:pt>
                <c:pt idx="108">
                  <c:v>87</c:v>
                </c:pt>
              </c:numCache>
            </c:numRef>
          </c:xVal>
          <c:yVal>
            <c:numRef>
              <c:f>'Pack Side NTC Analysis'!$E$49:$E$157</c:f>
              <c:numCache>
                <c:formatCode>General</c:formatCode>
                <c:ptCount val="109"/>
                <c:pt idx="0">
                  <c:v>1516</c:v>
                </c:pt>
                <c:pt idx="1">
                  <c:v>1602</c:v>
                </c:pt>
                <c:pt idx="2">
                  <c:v>1692</c:v>
                </c:pt>
                <c:pt idx="3">
                  <c:v>1786</c:v>
                </c:pt>
                <c:pt idx="4">
                  <c:v>1884</c:v>
                </c:pt>
                <c:pt idx="5">
                  <c:v>1987</c:v>
                </c:pt>
                <c:pt idx="6">
                  <c:v>2094</c:v>
                </c:pt>
                <c:pt idx="7">
                  <c:v>2205</c:v>
                </c:pt>
                <c:pt idx="8">
                  <c:v>2321</c:v>
                </c:pt>
                <c:pt idx="9">
                  <c:v>2441</c:v>
                </c:pt>
                <c:pt idx="10">
                  <c:v>2567</c:v>
                </c:pt>
                <c:pt idx="11">
                  <c:v>2698</c:v>
                </c:pt>
                <c:pt idx="12">
                  <c:v>2834</c:v>
                </c:pt>
                <c:pt idx="13">
                  <c:v>2975</c:v>
                </c:pt>
                <c:pt idx="14">
                  <c:v>3122</c:v>
                </c:pt>
                <c:pt idx="15">
                  <c:v>3275</c:v>
                </c:pt>
                <c:pt idx="16">
                  <c:v>3432</c:v>
                </c:pt>
                <c:pt idx="17">
                  <c:v>3595</c:v>
                </c:pt>
                <c:pt idx="18">
                  <c:v>3764</c:v>
                </c:pt>
                <c:pt idx="19">
                  <c:v>3938</c:v>
                </c:pt>
                <c:pt idx="20">
                  <c:v>4118</c:v>
                </c:pt>
                <c:pt idx="21">
                  <c:v>4304</c:v>
                </c:pt>
                <c:pt idx="22">
                  <c:v>4496</c:v>
                </c:pt>
                <c:pt idx="23">
                  <c:v>4694</c:v>
                </c:pt>
                <c:pt idx="24">
                  <c:v>4897</c:v>
                </c:pt>
                <c:pt idx="25">
                  <c:v>5106</c:v>
                </c:pt>
                <c:pt idx="26">
                  <c:v>5322</c:v>
                </c:pt>
                <c:pt idx="27">
                  <c:v>5542</c:v>
                </c:pt>
                <c:pt idx="28">
                  <c:v>5769</c:v>
                </c:pt>
                <c:pt idx="29">
                  <c:v>6001</c:v>
                </c:pt>
                <c:pt idx="30">
                  <c:v>6239</c:v>
                </c:pt>
                <c:pt idx="31">
                  <c:v>6483</c:v>
                </c:pt>
                <c:pt idx="32">
                  <c:v>6732</c:v>
                </c:pt>
                <c:pt idx="33">
                  <c:v>6986</c:v>
                </c:pt>
                <c:pt idx="34">
                  <c:v>7246</c:v>
                </c:pt>
                <c:pt idx="35">
                  <c:v>7511</c:v>
                </c:pt>
                <c:pt idx="36">
                  <c:v>7781</c:v>
                </c:pt>
                <c:pt idx="37">
                  <c:v>8055</c:v>
                </c:pt>
                <c:pt idx="38">
                  <c:v>8335</c:v>
                </c:pt>
                <c:pt idx="39">
                  <c:v>8618</c:v>
                </c:pt>
                <c:pt idx="40">
                  <c:v>8906</c:v>
                </c:pt>
                <c:pt idx="41">
                  <c:v>9198</c:v>
                </c:pt>
                <c:pt idx="42">
                  <c:v>9494</c:v>
                </c:pt>
                <c:pt idx="43">
                  <c:v>9794</c:v>
                </c:pt>
                <c:pt idx="44">
                  <c:v>10097</c:v>
                </c:pt>
                <c:pt idx="45">
                  <c:v>10403</c:v>
                </c:pt>
                <c:pt idx="46">
                  <c:v>10712</c:v>
                </c:pt>
                <c:pt idx="47">
                  <c:v>11024</c:v>
                </c:pt>
                <c:pt idx="48">
                  <c:v>11338</c:v>
                </c:pt>
                <c:pt idx="49">
                  <c:v>11654</c:v>
                </c:pt>
                <c:pt idx="50">
                  <c:v>11972</c:v>
                </c:pt>
                <c:pt idx="51">
                  <c:v>12291</c:v>
                </c:pt>
                <c:pt idx="52">
                  <c:v>12613</c:v>
                </c:pt>
                <c:pt idx="53">
                  <c:v>12935</c:v>
                </c:pt>
                <c:pt idx="54">
                  <c:v>13257</c:v>
                </c:pt>
                <c:pt idx="55">
                  <c:v>13581</c:v>
                </c:pt>
                <c:pt idx="56">
                  <c:v>13904</c:v>
                </c:pt>
                <c:pt idx="57">
                  <c:v>14228</c:v>
                </c:pt>
                <c:pt idx="58">
                  <c:v>14551</c:v>
                </c:pt>
                <c:pt idx="59">
                  <c:v>14873</c:v>
                </c:pt>
                <c:pt idx="60">
                  <c:v>15195</c:v>
                </c:pt>
                <c:pt idx="61">
                  <c:v>15515</c:v>
                </c:pt>
                <c:pt idx="62">
                  <c:v>15834</c:v>
                </c:pt>
                <c:pt idx="63">
                  <c:v>16152</c:v>
                </c:pt>
                <c:pt idx="64">
                  <c:v>16467</c:v>
                </c:pt>
                <c:pt idx="65">
                  <c:v>16781</c:v>
                </c:pt>
                <c:pt idx="66">
                  <c:v>17092</c:v>
                </c:pt>
                <c:pt idx="67">
                  <c:v>17401</c:v>
                </c:pt>
                <c:pt idx="68">
                  <c:v>17707</c:v>
                </c:pt>
                <c:pt idx="69">
                  <c:v>18010</c:v>
                </c:pt>
                <c:pt idx="70">
                  <c:v>18311</c:v>
                </c:pt>
                <c:pt idx="71">
                  <c:v>18608</c:v>
                </c:pt>
                <c:pt idx="72">
                  <c:v>18901</c:v>
                </c:pt>
                <c:pt idx="73">
                  <c:v>19191</c:v>
                </c:pt>
                <c:pt idx="74">
                  <c:v>19477</c:v>
                </c:pt>
                <c:pt idx="75">
                  <c:v>19759</c:v>
                </c:pt>
                <c:pt idx="76">
                  <c:v>20037</c:v>
                </c:pt>
                <c:pt idx="77">
                  <c:v>20311</c:v>
                </c:pt>
                <c:pt idx="78">
                  <c:v>20581</c:v>
                </c:pt>
                <c:pt idx="79">
                  <c:v>20847</c:v>
                </c:pt>
                <c:pt idx="80">
                  <c:v>21108</c:v>
                </c:pt>
                <c:pt idx="81">
                  <c:v>21365</c:v>
                </c:pt>
                <c:pt idx="82">
                  <c:v>21618</c:v>
                </c:pt>
                <c:pt idx="83">
                  <c:v>21866</c:v>
                </c:pt>
                <c:pt idx="84">
                  <c:v>22110</c:v>
                </c:pt>
                <c:pt idx="85">
                  <c:v>22349</c:v>
                </c:pt>
                <c:pt idx="86">
                  <c:v>22584</c:v>
                </c:pt>
                <c:pt idx="87">
                  <c:v>22815</c:v>
                </c:pt>
                <c:pt idx="88">
                  <c:v>23042</c:v>
                </c:pt>
                <c:pt idx="89">
                  <c:v>23264</c:v>
                </c:pt>
                <c:pt idx="90">
                  <c:v>23482</c:v>
                </c:pt>
                <c:pt idx="91">
                  <c:v>23695</c:v>
                </c:pt>
                <c:pt idx="92">
                  <c:v>23902</c:v>
                </c:pt>
                <c:pt idx="93">
                  <c:v>24104</c:v>
                </c:pt>
                <c:pt idx="94">
                  <c:v>24302</c:v>
                </c:pt>
                <c:pt idx="95">
                  <c:v>24496</c:v>
                </c:pt>
                <c:pt idx="96">
                  <c:v>24685</c:v>
                </c:pt>
                <c:pt idx="97">
                  <c:v>24870</c:v>
                </c:pt>
                <c:pt idx="98">
                  <c:v>25052</c:v>
                </c:pt>
                <c:pt idx="99">
                  <c:v>25229</c:v>
                </c:pt>
                <c:pt idx="100">
                  <c:v>25402</c:v>
                </c:pt>
                <c:pt idx="101">
                  <c:v>25570</c:v>
                </c:pt>
                <c:pt idx="102">
                  <c:v>25735</c:v>
                </c:pt>
                <c:pt idx="103">
                  <c:v>25896</c:v>
                </c:pt>
                <c:pt idx="104">
                  <c:v>26053</c:v>
                </c:pt>
                <c:pt idx="105">
                  <c:v>26206</c:v>
                </c:pt>
                <c:pt idx="106">
                  <c:v>26355</c:v>
                </c:pt>
                <c:pt idx="107">
                  <c:v>26501</c:v>
                </c:pt>
                <c:pt idx="108">
                  <c:v>26643</c:v>
                </c:pt>
              </c:numCache>
            </c:numRef>
          </c:yVal>
          <c:smooth val="1"/>
        </c:ser>
        <c:ser>
          <c:idx val="2"/>
          <c:order val="1"/>
          <c:tx>
            <c:v>adp</c:v>
          </c:tx>
          <c:spPr>
            <a:ln w="25400"/>
          </c:spPr>
          <c:marker>
            <c:symbol val="none"/>
          </c:marker>
          <c:xVal>
            <c:numRef>
              <c:f>'Pack Side NTC Analysis'!$A$49:$A$157</c:f>
              <c:numCache>
                <c:formatCode>General</c:formatCode>
                <c:ptCount val="109"/>
                <c:pt idx="0">
                  <c:v>-21</c:v>
                </c:pt>
                <c:pt idx="1">
                  <c:v>-20</c:v>
                </c:pt>
                <c:pt idx="2">
                  <c:v>-19</c:v>
                </c:pt>
                <c:pt idx="3">
                  <c:v>-18</c:v>
                </c:pt>
                <c:pt idx="4">
                  <c:v>-17</c:v>
                </c:pt>
                <c:pt idx="5">
                  <c:v>-16</c:v>
                </c:pt>
                <c:pt idx="6">
                  <c:v>-15</c:v>
                </c:pt>
                <c:pt idx="7">
                  <c:v>-14</c:v>
                </c:pt>
                <c:pt idx="8">
                  <c:v>-13</c:v>
                </c:pt>
                <c:pt idx="9">
                  <c:v>-12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-7</c:v>
                </c:pt>
                <c:pt idx="15">
                  <c:v>-6</c:v>
                </c:pt>
                <c:pt idx="16">
                  <c:v>-5</c:v>
                </c:pt>
                <c:pt idx="17">
                  <c:v>-4</c:v>
                </c:pt>
                <c:pt idx="18">
                  <c:v>-3</c:v>
                </c:pt>
                <c:pt idx="19">
                  <c:v>-2</c:v>
                </c:pt>
                <c:pt idx="20">
                  <c:v>-1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  <c:pt idx="70">
                  <c:v>49</c:v>
                </c:pt>
                <c:pt idx="71">
                  <c:v>50</c:v>
                </c:pt>
                <c:pt idx="72">
                  <c:v>51</c:v>
                </c:pt>
                <c:pt idx="73">
                  <c:v>52</c:v>
                </c:pt>
                <c:pt idx="74">
                  <c:v>53</c:v>
                </c:pt>
                <c:pt idx="75">
                  <c:v>54</c:v>
                </c:pt>
                <c:pt idx="76">
                  <c:v>55</c:v>
                </c:pt>
                <c:pt idx="77">
                  <c:v>56</c:v>
                </c:pt>
                <c:pt idx="78">
                  <c:v>57</c:v>
                </c:pt>
                <c:pt idx="79">
                  <c:v>58</c:v>
                </c:pt>
                <c:pt idx="80">
                  <c:v>59</c:v>
                </c:pt>
                <c:pt idx="81">
                  <c:v>60</c:v>
                </c:pt>
                <c:pt idx="82">
                  <c:v>61</c:v>
                </c:pt>
                <c:pt idx="83">
                  <c:v>62</c:v>
                </c:pt>
                <c:pt idx="84">
                  <c:v>63</c:v>
                </c:pt>
                <c:pt idx="85">
                  <c:v>64</c:v>
                </c:pt>
                <c:pt idx="86">
                  <c:v>65</c:v>
                </c:pt>
                <c:pt idx="87">
                  <c:v>66</c:v>
                </c:pt>
                <c:pt idx="88">
                  <c:v>67</c:v>
                </c:pt>
                <c:pt idx="89">
                  <c:v>68</c:v>
                </c:pt>
                <c:pt idx="90">
                  <c:v>69</c:v>
                </c:pt>
                <c:pt idx="91">
                  <c:v>70</c:v>
                </c:pt>
                <c:pt idx="92">
                  <c:v>71</c:v>
                </c:pt>
                <c:pt idx="93">
                  <c:v>72</c:v>
                </c:pt>
                <c:pt idx="94">
                  <c:v>73</c:v>
                </c:pt>
                <c:pt idx="95">
                  <c:v>74</c:v>
                </c:pt>
                <c:pt idx="96">
                  <c:v>75</c:v>
                </c:pt>
                <c:pt idx="97">
                  <c:v>76</c:v>
                </c:pt>
                <c:pt idx="98">
                  <c:v>77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81</c:v>
                </c:pt>
                <c:pt idx="103">
                  <c:v>82</c:v>
                </c:pt>
                <c:pt idx="104">
                  <c:v>83</c:v>
                </c:pt>
                <c:pt idx="105">
                  <c:v>84</c:v>
                </c:pt>
                <c:pt idx="106">
                  <c:v>85</c:v>
                </c:pt>
                <c:pt idx="107">
                  <c:v>86</c:v>
                </c:pt>
                <c:pt idx="108">
                  <c:v>87</c:v>
                </c:pt>
              </c:numCache>
            </c:numRef>
          </c:xVal>
          <c:yVal>
            <c:numRef>
              <c:f>'Pack Side NTC Analysis'!$M$49:$M$157</c:f>
              <c:numCache>
                <c:formatCode>0</c:formatCode>
                <c:ptCount val="109"/>
                <c:pt idx="0">
                  <c:v>10066.872859889525</c:v>
                </c:pt>
                <c:pt idx="1">
                  <c:v>10074.694143498033</c:v>
                </c:pt>
                <c:pt idx="2">
                  <c:v>10082.879207739496</c:v>
                </c:pt>
                <c:pt idx="3">
                  <c:v>10091.428052613912</c:v>
                </c:pt>
                <c:pt idx="4">
                  <c:v>10100.340678121282</c:v>
                </c:pt>
                <c:pt idx="5">
                  <c:v>10109.708029419846</c:v>
                </c:pt>
                <c:pt idx="6">
                  <c:v>10119.439161351362</c:v>
                </c:pt>
                <c:pt idx="7">
                  <c:v>10129.534073915831</c:v>
                </c:pt>
                <c:pt idx="8">
                  <c:v>10140.083712271495</c:v>
                </c:pt>
                <c:pt idx="9">
                  <c:v>10150.997131260112</c:v>
                </c:pt>
                <c:pt idx="10">
                  <c:v>10162.456221198157</c:v>
                </c:pt>
                <c:pt idx="11">
                  <c:v>10174.370036927397</c:v>
                </c:pt>
                <c:pt idx="12">
                  <c:v>10186.73857844783</c:v>
                </c:pt>
                <c:pt idx="13">
                  <c:v>10199.561845759454</c:v>
                </c:pt>
                <c:pt idx="14">
                  <c:v>10212.930784020509</c:v>
                </c:pt>
                <c:pt idx="15">
                  <c:v>10226.845393230997</c:v>
                </c:pt>
                <c:pt idx="16">
                  <c:v>10241.123783074436</c:v>
                </c:pt>
                <c:pt idx="17">
                  <c:v>10255.947843867307</c:v>
                </c:pt>
                <c:pt idx="18">
                  <c:v>10271.317575609608</c:v>
                </c:pt>
                <c:pt idx="19">
                  <c:v>10287.142033143104</c:v>
                </c:pt>
                <c:pt idx="20">
                  <c:v>10303.512161626028</c:v>
                </c:pt>
                <c:pt idx="21">
                  <c:v>10320.427961058384</c:v>
                </c:pt>
                <c:pt idx="22">
                  <c:v>10337.88943144017</c:v>
                </c:pt>
                <c:pt idx="23">
                  <c:v>10355.896572771388</c:v>
                </c:pt>
                <c:pt idx="24">
                  <c:v>10374.358439893796</c:v>
                </c:pt>
                <c:pt idx="25">
                  <c:v>10393.365977965637</c:v>
                </c:pt>
                <c:pt idx="26">
                  <c:v>10413.010132145148</c:v>
                </c:pt>
                <c:pt idx="27">
                  <c:v>10433.018066957611</c:v>
                </c:pt>
                <c:pt idx="28">
                  <c:v>10453.662617877744</c:v>
                </c:pt>
                <c:pt idx="29">
                  <c:v>10474.761894589068</c:v>
                </c:pt>
                <c:pt idx="30">
                  <c:v>10496.406842249826</c:v>
                </c:pt>
                <c:pt idx="31">
                  <c:v>10518.597460860012</c:v>
                </c:pt>
                <c:pt idx="32">
                  <c:v>10541.242805261392</c:v>
                </c:pt>
                <c:pt idx="33">
                  <c:v>10564.342875453964</c:v>
                </c:pt>
                <c:pt idx="34">
                  <c:v>10587.988616595967</c:v>
                </c:pt>
                <c:pt idx="35">
                  <c:v>10612.089083529161</c:v>
                </c:pt>
                <c:pt idx="36">
                  <c:v>10636.644276253548</c:v>
                </c:pt>
                <c:pt idx="37">
                  <c:v>10661.56324961089</c:v>
                </c:pt>
                <c:pt idx="38">
                  <c:v>10687.027893917662</c:v>
                </c:pt>
                <c:pt idx="39">
                  <c:v>10712.765373699149</c:v>
                </c:pt>
                <c:pt idx="40">
                  <c:v>10738.95757927183</c:v>
                </c:pt>
                <c:pt idx="41">
                  <c:v>10765.513565477462</c:v>
                </c:pt>
                <c:pt idx="42">
                  <c:v>10792.43333231605</c:v>
                </c:pt>
                <c:pt idx="43">
                  <c:v>10819.716879787593</c:v>
                </c:pt>
                <c:pt idx="44">
                  <c:v>10847.273262733848</c:v>
                </c:pt>
                <c:pt idx="45">
                  <c:v>10875.102481154821</c:v>
                </c:pt>
                <c:pt idx="46">
                  <c:v>10903.204535050509</c:v>
                </c:pt>
                <c:pt idx="47">
                  <c:v>10931.579424420912</c:v>
                </c:pt>
                <c:pt idx="48">
                  <c:v>10960.136204107792</c:v>
                </c:pt>
                <c:pt idx="49">
                  <c:v>10988.874874111149</c:v>
                </c:pt>
                <c:pt idx="50">
                  <c:v>11017.795434430984</c:v>
                </c:pt>
                <c:pt idx="51">
                  <c:v>11046.806939909055</c:v>
                </c:pt>
                <c:pt idx="52">
                  <c:v>11076.091280861843</c:v>
                </c:pt>
                <c:pt idx="53">
                  <c:v>11105.37562181463</c:v>
                </c:pt>
                <c:pt idx="54">
                  <c:v>11134.659962767419</c:v>
                </c:pt>
                <c:pt idx="55">
                  <c:v>11164.126194036684</c:v>
                </c:pt>
                <c:pt idx="56">
                  <c:v>11193.50148014771</c:v>
                </c:pt>
                <c:pt idx="57">
                  <c:v>11222.967711416975</c:v>
                </c:pt>
                <c:pt idx="58">
                  <c:v>11252.342997528001</c:v>
                </c:pt>
                <c:pt idx="59">
                  <c:v>11281.627338480788</c:v>
                </c:pt>
                <c:pt idx="60">
                  <c:v>11310.911679433577</c:v>
                </c:pt>
                <c:pt idx="61">
                  <c:v>11340.014130069887</c:v>
                </c:pt>
                <c:pt idx="62">
                  <c:v>11369.02563554796</c:v>
                </c:pt>
                <c:pt idx="63">
                  <c:v>11397.946195867793</c:v>
                </c:pt>
                <c:pt idx="64">
                  <c:v>11426.593920712912</c:v>
                </c:pt>
                <c:pt idx="65">
                  <c:v>11455.150700399792</c:v>
                </c:pt>
                <c:pt idx="66">
                  <c:v>11483.434644611956</c:v>
                </c:pt>
                <c:pt idx="67">
                  <c:v>11511.536698507643</c:v>
                </c:pt>
                <c:pt idx="68">
                  <c:v>11539.365916928617</c:v>
                </c:pt>
                <c:pt idx="69">
                  <c:v>11566.922299874874</c:v>
                </c:pt>
                <c:pt idx="70">
                  <c:v>11594.296792504654</c:v>
                </c:pt>
                <c:pt idx="71">
                  <c:v>11621.307504501481</c:v>
                </c:pt>
                <c:pt idx="72">
                  <c:v>11647.954435865351</c:v>
                </c:pt>
                <c:pt idx="73">
                  <c:v>11674.328531754509</c:v>
                </c:pt>
                <c:pt idx="74">
                  <c:v>11700.338847010713</c:v>
                </c:pt>
                <c:pt idx="75">
                  <c:v>11725.98538163396</c:v>
                </c:pt>
                <c:pt idx="76">
                  <c:v>11751.268135624256</c:v>
                </c:pt>
                <c:pt idx="77">
                  <c:v>11776.187108981598</c:v>
                </c:pt>
                <c:pt idx="78">
                  <c:v>11800.742301705985</c:v>
                </c:pt>
                <c:pt idx="79">
                  <c:v>11824.933713797418</c:v>
                </c:pt>
                <c:pt idx="80">
                  <c:v>11848.670400097659</c:v>
                </c:pt>
                <c:pt idx="81">
                  <c:v>11872.043305764946</c:v>
                </c:pt>
                <c:pt idx="82">
                  <c:v>11895.05243079928</c:v>
                </c:pt>
                <c:pt idx="83">
                  <c:v>11917.606830042419</c:v>
                </c:pt>
                <c:pt idx="84">
                  <c:v>11939.797448652607</c:v>
                </c:pt>
                <c:pt idx="85">
                  <c:v>11961.533341471602</c:v>
                </c:pt>
                <c:pt idx="86">
                  <c:v>11982.905453657642</c:v>
                </c:pt>
                <c:pt idx="87">
                  <c:v>12003.913785210729</c:v>
                </c:pt>
                <c:pt idx="88">
                  <c:v>12024.558336130862</c:v>
                </c:pt>
                <c:pt idx="89">
                  <c:v>12044.748161259804</c:v>
                </c:pt>
                <c:pt idx="90">
                  <c:v>12064.574205755791</c:v>
                </c:pt>
                <c:pt idx="91">
                  <c:v>12083.945524460585</c:v>
                </c:pt>
                <c:pt idx="92">
                  <c:v>12102.771172215947</c:v>
                </c:pt>
                <c:pt idx="93">
                  <c:v>12121.142094180119</c:v>
                </c:pt>
                <c:pt idx="94">
                  <c:v>12139.149235511337</c:v>
                </c:pt>
                <c:pt idx="95">
                  <c:v>12156.792596209601</c:v>
                </c:pt>
                <c:pt idx="96">
                  <c:v>12173.981231116673</c:v>
                </c:pt>
                <c:pt idx="97">
                  <c:v>12190.80608539079</c:v>
                </c:pt>
                <c:pt idx="98">
                  <c:v>12207.358104190193</c:v>
                </c:pt>
                <c:pt idx="99">
                  <c:v>12223.455397198401</c:v>
                </c:pt>
                <c:pt idx="100">
                  <c:v>12239.188909573657</c:v>
                </c:pt>
                <c:pt idx="101">
                  <c:v>12254.467696157721</c:v>
                </c:pt>
                <c:pt idx="102">
                  <c:v>12269.473647267068</c:v>
                </c:pt>
                <c:pt idx="103">
                  <c:v>12284.115817743461</c:v>
                </c:pt>
                <c:pt idx="104">
                  <c:v>12298.394207586902</c:v>
                </c:pt>
                <c:pt idx="105">
                  <c:v>12312.308816797387</c:v>
                </c:pt>
                <c:pt idx="106">
                  <c:v>12325.85964537492</c:v>
                </c:pt>
                <c:pt idx="107">
                  <c:v>12339.137638477738</c:v>
                </c:pt>
                <c:pt idx="108">
                  <c:v>12352.051850947601</c:v>
                </c:pt>
              </c:numCache>
            </c:numRef>
          </c:yVal>
          <c:smooth val="1"/>
        </c:ser>
        <c:ser>
          <c:idx val="0"/>
          <c:order val="2"/>
          <c:tx>
            <c:v>Pa(adp)</c:v>
          </c:tx>
          <c:spPr>
            <a:ln w="25400"/>
          </c:spPr>
          <c:marker>
            <c:symbol val="none"/>
          </c:marker>
          <c:xVal>
            <c:numRef>
              <c:f>'Pack Side NTC Analysis'!$A$49:$A$157</c:f>
              <c:numCache>
                <c:formatCode>General</c:formatCode>
                <c:ptCount val="109"/>
                <c:pt idx="0">
                  <c:v>-21</c:v>
                </c:pt>
                <c:pt idx="1">
                  <c:v>-20</c:v>
                </c:pt>
                <c:pt idx="2">
                  <c:v>-19</c:v>
                </c:pt>
                <c:pt idx="3">
                  <c:v>-18</c:v>
                </c:pt>
                <c:pt idx="4">
                  <c:v>-17</c:v>
                </c:pt>
                <c:pt idx="5">
                  <c:v>-16</c:v>
                </c:pt>
                <c:pt idx="6">
                  <c:v>-15</c:v>
                </c:pt>
                <c:pt idx="7">
                  <c:v>-14</c:v>
                </c:pt>
                <c:pt idx="8">
                  <c:v>-13</c:v>
                </c:pt>
                <c:pt idx="9">
                  <c:v>-12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-7</c:v>
                </c:pt>
                <c:pt idx="15">
                  <c:v>-6</c:v>
                </c:pt>
                <c:pt idx="16">
                  <c:v>-5</c:v>
                </c:pt>
                <c:pt idx="17">
                  <c:v>-4</c:v>
                </c:pt>
                <c:pt idx="18">
                  <c:v>-3</c:v>
                </c:pt>
                <c:pt idx="19">
                  <c:v>-2</c:v>
                </c:pt>
                <c:pt idx="20">
                  <c:v>-1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  <c:pt idx="70">
                  <c:v>49</c:v>
                </c:pt>
                <c:pt idx="71">
                  <c:v>50</c:v>
                </c:pt>
                <c:pt idx="72">
                  <c:v>51</c:v>
                </c:pt>
                <c:pt idx="73">
                  <c:v>52</c:v>
                </c:pt>
                <c:pt idx="74">
                  <c:v>53</c:v>
                </c:pt>
                <c:pt idx="75">
                  <c:v>54</c:v>
                </c:pt>
                <c:pt idx="76">
                  <c:v>55</c:v>
                </c:pt>
                <c:pt idx="77">
                  <c:v>56</c:v>
                </c:pt>
                <c:pt idx="78">
                  <c:v>57</c:v>
                </c:pt>
                <c:pt idx="79">
                  <c:v>58</c:v>
                </c:pt>
                <c:pt idx="80">
                  <c:v>59</c:v>
                </c:pt>
                <c:pt idx="81">
                  <c:v>60</c:v>
                </c:pt>
                <c:pt idx="82">
                  <c:v>61</c:v>
                </c:pt>
                <c:pt idx="83">
                  <c:v>62</c:v>
                </c:pt>
                <c:pt idx="84">
                  <c:v>63</c:v>
                </c:pt>
                <c:pt idx="85">
                  <c:v>64</c:v>
                </c:pt>
                <c:pt idx="86">
                  <c:v>65</c:v>
                </c:pt>
                <c:pt idx="87">
                  <c:v>66</c:v>
                </c:pt>
                <c:pt idx="88">
                  <c:v>67</c:v>
                </c:pt>
                <c:pt idx="89">
                  <c:v>68</c:v>
                </c:pt>
                <c:pt idx="90">
                  <c:v>69</c:v>
                </c:pt>
                <c:pt idx="91">
                  <c:v>70</c:v>
                </c:pt>
                <c:pt idx="92">
                  <c:v>71</c:v>
                </c:pt>
                <c:pt idx="93">
                  <c:v>72</c:v>
                </c:pt>
                <c:pt idx="94">
                  <c:v>73</c:v>
                </c:pt>
                <c:pt idx="95">
                  <c:v>74</c:v>
                </c:pt>
                <c:pt idx="96">
                  <c:v>75</c:v>
                </c:pt>
                <c:pt idx="97">
                  <c:v>76</c:v>
                </c:pt>
                <c:pt idx="98">
                  <c:v>77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81</c:v>
                </c:pt>
                <c:pt idx="103">
                  <c:v>82</c:v>
                </c:pt>
                <c:pt idx="104">
                  <c:v>83</c:v>
                </c:pt>
                <c:pt idx="105">
                  <c:v>84</c:v>
                </c:pt>
                <c:pt idx="106">
                  <c:v>85</c:v>
                </c:pt>
                <c:pt idx="107">
                  <c:v>86</c:v>
                </c:pt>
                <c:pt idx="108">
                  <c:v>87</c:v>
                </c:pt>
              </c:numCache>
            </c:numRef>
          </c:xVal>
          <c:yVal>
            <c:numRef>
              <c:f>'Pack Side NTC Analysis'!#REF!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v>adp/Pa(adp)</c:v>
          </c:tx>
          <c:spPr>
            <a:ln w="25400">
              <a:prstDash val="solid"/>
            </a:ln>
          </c:spPr>
          <c:marker>
            <c:symbol val="none"/>
          </c:marker>
          <c:xVal>
            <c:numRef>
              <c:f>'Pack Side NTC Analysis'!$A$49:$A$157</c:f>
              <c:numCache>
                <c:formatCode>General</c:formatCode>
                <c:ptCount val="109"/>
                <c:pt idx="0">
                  <c:v>-21</c:v>
                </c:pt>
                <c:pt idx="1">
                  <c:v>-20</c:v>
                </c:pt>
                <c:pt idx="2">
                  <c:v>-19</c:v>
                </c:pt>
                <c:pt idx="3">
                  <c:v>-18</c:v>
                </c:pt>
                <c:pt idx="4">
                  <c:v>-17</c:v>
                </c:pt>
                <c:pt idx="5">
                  <c:v>-16</c:v>
                </c:pt>
                <c:pt idx="6">
                  <c:v>-15</c:v>
                </c:pt>
                <c:pt idx="7">
                  <c:v>-14</c:v>
                </c:pt>
                <c:pt idx="8">
                  <c:v>-13</c:v>
                </c:pt>
                <c:pt idx="9">
                  <c:v>-12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-7</c:v>
                </c:pt>
                <c:pt idx="15">
                  <c:v>-6</c:v>
                </c:pt>
                <c:pt idx="16">
                  <c:v>-5</c:v>
                </c:pt>
                <c:pt idx="17">
                  <c:v>-4</c:v>
                </c:pt>
                <c:pt idx="18">
                  <c:v>-3</c:v>
                </c:pt>
                <c:pt idx="19">
                  <c:v>-2</c:v>
                </c:pt>
                <c:pt idx="20">
                  <c:v>-1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22</c:v>
                </c:pt>
                <c:pt idx="44">
                  <c:v>23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29</c:v>
                </c:pt>
                <c:pt idx="51">
                  <c:v>30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  <c:pt idx="70">
                  <c:v>49</c:v>
                </c:pt>
                <c:pt idx="71">
                  <c:v>50</c:v>
                </c:pt>
                <c:pt idx="72">
                  <c:v>51</c:v>
                </c:pt>
                <c:pt idx="73">
                  <c:v>52</c:v>
                </c:pt>
                <c:pt idx="74">
                  <c:v>53</c:v>
                </c:pt>
                <c:pt idx="75">
                  <c:v>54</c:v>
                </c:pt>
                <c:pt idx="76">
                  <c:v>55</c:v>
                </c:pt>
                <c:pt idx="77">
                  <c:v>56</c:v>
                </c:pt>
                <c:pt idx="78">
                  <c:v>57</c:v>
                </c:pt>
                <c:pt idx="79">
                  <c:v>58</c:v>
                </c:pt>
                <c:pt idx="80">
                  <c:v>59</c:v>
                </c:pt>
                <c:pt idx="81">
                  <c:v>60</c:v>
                </c:pt>
                <c:pt idx="82">
                  <c:v>61</c:v>
                </c:pt>
                <c:pt idx="83">
                  <c:v>62</c:v>
                </c:pt>
                <c:pt idx="84">
                  <c:v>63</c:v>
                </c:pt>
                <c:pt idx="85">
                  <c:v>64</c:v>
                </c:pt>
                <c:pt idx="86">
                  <c:v>65</c:v>
                </c:pt>
                <c:pt idx="87">
                  <c:v>66</c:v>
                </c:pt>
                <c:pt idx="88">
                  <c:v>67</c:v>
                </c:pt>
                <c:pt idx="89">
                  <c:v>68</c:v>
                </c:pt>
                <c:pt idx="90">
                  <c:v>69</c:v>
                </c:pt>
                <c:pt idx="91">
                  <c:v>70</c:v>
                </c:pt>
                <c:pt idx="92">
                  <c:v>71</c:v>
                </c:pt>
                <c:pt idx="93">
                  <c:v>72</c:v>
                </c:pt>
                <c:pt idx="94">
                  <c:v>73</c:v>
                </c:pt>
                <c:pt idx="95">
                  <c:v>74</c:v>
                </c:pt>
                <c:pt idx="96">
                  <c:v>75</c:v>
                </c:pt>
                <c:pt idx="97">
                  <c:v>76</c:v>
                </c:pt>
                <c:pt idx="98">
                  <c:v>77</c:v>
                </c:pt>
                <c:pt idx="99">
                  <c:v>78</c:v>
                </c:pt>
                <c:pt idx="100">
                  <c:v>79</c:v>
                </c:pt>
                <c:pt idx="101">
                  <c:v>80</c:v>
                </c:pt>
                <c:pt idx="102">
                  <c:v>81</c:v>
                </c:pt>
                <c:pt idx="103">
                  <c:v>82</c:v>
                </c:pt>
                <c:pt idx="104">
                  <c:v>83</c:v>
                </c:pt>
                <c:pt idx="105">
                  <c:v>84</c:v>
                </c:pt>
                <c:pt idx="106">
                  <c:v>85</c:v>
                </c:pt>
                <c:pt idx="107">
                  <c:v>86</c:v>
                </c:pt>
                <c:pt idx="108">
                  <c:v>87</c:v>
                </c:pt>
              </c:numCache>
            </c:numRef>
          </c:xVal>
          <c:yVal>
            <c:numRef>
              <c:f>'Pack Side NTC Analysis'!#REF!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90976"/>
        <c:axId val="72192768"/>
      </c:scatterChart>
      <c:valAx>
        <c:axId val="72186880"/>
        <c:scaling>
          <c:orientation val="minMax"/>
          <c:max val="125"/>
          <c:min val="-4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89056"/>
        <c:crossesAt val="-10"/>
        <c:crossBetween val="midCat"/>
        <c:majorUnit val="25"/>
      </c:valAx>
      <c:valAx>
        <c:axId val="72189056"/>
        <c:scaling>
          <c:orientation val="minMax"/>
          <c:max val="10"/>
          <c:min val="-10"/>
        </c:scaling>
        <c:delete val="0"/>
        <c:axPos val="l"/>
        <c:majorGridlines>
          <c:spPr>
            <a:ln w="0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Error</a:t>
                </a:r>
                <a:r>
                  <a:rPr lang="en-US" baseline="0"/>
                  <a:t> (C)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72186880"/>
        <c:crossesAt val="-50"/>
        <c:crossBetween val="midCat"/>
        <c:majorUnit val="2"/>
      </c:valAx>
      <c:valAx>
        <c:axId val="721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2192768"/>
        <c:crosses val="autoZero"/>
        <c:crossBetween val="midCat"/>
      </c:valAx>
      <c:valAx>
        <c:axId val="72192768"/>
        <c:scaling>
          <c:orientation val="minMax"/>
          <c:max val="3278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Code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-1200000"/>
          <a:lstStyle/>
          <a:p>
            <a:pPr>
              <a:defRPr/>
            </a:pPr>
            <a:endParaRPr lang="en-US"/>
          </a:p>
        </c:txPr>
        <c:crossAx val="72190976"/>
        <c:crosses val="max"/>
        <c:crossBetween val="midCat"/>
        <c:majorUnit val="8192"/>
      </c:valAx>
      <c:spPr>
        <a:ln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1244193326396332"/>
          <c:y val="7.1804985424250137E-2"/>
          <c:w val="0.1280986677777545"/>
          <c:h val="0.66919000556724484"/>
        </c:manualLayout>
      </c:layout>
      <c:overlay val="0"/>
    </c:legend>
    <c:plotVisOnly val="1"/>
    <c:dispBlanksAs val="gap"/>
    <c:showDLblsOverMax val="0"/>
  </c:chart>
  <c:spPr>
    <a:ln w="12700"/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6</xdr:row>
      <xdr:rowOff>142875</xdr:rowOff>
    </xdr:from>
    <xdr:to>
      <xdr:col>6</xdr:col>
      <xdr:colOff>190842</xdr:colOff>
      <xdr:row>20</xdr:row>
      <xdr:rowOff>9525</xdr:rowOff>
    </xdr:to>
    <xdr:pic>
      <xdr:nvPicPr>
        <xdr:cNvPr id="5" name="Picture 4" descr="NTC103A network hostside Simple.w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1543050"/>
          <a:ext cx="3696042" cy="25336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476249</xdr:colOff>
      <xdr:row>6</xdr:row>
      <xdr:rowOff>139307</xdr:rowOff>
    </xdr:from>
    <xdr:to>
      <xdr:col>13</xdr:col>
      <xdr:colOff>285750</xdr:colOff>
      <xdr:row>20</xdr:row>
      <xdr:rowOff>0</xdr:rowOff>
    </xdr:to>
    <xdr:pic>
      <xdr:nvPicPr>
        <xdr:cNvPr id="9" name="Picture 8" descr="NTC103A network packside Vcc.wm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76849" y="1539482"/>
          <a:ext cx="3924301" cy="2527693"/>
        </a:xfrm>
        <a:prstGeom prst="rect">
          <a:avLst/>
        </a:prstGeom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7</xdr:row>
      <xdr:rowOff>34925</xdr:rowOff>
    </xdr:from>
    <xdr:to>
      <xdr:col>12</xdr:col>
      <xdr:colOff>76200</xdr:colOff>
      <xdr:row>22</xdr:row>
      <xdr:rowOff>130175</xdr:rowOff>
    </xdr:to>
    <xdr:graphicFrame macro="">
      <xdr:nvGraphicFramePr>
        <xdr:cNvPr id="63289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79773</xdr:colOff>
      <xdr:row>6</xdr:row>
      <xdr:rowOff>169333</xdr:rowOff>
    </xdr:from>
    <xdr:to>
      <xdr:col>18</xdr:col>
      <xdr:colOff>505967</xdr:colOff>
      <xdr:row>23</xdr:row>
      <xdr:rowOff>88071</xdr:rowOff>
    </xdr:to>
    <xdr:pic>
      <xdr:nvPicPr>
        <xdr:cNvPr id="632900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9606" y="1164166"/>
          <a:ext cx="4828861" cy="26704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485775</xdr:colOff>
      <xdr:row>7</xdr:row>
      <xdr:rowOff>32811</xdr:rowOff>
    </xdr:from>
    <xdr:to>
      <xdr:col>22</xdr:col>
      <xdr:colOff>518582</xdr:colOff>
      <xdr:row>23</xdr:row>
      <xdr:rowOff>115358</xdr:rowOff>
    </xdr:to>
    <xdr:pic>
      <xdr:nvPicPr>
        <xdr:cNvPr id="632901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62442" y="1277411"/>
          <a:ext cx="2843740" cy="29950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7</xdr:row>
      <xdr:rowOff>34925</xdr:rowOff>
    </xdr:from>
    <xdr:to>
      <xdr:col>11</xdr:col>
      <xdr:colOff>76200</xdr:colOff>
      <xdr:row>23</xdr:row>
      <xdr:rowOff>130175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485775</xdr:colOff>
      <xdr:row>7</xdr:row>
      <xdr:rowOff>11640</xdr:rowOff>
    </xdr:from>
    <xdr:to>
      <xdr:col>21</xdr:col>
      <xdr:colOff>518582</xdr:colOff>
      <xdr:row>23</xdr:row>
      <xdr:rowOff>169331</xdr:rowOff>
    </xdr:to>
    <xdr:pic>
      <xdr:nvPicPr>
        <xdr:cNvPr id="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503275" y="1175807"/>
          <a:ext cx="3165474" cy="2708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17</xdr:col>
      <xdr:colOff>438998</xdr:colOff>
      <xdr:row>23</xdr:row>
      <xdr:rowOff>158750</xdr:rowOff>
    </xdr:to>
    <xdr:pic>
      <xdr:nvPicPr>
        <xdr:cNvPr id="6348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90000" y="1153583"/>
          <a:ext cx="5042748" cy="27093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0"/>
  <sheetViews>
    <sheetView topLeftCell="A16" workbookViewId="0">
      <selection activeCell="F36" sqref="F36"/>
    </sheetView>
  </sheetViews>
  <sheetFormatPr defaultColWidth="9" defaultRowHeight="14.4"/>
  <cols>
    <col min="1" max="16384" width="9" style="95"/>
  </cols>
  <sheetData>
    <row r="3" spans="3:14"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3:14" ht="23.4">
      <c r="C4" s="94"/>
      <c r="D4" s="94" t="s">
        <v>72</v>
      </c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3:14" ht="23.4"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3:14" ht="18">
      <c r="C6" s="92"/>
      <c r="D6" s="93" t="s">
        <v>73</v>
      </c>
      <c r="E6" s="92"/>
      <c r="F6" s="92"/>
      <c r="G6" s="92"/>
      <c r="H6" s="92"/>
      <c r="J6" s="93" t="s">
        <v>74</v>
      </c>
      <c r="K6" s="92"/>
      <c r="L6" s="92"/>
      <c r="M6" s="92"/>
      <c r="N6" s="92"/>
    </row>
    <row r="7" spans="3:14"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16" spans="3:14">
      <c r="E16" s="92"/>
    </row>
    <row r="25" spans="2:8" ht="31.5" customHeight="1">
      <c r="B25" s="121" t="s">
        <v>101</v>
      </c>
      <c r="C25" s="121"/>
      <c r="D25" s="121"/>
      <c r="E25" s="121"/>
      <c r="F25" s="121"/>
      <c r="G25" s="96"/>
      <c r="H25" s="96"/>
    </row>
    <row r="26" spans="2:8" ht="15.6">
      <c r="B26" s="97" t="s">
        <v>91</v>
      </c>
      <c r="C26" s="96"/>
      <c r="D26" s="96"/>
      <c r="E26" s="96"/>
      <c r="F26" s="96"/>
      <c r="G26" s="96"/>
      <c r="H26" s="96"/>
    </row>
    <row r="27" spans="2:8" ht="15.6">
      <c r="B27" s="97" t="s">
        <v>81</v>
      </c>
      <c r="C27" s="96"/>
      <c r="D27" s="96"/>
      <c r="E27" s="96"/>
      <c r="F27" s="96"/>
      <c r="G27" s="96"/>
      <c r="H27" s="96"/>
    </row>
    <row r="28" spans="2:8" ht="15.6">
      <c r="B28" s="97" t="s">
        <v>82</v>
      </c>
      <c r="C28" s="96"/>
      <c r="D28" s="96"/>
      <c r="E28" s="96"/>
      <c r="F28" s="96"/>
      <c r="G28" s="96"/>
      <c r="H28" s="96"/>
    </row>
    <row r="29" spans="2:8" ht="15.6">
      <c r="B29" s="97" t="s">
        <v>83</v>
      </c>
      <c r="C29" s="96"/>
      <c r="D29" s="96"/>
      <c r="E29" s="96"/>
      <c r="F29" s="96"/>
      <c r="G29" s="96"/>
      <c r="H29" s="96"/>
    </row>
    <row r="30" spans="2:8" ht="15.6">
      <c r="B30" s="97" t="s">
        <v>80</v>
      </c>
      <c r="C30" s="96"/>
      <c r="D30" s="96"/>
      <c r="E30" s="96"/>
      <c r="F30" s="96"/>
      <c r="G30" s="96"/>
      <c r="H30" s="96"/>
    </row>
    <row r="31" spans="2:8" ht="15.6">
      <c r="B31" s="97" t="s">
        <v>84</v>
      </c>
      <c r="C31" s="96"/>
      <c r="D31" s="96"/>
      <c r="E31" s="96"/>
      <c r="F31" s="96"/>
      <c r="G31" s="96"/>
      <c r="H31" s="96"/>
    </row>
    <row r="32" spans="2:8" ht="15.6">
      <c r="B32" s="97" t="s">
        <v>85</v>
      </c>
      <c r="C32" s="96"/>
      <c r="D32" s="96"/>
      <c r="E32" s="96"/>
      <c r="F32" s="96"/>
      <c r="G32" s="96"/>
      <c r="H32" s="96"/>
    </row>
    <row r="33" spans="2:8" ht="15.6">
      <c r="B33" s="97" t="s">
        <v>86</v>
      </c>
      <c r="C33" s="96"/>
      <c r="D33" s="96"/>
      <c r="E33" s="96"/>
      <c r="F33" s="96"/>
      <c r="G33" s="96"/>
      <c r="H33" s="96"/>
    </row>
    <row r="34" spans="2:8" ht="15.6">
      <c r="B34" s="97" t="s">
        <v>87</v>
      </c>
      <c r="C34" s="96"/>
      <c r="D34" s="96"/>
      <c r="E34" s="96"/>
      <c r="F34" s="96"/>
      <c r="G34" s="96"/>
      <c r="H34" s="96"/>
    </row>
    <row r="35" spans="2:8" ht="15.6">
      <c r="B35" s="97" t="s">
        <v>88</v>
      </c>
      <c r="C35" s="96"/>
      <c r="D35" s="96"/>
      <c r="E35" s="96"/>
      <c r="F35" s="96"/>
      <c r="G35" s="96"/>
      <c r="H35" s="96"/>
    </row>
    <row r="36" spans="2:8" ht="15.6">
      <c r="B36" s="97" t="s">
        <v>89</v>
      </c>
      <c r="C36" s="96"/>
      <c r="D36" s="96"/>
      <c r="E36" s="96"/>
      <c r="F36" s="96"/>
      <c r="G36" s="97" t="s">
        <v>102</v>
      </c>
      <c r="H36" s="96"/>
    </row>
    <row r="37" spans="2:8" ht="15.6">
      <c r="B37" s="97" t="s">
        <v>90</v>
      </c>
      <c r="C37" s="96"/>
      <c r="D37" s="96"/>
      <c r="E37" s="96"/>
      <c r="F37" s="96"/>
      <c r="G37" s="96"/>
      <c r="H37" s="96"/>
    </row>
    <row r="38" spans="2:8" ht="15.6">
      <c r="B38" s="97"/>
      <c r="C38" s="96"/>
      <c r="D38" s="96"/>
      <c r="E38" s="96"/>
      <c r="F38" s="96"/>
      <c r="G38" s="96"/>
      <c r="H38" s="96"/>
    </row>
    <row r="39" spans="2:8" ht="15.6">
      <c r="B39" s="96"/>
      <c r="C39" s="96"/>
      <c r="D39" s="96"/>
      <c r="E39" s="96"/>
      <c r="F39" s="96"/>
      <c r="G39" s="96"/>
      <c r="H39" s="96"/>
    </row>
    <row r="40" spans="2:8" ht="15.6">
      <c r="B40" s="96"/>
      <c r="C40" s="96"/>
      <c r="D40" s="96"/>
      <c r="E40" s="96"/>
      <c r="F40" s="96"/>
      <c r="G40" s="96"/>
      <c r="H40" s="96"/>
    </row>
  </sheetData>
  <mergeCells count="1">
    <mergeCell ref="B25:F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zoomScale="90" zoomScaleNormal="90" workbookViewId="0">
      <selection activeCell="B9" sqref="B9"/>
    </sheetView>
  </sheetViews>
  <sheetFormatPr defaultColWidth="9" defaultRowHeight="13.2"/>
  <cols>
    <col min="1" max="1" width="11" style="1" customWidth="1"/>
    <col min="2" max="3" width="10" style="3" customWidth="1"/>
    <col min="4" max="4" width="10.44140625" style="1" customWidth="1"/>
    <col min="5" max="5" width="12.88671875" style="3" bestFit="1" customWidth="1"/>
    <col min="6" max="8" width="8.88671875" style="1" customWidth="1"/>
    <col min="9" max="9" width="12.44140625" style="1" customWidth="1"/>
    <col min="10" max="10" width="9.77734375" style="1" customWidth="1"/>
    <col min="11" max="11" width="9" style="3"/>
    <col min="12" max="12" width="9" style="3" customWidth="1"/>
    <col min="13" max="13" width="12.21875" style="1" customWidth="1"/>
    <col min="14" max="14" width="9.109375" style="1" bestFit="1" customWidth="1"/>
    <col min="15" max="15" width="7.6640625" style="14" customWidth="1"/>
    <col min="16" max="16" width="9" style="1"/>
    <col min="17" max="17" width="10" style="1" customWidth="1"/>
    <col min="18" max="18" width="9.77734375" style="14" customWidth="1"/>
    <col min="19" max="20" width="9" style="1"/>
    <col min="21" max="22" width="11.44140625" style="1" customWidth="1"/>
    <col min="23" max="16384" width="9" style="1"/>
  </cols>
  <sheetData>
    <row r="1" spans="1:19" ht="13.8" thickBot="1">
      <c r="A1" s="60" t="s">
        <v>55</v>
      </c>
      <c r="B1" s="1"/>
      <c r="C1" s="1"/>
      <c r="D1" s="3"/>
      <c r="E1" s="22" t="s">
        <v>44</v>
      </c>
      <c r="F1" s="23" t="s">
        <v>7</v>
      </c>
      <c r="G1" s="24" t="s">
        <v>45</v>
      </c>
      <c r="H1" s="3"/>
      <c r="I1" s="73" t="s">
        <v>43</v>
      </c>
      <c r="J1" s="74" t="s">
        <v>7</v>
      </c>
      <c r="K1" s="76" t="s">
        <v>45</v>
      </c>
      <c r="L1" s="75" t="s">
        <v>71</v>
      </c>
      <c r="P1" s="3"/>
      <c r="Q1" s="3"/>
      <c r="R1" s="3"/>
      <c r="S1" s="3"/>
    </row>
    <row r="2" spans="1:19" s="65" customFormat="1" ht="13.8" thickBot="1">
      <c r="A2" s="70" t="s">
        <v>3</v>
      </c>
      <c r="D2" s="67"/>
      <c r="E2" s="7" t="s">
        <v>70</v>
      </c>
      <c r="F2" s="71">
        <v>11703</v>
      </c>
      <c r="G2" s="20">
        <v>11703</v>
      </c>
      <c r="H2" s="3" t="s">
        <v>29</v>
      </c>
      <c r="I2" s="7" t="s">
        <v>37</v>
      </c>
      <c r="J2" s="19">
        <v>-15476.272054487623</v>
      </c>
      <c r="K2" s="77">
        <f>ROUND(J2,0)</f>
        <v>-15476</v>
      </c>
      <c r="L2" s="83">
        <f>K2</f>
        <v>-15476</v>
      </c>
      <c r="M2" s="3"/>
      <c r="N2" s="73" t="s">
        <v>42</v>
      </c>
      <c r="O2" s="74" t="s">
        <v>7</v>
      </c>
      <c r="P2" s="76" t="s">
        <v>45</v>
      </c>
      <c r="Q2" s="86" t="s">
        <v>71</v>
      </c>
      <c r="R2" s="67"/>
      <c r="S2" s="67"/>
    </row>
    <row r="3" spans="1:19" s="65" customFormat="1" ht="13.8" thickBot="1">
      <c r="A3" s="70" t="s">
        <v>4</v>
      </c>
      <c r="D3" s="67"/>
      <c r="E3" s="6" t="s">
        <v>69</v>
      </c>
      <c r="F3" s="71">
        <v>11703</v>
      </c>
      <c r="G3" s="20">
        <v>11703</v>
      </c>
      <c r="H3" s="3" t="s">
        <v>28</v>
      </c>
      <c r="I3" s="5" t="s">
        <v>36</v>
      </c>
      <c r="J3" s="18">
        <v>24389.538661652557</v>
      </c>
      <c r="K3" s="78">
        <f>ROUND(J3,0)</f>
        <v>24390</v>
      </c>
      <c r="L3" s="84">
        <f>K3</f>
        <v>24390</v>
      </c>
      <c r="M3" s="3" t="s">
        <v>28</v>
      </c>
      <c r="N3" s="80" t="s">
        <v>41</v>
      </c>
      <c r="O3" s="119">
        <v>272.04996372185428</v>
      </c>
      <c r="P3" s="82">
        <f>ROUND(O3,0)</f>
        <v>272</v>
      </c>
      <c r="Q3" s="87">
        <f>P3</f>
        <v>272</v>
      </c>
      <c r="R3" s="67"/>
      <c r="S3" s="67"/>
    </row>
    <row r="4" spans="1:19" s="65" customFormat="1" ht="13.8" thickBot="1">
      <c r="A4" s="70" t="s">
        <v>5</v>
      </c>
      <c r="D4" s="67"/>
      <c r="F4" s="69" t="s">
        <v>1</v>
      </c>
      <c r="G4" s="69" t="s">
        <v>0</v>
      </c>
      <c r="H4" s="3" t="s">
        <v>27</v>
      </c>
      <c r="I4" s="5" t="s">
        <v>35</v>
      </c>
      <c r="J4" s="18">
        <v>-19710.207957215291</v>
      </c>
      <c r="K4" s="78">
        <f>ROUND(J4,0)</f>
        <v>-19710</v>
      </c>
      <c r="L4" s="84">
        <f>K4</f>
        <v>-19710</v>
      </c>
      <c r="M4" s="3" t="s">
        <v>27</v>
      </c>
      <c r="N4" s="5" t="s">
        <v>40</v>
      </c>
      <c r="O4" s="119">
        <v>-661.26024448321607</v>
      </c>
      <c r="P4" s="78">
        <f>ROUND(O4,0)</f>
        <v>-661</v>
      </c>
      <c r="Q4" s="88">
        <f>P4</f>
        <v>-661</v>
      </c>
      <c r="R4" s="67"/>
      <c r="S4" s="67"/>
    </row>
    <row r="5" spans="1:19" s="65" customFormat="1" ht="13.8" thickBot="1">
      <c r="A5" s="70" t="s">
        <v>6</v>
      </c>
      <c r="D5" s="67"/>
      <c r="E5" s="69" t="s">
        <v>61</v>
      </c>
      <c r="F5" s="68">
        <v>-32768</v>
      </c>
      <c r="G5" s="68">
        <v>32767</v>
      </c>
      <c r="H5" s="3" t="s">
        <v>26</v>
      </c>
      <c r="I5" s="5" t="s">
        <v>34</v>
      </c>
      <c r="J5" s="18">
        <v>24650.952240870116</v>
      </c>
      <c r="K5" s="78">
        <f>ROUND(J5,0)</f>
        <v>24651</v>
      </c>
      <c r="L5" s="84">
        <f>K5/10</f>
        <v>2465.1</v>
      </c>
      <c r="M5" s="3" t="s">
        <v>26</v>
      </c>
      <c r="N5" s="5" t="s">
        <v>39</v>
      </c>
      <c r="O5" s="119">
        <v>-1785.8768081708715</v>
      </c>
      <c r="P5" s="78">
        <f>ROUND(O5,0)</f>
        <v>-1786</v>
      </c>
      <c r="Q5" s="88">
        <f>P5</f>
        <v>-1786</v>
      </c>
      <c r="R5" s="67"/>
      <c r="S5" s="67"/>
    </row>
    <row r="6" spans="1:19" s="65" customFormat="1" ht="13.8" thickBot="1">
      <c r="D6" s="67"/>
      <c r="E6" s="69" t="s">
        <v>56</v>
      </c>
      <c r="F6" s="122">
        <v>10</v>
      </c>
      <c r="G6" s="122"/>
      <c r="H6" s="3" t="s">
        <v>25</v>
      </c>
      <c r="I6" s="6" t="s">
        <v>33</v>
      </c>
      <c r="J6" s="21">
        <v>918.29560376866891</v>
      </c>
      <c r="K6" s="79">
        <f>ROUND(J6,0)</f>
        <v>918</v>
      </c>
      <c r="L6" s="85">
        <f>K6/10</f>
        <v>91.8</v>
      </c>
      <c r="M6" s="3" t="s">
        <v>25</v>
      </c>
      <c r="N6" s="6" t="s">
        <v>38</v>
      </c>
      <c r="O6" s="119">
        <v>4512.8753602020306</v>
      </c>
      <c r="P6" s="79">
        <f>ROUND(O6,0)</f>
        <v>4513</v>
      </c>
      <c r="Q6" s="89">
        <f>P6/10</f>
        <v>451.3</v>
      </c>
      <c r="R6" s="67"/>
      <c r="S6" s="67"/>
    </row>
    <row r="7" spans="1:19" s="65" customFormat="1" ht="13.8" thickBot="1">
      <c r="A7" s="46" t="s">
        <v>54</v>
      </c>
      <c r="B7" s="3"/>
      <c r="C7" s="1"/>
      <c r="D7" s="67"/>
      <c r="E7" s="69" t="s">
        <v>57</v>
      </c>
      <c r="F7" s="68">
        <f>F5+F6</f>
        <v>-32758</v>
      </c>
      <c r="G7" s="68">
        <f>G5-F6</f>
        <v>32757</v>
      </c>
      <c r="H7" s="3"/>
      <c r="K7" s="1"/>
      <c r="L7" s="1"/>
      <c r="M7" s="1"/>
      <c r="N7" s="17"/>
      <c r="O7" s="10"/>
      <c r="P7" s="66"/>
      <c r="Q7" s="67"/>
      <c r="R7" s="67"/>
      <c r="S7" s="67"/>
    </row>
    <row r="8" spans="1:19" s="65" customFormat="1">
      <c r="A8" s="16" t="s">
        <v>19</v>
      </c>
      <c r="B8" s="48">
        <v>18</v>
      </c>
      <c r="C8" s="61" t="s">
        <v>67</v>
      </c>
      <c r="D8" s="67"/>
      <c r="E8" s="67"/>
      <c r="F8" s="67"/>
      <c r="G8" s="67"/>
      <c r="H8" s="3"/>
      <c r="K8" s="1"/>
      <c r="L8" s="1"/>
      <c r="M8" s="1"/>
      <c r="N8" s="10"/>
      <c r="O8" s="10"/>
      <c r="P8" s="66"/>
      <c r="Q8" s="66"/>
      <c r="R8" s="66"/>
      <c r="S8" s="66"/>
    </row>
    <row r="9" spans="1:19">
      <c r="A9" s="42" t="s">
        <v>20</v>
      </c>
      <c r="B9" s="62">
        <v>477.36568799999998</v>
      </c>
      <c r="C9" s="1" t="s">
        <v>68</v>
      </c>
      <c r="D9" s="3"/>
      <c r="E9" s="1"/>
      <c r="J9" s="3"/>
      <c r="K9" s="1"/>
      <c r="L9" s="1"/>
      <c r="N9" s="10"/>
      <c r="O9" s="10"/>
      <c r="P9" s="10"/>
      <c r="Q9" s="10"/>
      <c r="R9" s="10"/>
      <c r="S9" s="10"/>
    </row>
    <row r="10" spans="1:19">
      <c r="A10" s="42" t="s">
        <v>8</v>
      </c>
      <c r="B10" s="37">
        <v>1.8</v>
      </c>
      <c r="C10" s="1"/>
      <c r="D10" s="3"/>
      <c r="E10" s="1"/>
      <c r="J10" s="3"/>
      <c r="K10" s="1"/>
      <c r="L10" s="1"/>
      <c r="N10" s="10"/>
      <c r="O10" s="10"/>
      <c r="P10" s="10"/>
      <c r="Q10" s="10"/>
      <c r="R10" s="10"/>
      <c r="S10" s="10"/>
    </row>
    <row r="11" spans="1:19">
      <c r="A11" s="43" t="s">
        <v>9</v>
      </c>
      <c r="B11" s="37">
        <v>1.8</v>
      </c>
      <c r="C11" s="1"/>
      <c r="D11" s="3"/>
      <c r="E11" s="1"/>
      <c r="J11" s="3"/>
      <c r="K11" s="1"/>
      <c r="L11" s="1"/>
      <c r="N11" s="10"/>
      <c r="O11" s="10"/>
      <c r="P11" s="10"/>
      <c r="Q11" s="10"/>
      <c r="R11" s="10"/>
      <c r="S11" s="10"/>
    </row>
    <row r="12" spans="1:19">
      <c r="A12" s="42" t="s">
        <v>10</v>
      </c>
      <c r="B12" s="38">
        <f>B11*2^-15</f>
        <v>5.4931640625000001E-5</v>
      </c>
      <c r="C12" s="1"/>
      <c r="D12" s="3"/>
      <c r="E12" s="1"/>
      <c r="J12" s="3"/>
      <c r="K12" s="1"/>
      <c r="N12" s="10"/>
      <c r="O12" s="10"/>
      <c r="P12" s="10"/>
      <c r="Q12" s="10"/>
      <c r="R12" s="10"/>
      <c r="S12" s="10"/>
    </row>
    <row r="13" spans="1:19">
      <c r="A13" s="42" t="s">
        <v>11</v>
      </c>
      <c r="B13" s="39">
        <f>B10*0.8</f>
        <v>1.4400000000000002</v>
      </c>
      <c r="C13" s="1"/>
      <c r="D13" s="3"/>
      <c r="E13" s="1"/>
      <c r="J13" s="3"/>
      <c r="K13" s="1"/>
      <c r="N13" s="10"/>
      <c r="O13" s="10"/>
      <c r="P13" s="10"/>
      <c r="Q13" s="10"/>
      <c r="R13" s="10"/>
      <c r="S13" s="10"/>
    </row>
    <row r="14" spans="1:19">
      <c r="A14" s="42" t="s">
        <v>12</v>
      </c>
      <c r="B14" s="40">
        <f>B8*B9/(B8+B9)</f>
        <v>17.345937742866035</v>
      </c>
      <c r="C14" s="1"/>
      <c r="D14" s="3"/>
      <c r="E14" s="1"/>
      <c r="J14" s="3"/>
      <c r="K14" s="1"/>
      <c r="N14" s="10"/>
      <c r="O14" s="10"/>
      <c r="P14" s="10"/>
      <c r="Q14" s="10"/>
      <c r="R14" s="10"/>
      <c r="S14" s="10"/>
    </row>
    <row r="15" spans="1:19" ht="13.8" thickBot="1">
      <c r="A15" s="44" t="s">
        <v>13</v>
      </c>
      <c r="B15" s="41">
        <f>B10*B9/(B8+B9)</f>
        <v>1.7345937742866033</v>
      </c>
      <c r="C15" s="1"/>
      <c r="D15" s="3"/>
      <c r="E15" s="1"/>
      <c r="J15" s="3"/>
      <c r="K15" s="1"/>
      <c r="N15" s="10"/>
      <c r="O15" s="10"/>
      <c r="P15" s="10"/>
      <c r="Q15" s="10"/>
      <c r="R15" s="10"/>
      <c r="S15" s="10"/>
    </row>
    <row r="16" spans="1:19">
      <c r="A16" s="26" t="s">
        <v>51</v>
      </c>
      <c r="B16" s="25" t="s">
        <v>1</v>
      </c>
      <c r="C16" s="11" t="s">
        <v>0</v>
      </c>
      <c r="D16" s="3"/>
      <c r="E16" s="1"/>
      <c r="J16" s="3"/>
      <c r="L16" s="1"/>
      <c r="N16" s="10"/>
      <c r="O16" s="10"/>
      <c r="P16" s="10"/>
      <c r="Q16" s="10"/>
      <c r="R16" s="10"/>
      <c r="S16" s="10"/>
    </row>
    <row r="17" spans="1:22">
      <c r="A17" s="27" t="s">
        <v>66</v>
      </c>
      <c r="B17" s="13">
        <f>MIN($E$29:$E$38)</f>
        <v>17872</v>
      </c>
      <c r="C17" s="13">
        <f>MAX($E$29:$E$38)</f>
        <v>29527</v>
      </c>
      <c r="E17" s="1"/>
      <c r="J17" s="3"/>
      <c r="L17" s="1"/>
      <c r="N17" s="10"/>
      <c r="O17" s="10"/>
      <c r="P17" s="10"/>
      <c r="Q17" s="10"/>
      <c r="R17" s="10"/>
      <c r="S17" s="10"/>
    </row>
    <row r="18" spans="1:22">
      <c r="A18" s="27" t="s">
        <v>2</v>
      </c>
      <c r="B18" s="13">
        <f>MIN($F$29:$F$38)</f>
        <v>17872</v>
      </c>
      <c r="C18" s="13">
        <f>MAX($F$29:$F$38)</f>
        <v>29527</v>
      </c>
      <c r="D18" s="3"/>
      <c r="E18" s="1"/>
      <c r="J18" s="3"/>
      <c r="L18" s="1"/>
      <c r="N18" s="10"/>
      <c r="O18" s="10"/>
      <c r="P18" s="10"/>
      <c r="Q18" s="10"/>
      <c r="R18" s="10"/>
      <c r="S18" s="10"/>
    </row>
    <row r="19" spans="1:22">
      <c r="A19" s="28" t="s">
        <v>15</v>
      </c>
      <c r="B19" s="13">
        <f>MIN($G$29:$G$38)</f>
        <v>11087.510037852975</v>
      </c>
      <c r="C19" s="13">
        <f>MAX($G$29:$G$38)</f>
        <v>14768.457673133309</v>
      </c>
      <c r="D19" s="3"/>
      <c r="E19" s="1"/>
      <c r="J19" s="3"/>
      <c r="L19" s="1"/>
      <c r="N19" s="10"/>
      <c r="O19" s="10"/>
      <c r="P19" s="10"/>
      <c r="Q19" s="10"/>
      <c r="R19" s="10"/>
      <c r="S19" s="10"/>
    </row>
    <row r="20" spans="1:22" ht="26.4">
      <c r="A20" s="28" t="s">
        <v>24</v>
      </c>
      <c r="B20" s="13">
        <f>MIN($H$29:$H$38)</f>
        <v>26409.432505614372</v>
      </c>
      <c r="C20" s="13">
        <f>MAX($H$29:$H$38)</f>
        <v>32757.00000007937</v>
      </c>
      <c r="D20" s="11" t="s">
        <v>64</v>
      </c>
      <c r="E20" s="1"/>
      <c r="J20" s="3"/>
      <c r="L20" s="1"/>
      <c r="O20" s="1"/>
      <c r="R20" s="1"/>
    </row>
    <row r="21" spans="1:22">
      <c r="A21" s="29" t="s">
        <v>62</v>
      </c>
      <c r="B21" s="12">
        <f>MIN($T$29:$T$30)</f>
        <v>-0.12393513388815336</v>
      </c>
      <c r="C21" s="12">
        <f>MAX($T$29:$T$30)</f>
        <v>0.8304320857107399</v>
      </c>
      <c r="D21" s="12">
        <f>MAX(ABS(B21),ABS(C21))</f>
        <v>0.8304320857107399</v>
      </c>
      <c r="E21" s="1"/>
      <c r="J21" s="3"/>
      <c r="L21" s="4"/>
      <c r="M21" s="4"/>
      <c r="O21" s="1"/>
      <c r="R21" s="1"/>
    </row>
    <row r="22" spans="1:22">
      <c r="A22" s="29" t="s">
        <v>60</v>
      </c>
      <c r="B22" s="12">
        <f>MIN($T$31:$T$32)</f>
        <v>-0.52634786766001795</v>
      </c>
      <c r="C22" s="12">
        <f>MAX($T$31:$T$32)</f>
        <v>-0.50695788669327868</v>
      </c>
      <c r="D22" s="12">
        <f>MAX(ABS(B22),ABS(C22))</f>
        <v>0.52634786766001795</v>
      </c>
      <c r="E22" s="1"/>
      <c r="J22" s="3"/>
      <c r="L22" s="4"/>
      <c r="O22" s="1"/>
      <c r="R22" s="1"/>
    </row>
    <row r="23" spans="1:22" ht="15" customHeight="1" thickBot="1">
      <c r="A23" s="29" t="s">
        <v>63</v>
      </c>
      <c r="B23" s="12">
        <f>MIN($T$33:$T$38)</f>
        <v>-0.27540523431229857</v>
      </c>
      <c r="C23" s="12">
        <f>MAX($T$33:$T$38)</f>
        <v>0.40227166131148806</v>
      </c>
      <c r="D23" s="12">
        <f>MAX(ABS(B23),ABS(C23))</f>
        <v>0.40227166131148806</v>
      </c>
      <c r="E23" s="1"/>
      <c r="J23" s="3"/>
      <c r="L23" s="4"/>
      <c r="O23" s="1"/>
      <c r="R23" s="1"/>
    </row>
    <row r="24" spans="1:22" ht="15" customHeight="1" thickBot="1">
      <c r="A24" s="45" t="s">
        <v>53</v>
      </c>
      <c r="B24" s="57" t="s">
        <v>79</v>
      </c>
      <c r="C24" s="58"/>
      <c r="D24" s="59"/>
      <c r="E24" s="1"/>
      <c r="J24" s="3"/>
      <c r="L24" s="1"/>
      <c r="O24" s="1"/>
      <c r="R24" s="1"/>
    </row>
    <row r="25" spans="1:22" ht="15" customHeight="1" thickBot="1">
      <c r="A25" s="45" t="s">
        <v>52</v>
      </c>
      <c r="B25" s="54" t="s">
        <v>92</v>
      </c>
      <c r="C25" s="55"/>
      <c r="D25" s="56"/>
      <c r="E25" s="1"/>
      <c r="J25" s="3"/>
      <c r="L25" s="1"/>
      <c r="M25" s="8" t="s">
        <v>46</v>
      </c>
      <c r="O25" s="1"/>
      <c r="R25" s="1"/>
      <c r="U25" s="9"/>
      <c r="V25" s="9"/>
    </row>
    <row r="26" spans="1:22" ht="15" customHeight="1" thickBot="1">
      <c r="B26" s="1"/>
      <c r="C26" s="1"/>
      <c r="E26" s="1"/>
      <c r="K26" s="1"/>
      <c r="L26" s="1"/>
      <c r="M26" s="3" t="s">
        <v>32</v>
      </c>
      <c r="O26" s="1"/>
      <c r="R26" s="1"/>
      <c r="U26" s="9" t="s">
        <v>59</v>
      </c>
      <c r="V26" s="9" t="s">
        <v>59</v>
      </c>
    </row>
    <row r="27" spans="1:22" ht="15" customHeight="1" thickBot="1">
      <c r="A27" s="10"/>
      <c r="B27" s="2"/>
      <c r="C27" s="2"/>
      <c r="D27" s="2"/>
      <c r="E27" s="2"/>
      <c r="F27" s="123" t="s">
        <v>49</v>
      </c>
      <c r="G27" s="124"/>
      <c r="H27" s="124"/>
      <c r="I27" s="124"/>
      <c r="J27" s="124"/>
      <c r="K27" s="124"/>
      <c r="L27" s="125"/>
      <c r="M27" s="36">
        <f>SUM(M29:M54)</f>
        <v>2.1456453917944427</v>
      </c>
      <c r="N27" s="126" t="s">
        <v>50</v>
      </c>
      <c r="O27" s="127"/>
      <c r="P27" s="127"/>
      <c r="Q27" s="127"/>
      <c r="R27" s="127"/>
      <c r="S27" s="127"/>
      <c r="T27" s="128"/>
      <c r="U27" s="3">
        <v>1</v>
      </c>
      <c r="V27" s="3">
        <v>10</v>
      </c>
    </row>
    <row r="28" spans="1:22" s="15" customFormat="1" ht="42.75" customHeight="1" thickBot="1">
      <c r="A28" s="9" t="s">
        <v>48</v>
      </c>
      <c r="B28" s="9" t="s">
        <v>21</v>
      </c>
      <c r="C28" s="9" t="s">
        <v>22</v>
      </c>
      <c r="D28" s="9" t="s">
        <v>30</v>
      </c>
      <c r="E28" s="9" t="s">
        <v>65</v>
      </c>
      <c r="F28" s="33" t="s">
        <v>2</v>
      </c>
      <c r="G28" s="34" t="s">
        <v>15</v>
      </c>
      <c r="H28" s="34" t="s">
        <v>16</v>
      </c>
      <c r="I28" s="34" t="s">
        <v>17</v>
      </c>
      <c r="J28" s="34" t="s">
        <v>23</v>
      </c>
      <c r="K28" s="34" t="s">
        <v>18</v>
      </c>
      <c r="L28" s="35" t="s">
        <v>14</v>
      </c>
      <c r="M28" s="53" t="s">
        <v>31</v>
      </c>
      <c r="N28" s="30" t="s">
        <v>2</v>
      </c>
      <c r="O28" s="31" t="s">
        <v>15</v>
      </c>
      <c r="P28" s="31" t="s">
        <v>16</v>
      </c>
      <c r="Q28" s="31" t="s">
        <v>17</v>
      </c>
      <c r="R28" s="31" t="s">
        <v>23</v>
      </c>
      <c r="S28" s="31" t="s">
        <v>18</v>
      </c>
      <c r="T28" s="32" t="s">
        <v>14</v>
      </c>
      <c r="U28" s="9" t="s">
        <v>58</v>
      </c>
      <c r="V28" s="9" t="s">
        <v>47</v>
      </c>
    </row>
    <row r="29" spans="1:22">
      <c r="A29" s="49">
        <v>-40.096768618306598</v>
      </c>
      <c r="B29" s="116">
        <v>249.8</v>
      </c>
      <c r="C29" s="12">
        <f t="shared" ref="C29:C30" si="0">$B$9*B29/($B$9+B29)</f>
        <v>163.9873151748601</v>
      </c>
      <c r="D29" s="13">
        <f t="shared" ref="D29:D30" si="1">$B$11*C29/(C29+$B$8)*1000</f>
        <v>1621.9656135436205</v>
      </c>
      <c r="E29" s="3">
        <f>ROUND($B$15*B29/(($B$14+B29)*$B$12),0)</f>
        <v>29527</v>
      </c>
      <c r="F29" s="64">
        <f t="shared" ref="F29:F31" si="2">($E29*$F$2)/($F$2-(32768-$E29)*($F$2-$F$3)/(32768-$F$3))</f>
        <v>29527</v>
      </c>
      <c r="G29" s="64">
        <f t="shared" ref="G29:G30" si="3">$J$2*F29^4*2^-60+$J$3*F29^3*2^-45+$J$4*F29^2*2^-30+$J$5*F29^1*2^-15+$J$6</f>
        <v>14768.457673133309</v>
      </c>
      <c r="H29" s="64">
        <f>F29*2^14/G29</f>
        <v>32757.00000007937</v>
      </c>
      <c r="I29" s="63">
        <f t="shared" ref="I29:I30" si="4">$O$3*H29^3*2^-45+$O$4*H29^2*2^-30+$O$5*H29^1*2^-15+$O$6</f>
        <v>2338.5577809407018</v>
      </c>
      <c r="J29" s="63">
        <f t="shared" ref="J29:J30" si="5">I29/10</f>
        <v>233.85577809407019</v>
      </c>
      <c r="K29" s="63">
        <f t="shared" ref="K29:K30" si="6">J29-273.15</f>
        <v>-39.294221905929788</v>
      </c>
      <c r="L29" s="12">
        <f>(K29-A29)</f>
        <v>0.80254671237680952</v>
      </c>
      <c r="M29" s="12">
        <f t="shared" ref="M29:M30" si="7">(L29)^2</f>
        <v>0.64408122554682545</v>
      </c>
      <c r="N29" s="64">
        <f>($E29*$G$2)/($G$2-(32768-$E29)*($G$2-$G$3)/(32768-$G$3))</f>
        <v>29527</v>
      </c>
      <c r="O29" s="64">
        <f t="shared" ref="O29:O30" si="8">$K$2*N29^4*2^-60+$K$3*N29^3*2^-45+$K$4*N29^2*2^-30+$K$5*N29^1*2^-15+$K$6</f>
        <v>14768.890864480434</v>
      </c>
      <c r="P29" s="64">
        <f>N29*2^14/O29</f>
        <v>32756.039193402146</v>
      </c>
      <c r="Q29" s="63">
        <f t="shared" ref="Q29:Q30" si="9">$P$3*P29^3*2^-45+$P$4*P29^2*2^-30+$P$5*P29^1*2^-15+$P$6</f>
        <v>2338.8366346740413</v>
      </c>
      <c r="R29" s="63">
        <f t="shared" ref="R29:R30" si="10">Q29/10</f>
        <v>233.88366346740412</v>
      </c>
      <c r="S29" s="63">
        <f t="shared" ref="S29:S30" si="11">R29-273.15</f>
        <v>-39.266336532595858</v>
      </c>
      <c r="T29" s="12">
        <f>(S29-A29)</f>
        <v>0.8304320857107399</v>
      </c>
      <c r="U29" s="47">
        <f t="shared" ref="U29:U30" si="12">T29*U$27</f>
        <v>0.8304320857107399</v>
      </c>
      <c r="V29" s="47">
        <f>(L29-T29)*V$27</f>
        <v>-0.27885373333930374</v>
      </c>
    </row>
    <row r="30" spans="1:22">
      <c r="A30" s="51">
        <v>-34.943605959593299</v>
      </c>
      <c r="B30" s="117">
        <v>181.6</v>
      </c>
      <c r="C30" s="12">
        <f t="shared" si="0"/>
        <v>131.55405587794428</v>
      </c>
      <c r="D30" s="13">
        <f t="shared" si="1"/>
        <v>1583.3559256564554</v>
      </c>
      <c r="E30" s="3">
        <f t="shared" ref="E30" si="13">ROUND($B$15*B30/(($B$14+B30)*$B$12),0)</f>
        <v>28824</v>
      </c>
      <c r="F30" s="64">
        <f t="shared" si="2"/>
        <v>28824</v>
      </c>
      <c r="G30" s="64">
        <f t="shared" si="3"/>
        <v>14685.68121360682</v>
      </c>
      <c r="H30" s="64">
        <f t="shared" ref="H30" si="14">F30*2^14/G30</f>
        <v>32157.338098994067</v>
      </c>
      <c r="I30" s="63">
        <f t="shared" si="4"/>
        <v>2380.5584477930806</v>
      </c>
      <c r="J30" s="63">
        <f t="shared" si="5"/>
        <v>238.05584477930807</v>
      </c>
      <c r="K30" s="63">
        <f t="shared" si="6"/>
        <v>-35.094155220691903</v>
      </c>
      <c r="L30" s="12">
        <f t="shared" ref="L30" si="15">(K30-A30)</f>
        <v>-0.15054926109860389</v>
      </c>
      <c r="M30" s="12">
        <f t="shared" si="7"/>
        <v>2.2665080017335606E-2</v>
      </c>
      <c r="N30" s="64">
        <f t="shared" ref="N30:N31" si="16">($E30*$G$2)/($G$2-(32768-$E30)*($G$2-$G$3)/(32768-$G$3))</f>
        <v>28824</v>
      </c>
      <c r="O30" s="64">
        <f t="shared" si="8"/>
        <v>14686.065414544741</v>
      </c>
      <c r="P30" s="64">
        <f t="shared" ref="P30" si="17">N30*2^14/O30</f>
        <v>32156.496833542093</v>
      </c>
      <c r="Q30" s="63">
        <f t="shared" si="9"/>
        <v>2380.8245890651851</v>
      </c>
      <c r="R30" s="63">
        <f t="shared" si="10"/>
        <v>238.08245890651853</v>
      </c>
      <c r="S30" s="63">
        <f t="shared" si="11"/>
        <v>-35.067541093481452</v>
      </c>
      <c r="T30" s="12">
        <f t="shared" ref="T30" si="18">(S30-A30)</f>
        <v>-0.12393513388815336</v>
      </c>
      <c r="U30" s="47">
        <f t="shared" si="12"/>
        <v>-0.12393513388815336</v>
      </c>
      <c r="V30" s="47">
        <f t="shared" ref="V30" si="19">(L30-T30)*V$27</f>
        <v>-0.26614127210450533</v>
      </c>
    </row>
    <row r="31" spans="1:22">
      <c r="A31" s="51">
        <v>-29.736919069319601</v>
      </c>
      <c r="B31" s="117">
        <v>133.4</v>
      </c>
      <c r="C31" s="12">
        <f t="shared" ref="C31:C32" si="20">$B$9*B31/($B$9+B31)</f>
        <v>104.26352368897318</v>
      </c>
      <c r="D31" s="13">
        <f t="shared" ref="D31:D32" si="21">$B$11*C31/(C31+$B$8)*1000</f>
        <v>1534.9986404577826</v>
      </c>
      <c r="E31" s="3">
        <f t="shared" ref="E31:E32" si="22">ROUND($B$15*B31/(($B$14+B31)*$B$12),0)</f>
        <v>27944</v>
      </c>
      <c r="F31" s="64">
        <f t="shared" si="2"/>
        <v>27944</v>
      </c>
      <c r="G31" s="64">
        <f t="shared" ref="G31:G32" si="23">$J$2*F31^4*2^-60+$J$3*F31^3*2^-45+$J$4*F31^2*2^-30+$J$5*F31^1*2^-15+$J$6</f>
        <v>14546.975904842468</v>
      </c>
      <c r="H31" s="64">
        <f t="shared" ref="H31:H32" si="24">F31*2^14/G31</f>
        <v>31472.829747906151</v>
      </c>
      <c r="I31" s="63">
        <f t="shared" ref="I31" si="25">$O$3*H31^3*2^-45+$O$4*H31^2*2^-30+$O$5*H31^1*2^-15+$O$6</f>
        <v>2428.6155822960027</v>
      </c>
      <c r="J31" s="63">
        <f t="shared" ref="J31:J32" si="26">I31/10</f>
        <v>242.86155822960026</v>
      </c>
      <c r="K31" s="63">
        <f t="shared" ref="K31:K32" si="27">J31-273.15</f>
        <v>-30.288441770399714</v>
      </c>
      <c r="L31" s="12">
        <f t="shared" ref="L31:L32" si="28">(K31-A31)</f>
        <v>-0.55152270108011336</v>
      </c>
      <c r="M31" s="12">
        <f t="shared" ref="M31:M32" si="29">(L31)^2</f>
        <v>0.30417728980670405</v>
      </c>
      <c r="N31" s="64">
        <f t="shared" si="16"/>
        <v>27944</v>
      </c>
      <c r="O31" s="64">
        <f t="shared" ref="O31:O32" si="30">$K$2*N31^4*2^-60+$K$3*N31^3*2^-45+$K$4*N31^2*2^-30+$K$5*N31^1*2^-15+$K$6</f>
        <v>14547.302258814569</v>
      </c>
      <c r="P31" s="64">
        <f t="shared" ref="P31:P32" si="31">N31*2^14/O31</f>
        <v>31472.123686890936</v>
      </c>
      <c r="Q31" s="63">
        <f t="shared" ref="Q31" si="32">$P$3*P31^3*2^-45+$P$4*P31^2*2^-30+$P$5*P31^1*2^-15+$P$6</f>
        <v>2428.8673306302035</v>
      </c>
      <c r="R31" s="63">
        <f t="shared" ref="R31:R32" si="33">Q31/10</f>
        <v>242.88673306302036</v>
      </c>
      <c r="S31" s="63">
        <f t="shared" ref="S31:S32" si="34">R31-273.15</f>
        <v>-30.263266936979619</v>
      </c>
      <c r="T31" s="12">
        <f t="shared" ref="T31:T32" si="35">(S31-A31)</f>
        <v>-0.52634786766001795</v>
      </c>
      <c r="U31" s="47">
        <f t="shared" ref="U31:U32" si="36">T31*U$27</f>
        <v>-0.52634786766001795</v>
      </c>
      <c r="V31" s="47">
        <f t="shared" ref="V31:V32" si="37">(L31-T31)*V$27</f>
        <v>-0.2517483342009541</v>
      </c>
    </row>
    <row r="32" spans="1:22">
      <c r="A32" s="51">
        <v>-24.716308521164301</v>
      </c>
      <c r="B32" s="117">
        <v>100.3</v>
      </c>
      <c r="C32" s="12">
        <f t="shared" si="20"/>
        <v>82.884927218318708</v>
      </c>
      <c r="D32" s="13">
        <f t="shared" si="21"/>
        <v>1478.8420144281295</v>
      </c>
      <c r="E32" s="3">
        <f t="shared" si="22"/>
        <v>26921</v>
      </c>
      <c r="F32" s="64">
        <f t="shared" ref="F32:F34" si="38">($E32*$F$2)/($F$2-(32768-$E32)*($F$2-$F$3)/(32768-$F$3))</f>
        <v>26921</v>
      </c>
      <c r="G32" s="64">
        <f t="shared" si="23"/>
        <v>14340.889641606953</v>
      </c>
      <c r="H32" s="64">
        <f t="shared" si="24"/>
        <v>30756.366935585454</v>
      </c>
      <c r="I32" s="63">
        <f t="shared" ref="I32" si="39">$O$3*H32^3*2^-45+$O$4*H32^2*2^-30+$O$5*H32^1*2^-15+$O$6</f>
        <v>2479.0305255064004</v>
      </c>
      <c r="J32" s="63">
        <f t="shared" si="26"/>
        <v>247.90305255064004</v>
      </c>
      <c r="K32" s="63">
        <f t="shared" si="27"/>
        <v>-25.246947449359936</v>
      </c>
      <c r="L32" s="12">
        <f t="shared" si="28"/>
        <v>-0.53063892819563563</v>
      </c>
      <c r="M32" s="12">
        <f t="shared" si="29"/>
        <v>0.28157767211661294</v>
      </c>
      <c r="N32" s="64">
        <f t="shared" ref="N32:N34" si="40">($E32*$G$2)/($G$2-(32768-$E32)*($G$2-$G$3)/(32768-$G$3))</f>
        <v>26921</v>
      </c>
      <c r="O32" s="64">
        <f t="shared" si="30"/>
        <v>14341.153407135855</v>
      </c>
      <c r="P32" s="64">
        <f t="shared" si="31"/>
        <v>30755.801257974905</v>
      </c>
      <c r="Q32" s="63">
        <f t="shared" ref="Q32" si="41">$P$3*P32^3*2^-45+$P$4*P32^2*2^-30+$P$5*P32^1*2^-15+$P$6</f>
        <v>2479.2673359214241</v>
      </c>
      <c r="R32" s="63">
        <f t="shared" si="33"/>
        <v>247.9267335921424</v>
      </c>
      <c r="S32" s="63">
        <f t="shared" si="34"/>
        <v>-25.223266407857579</v>
      </c>
      <c r="T32" s="12">
        <f t="shared" si="35"/>
        <v>-0.50695788669327868</v>
      </c>
      <c r="U32" s="47">
        <f t="shared" si="36"/>
        <v>-0.50695788669327868</v>
      </c>
      <c r="V32" s="47">
        <f t="shared" si="37"/>
        <v>-0.23681041502356948</v>
      </c>
    </row>
    <row r="33" spans="1:22">
      <c r="A33" s="51">
        <v>-19.8737553118923</v>
      </c>
      <c r="B33" s="117">
        <v>77</v>
      </c>
      <c r="C33" s="12">
        <f t="shared" ref="C33:C38" si="42">$B$9*B33/($B$9+B33)</f>
        <v>66.304893631872829</v>
      </c>
      <c r="D33" s="13">
        <f t="shared" ref="D33:D38" si="43">$B$11*C33/(C33+$B$8)*1000</f>
        <v>1415.6806728031902</v>
      </c>
      <c r="E33" s="3">
        <f t="shared" ref="E33:E54" si="44">ROUND($B$15*B33/(($B$14+B33)*$B$12),0)</f>
        <v>25772</v>
      </c>
      <c r="F33" s="64">
        <f t="shared" si="38"/>
        <v>25772</v>
      </c>
      <c r="G33" s="64">
        <f t="shared" ref="G33:G38" si="45">$J$2*F33^4*2^-60+$J$3*F33^3*2^-45+$J$4*F33^2*2^-30+$J$5*F33^1*2^-15+$J$6</f>
        <v>14057.84845641739</v>
      </c>
      <c r="H33" s="64">
        <f t="shared" ref="H33:H38" si="46">F33*2^14/G33</f>
        <v>30036.491665781479</v>
      </c>
      <c r="I33" s="63">
        <f t="shared" ref="I33:I34" si="47">$O$3*H33^3*2^-45+$O$4*H33^2*2^-30+$O$5*H33^1*2^-15+$O$6</f>
        <v>2529.7864700877853</v>
      </c>
      <c r="J33" s="63">
        <f t="shared" ref="J33:J38" si="48">I33/10</f>
        <v>252.97864700877852</v>
      </c>
      <c r="K33" s="63">
        <f t="shared" ref="K33:K38" si="49">J33-273.15</f>
        <v>-20.171352991221454</v>
      </c>
      <c r="L33" s="12">
        <f t="shared" ref="L33:L54" si="50">(K33-A33)</f>
        <v>-0.29759767932915437</v>
      </c>
      <c r="M33" s="12">
        <f t="shared" ref="M33:M54" si="51">(L33)^2</f>
        <v>8.8564378742098201E-2</v>
      </c>
      <c r="N33" s="64">
        <f t="shared" si="40"/>
        <v>25772</v>
      </c>
      <c r="O33" s="64">
        <f t="shared" ref="O33:O38" si="52">$K$2*N33^4*2^-60+$K$3*N33^3*2^-45+$K$4*N33^2*2^-30+$K$5*N33^1*2^-15+$K$6</f>
        <v>14058.047600142956</v>
      </c>
      <c r="P33" s="64">
        <f t="shared" ref="P33:P38" si="53">N33*2^14/O33</f>
        <v>30036.066174346015</v>
      </c>
      <c r="Q33" s="63">
        <f t="shared" ref="Q33:Q34" si="54">$P$3*P33^3*2^-45+$P$4*P33^2*2^-30+$P$5*P33^1*2^-15+$P$6</f>
        <v>2530.0083945379538</v>
      </c>
      <c r="R33" s="63">
        <f t="shared" ref="R33:R38" si="55">Q33/10</f>
        <v>253.00083945379538</v>
      </c>
      <c r="S33" s="63">
        <f t="shared" ref="S33:S38" si="56">R33-273.15</f>
        <v>-20.149160546204598</v>
      </c>
      <c r="T33" s="12">
        <f t="shared" ref="T33:T54" si="57">(S33-A33)</f>
        <v>-0.27540523431229857</v>
      </c>
      <c r="U33" s="47">
        <f t="shared" ref="U33:U54" si="58">T33*U$27</f>
        <v>-0.27540523431229857</v>
      </c>
      <c r="V33" s="47">
        <f t="shared" ref="V33:V54" si="59">(L33-T33)*V$27</f>
        <v>-0.221924450168558</v>
      </c>
    </row>
    <row r="34" spans="1:22">
      <c r="A34" s="51">
        <v>-14.900112737536972</v>
      </c>
      <c r="B34" s="117">
        <v>59.3</v>
      </c>
      <c r="C34" s="12">
        <f t="shared" si="42"/>
        <v>52.747522212375912</v>
      </c>
      <c r="D34" s="13">
        <f t="shared" si="43"/>
        <v>1342.0334311816755</v>
      </c>
      <c r="E34" s="3">
        <f t="shared" si="44"/>
        <v>24431</v>
      </c>
      <c r="F34" s="64">
        <f t="shared" si="38"/>
        <v>24431</v>
      </c>
      <c r="G34" s="64">
        <f t="shared" si="45"/>
        <v>13666.921470988585</v>
      </c>
      <c r="H34" s="64">
        <f t="shared" si="46"/>
        <v>29288.051800816138</v>
      </c>
      <c r="I34" s="63">
        <f t="shared" si="47"/>
        <v>2582.6450588681464</v>
      </c>
      <c r="J34" s="63">
        <f t="shared" si="48"/>
        <v>258.26450588681462</v>
      </c>
      <c r="K34" s="63">
        <f t="shared" si="49"/>
        <v>-14.885494113185359</v>
      </c>
      <c r="L34" s="12">
        <f t="shared" si="50"/>
        <v>1.4618624351612652E-2</v>
      </c>
      <c r="M34" s="12">
        <f t="shared" si="51"/>
        <v>2.1370417793356244E-4</v>
      </c>
      <c r="N34" s="64">
        <f t="shared" si="40"/>
        <v>24431</v>
      </c>
      <c r="O34" s="64">
        <f t="shared" si="52"/>
        <v>13667.052343512314</v>
      </c>
      <c r="P34" s="64">
        <f t="shared" si="53"/>
        <v>29287.771345224257</v>
      </c>
      <c r="Q34" s="63">
        <f t="shared" si="54"/>
        <v>2582.8516374708229</v>
      </c>
      <c r="R34" s="63">
        <f t="shared" si="55"/>
        <v>258.28516374708227</v>
      </c>
      <c r="S34" s="63">
        <f t="shared" si="56"/>
        <v>-14.864836252917712</v>
      </c>
      <c r="T34" s="12">
        <f t="shared" si="57"/>
        <v>3.5276484619259918E-2</v>
      </c>
      <c r="U34" s="47">
        <f t="shared" si="58"/>
        <v>3.5276484619259918E-2</v>
      </c>
      <c r="V34" s="47">
        <f t="shared" si="59"/>
        <v>-0.20657860267647266</v>
      </c>
    </row>
    <row r="35" spans="1:22">
      <c r="A35" s="51">
        <v>-10.060778184531999</v>
      </c>
      <c r="B35" s="117">
        <v>46.43</v>
      </c>
      <c r="C35" s="12">
        <f t="shared" si="42"/>
        <v>42.314378299807615</v>
      </c>
      <c r="D35" s="13">
        <f t="shared" si="43"/>
        <v>1262.8146569140158</v>
      </c>
      <c r="E35" s="3">
        <f t="shared" si="44"/>
        <v>22989</v>
      </c>
      <c r="F35" s="64">
        <f t="shared" ref="F35:F54" si="60">($E35*$F$2)/($F$2-(32768-$E35)*($F$2-$F$3)/(32768-$F$3))</f>
        <v>22989</v>
      </c>
      <c r="G35" s="64">
        <f t="shared" si="45"/>
        <v>13183.999372242544</v>
      </c>
      <c r="H35" s="64">
        <f t="shared" si="46"/>
        <v>28568.855729240913</v>
      </c>
      <c r="I35" s="63">
        <f t="shared" ref="I35:I38" si="61">$O$3*H35^3*2^-45+$O$4*H35^2*2^-30+$O$5*H35^1*2^-15+$O$6</f>
        <v>2633.5055996012029</v>
      </c>
      <c r="J35" s="63">
        <f t="shared" si="48"/>
        <v>263.35055996012028</v>
      </c>
      <c r="K35" s="63">
        <f t="shared" si="49"/>
        <v>-9.7994400398796984</v>
      </c>
      <c r="L35" s="12">
        <f t="shared" si="50"/>
        <v>0.2613381446523011</v>
      </c>
      <c r="M35" s="12">
        <f t="shared" si="51"/>
        <v>6.8297625850307048E-2</v>
      </c>
      <c r="N35" s="64">
        <f t="shared" ref="N35:N54" si="62">($E35*$G$2)/($G$2-(32768-$E35)*($G$2-$G$3)/(32768-$G$3))</f>
        <v>22989</v>
      </c>
      <c r="O35" s="64">
        <f t="shared" si="52"/>
        <v>13184.064843973385</v>
      </c>
      <c r="P35" s="64">
        <f t="shared" si="53"/>
        <v>28568.713857029659</v>
      </c>
      <c r="Q35" s="63">
        <f t="shared" ref="Q35:Q38" si="63">$P$3*P35^3*2^-45+$P$4*P35^2*2^-30+$P$5*P35^1*2^-15+$P$6</f>
        <v>2633.6975785854329</v>
      </c>
      <c r="R35" s="63">
        <f t="shared" si="55"/>
        <v>263.36975785854327</v>
      </c>
      <c r="S35" s="63">
        <f t="shared" si="56"/>
        <v>-9.7802421414567107</v>
      </c>
      <c r="T35" s="12">
        <f t="shared" si="57"/>
        <v>0.28053604307528879</v>
      </c>
      <c r="U35" s="47">
        <f t="shared" si="58"/>
        <v>0.28053604307528879</v>
      </c>
      <c r="V35" s="47">
        <f t="shared" si="59"/>
        <v>-0.19197898422987691</v>
      </c>
    </row>
    <row r="36" spans="1:22">
      <c r="A36" s="51">
        <v>-5.1781290849089601</v>
      </c>
      <c r="B36" s="117">
        <v>36.6</v>
      </c>
      <c r="C36" s="12">
        <f t="shared" si="42"/>
        <v>33.993678155418031</v>
      </c>
      <c r="D36" s="13">
        <f t="shared" si="43"/>
        <v>1176.8473177998519</v>
      </c>
      <c r="E36" s="3">
        <f t="shared" si="44"/>
        <v>21424</v>
      </c>
      <c r="F36" s="64">
        <f t="shared" si="60"/>
        <v>21424</v>
      </c>
      <c r="G36" s="64">
        <f t="shared" si="45"/>
        <v>12598.33748311948</v>
      </c>
      <c r="H36" s="64">
        <f t="shared" si="46"/>
        <v>27861.677500727346</v>
      </c>
      <c r="I36" s="63">
        <f t="shared" si="61"/>
        <v>2683.5636039165311</v>
      </c>
      <c r="J36" s="63">
        <f t="shared" si="48"/>
        <v>268.35636039165308</v>
      </c>
      <c r="K36" s="63">
        <f t="shared" si="49"/>
        <v>-4.7936396083468935</v>
      </c>
      <c r="L36" s="12">
        <f t="shared" si="50"/>
        <v>0.38448947656206656</v>
      </c>
      <c r="M36" s="12">
        <f t="shared" si="51"/>
        <v>0.14783215758697194</v>
      </c>
      <c r="N36" s="64">
        <f t="shared" si="62"/>
        <v>21424</v>
      </c>
      <c r="O36" s="64">
        <f t="shared" si="52"/>
        <v>12598.34064610647</v>
      </c>
      <c r="P36" s="64">
        <f t="shared" si="53"/>
        <v>27861.670505669354</v>
      </c>
      <c r="Q36" s="63">
        <f t="shared" si="63"/>
        <v>2683.7414257640248</v>
      </c>
      <c r="R36" s="63">
        <f t="shared" si="55"/>
        <v>268.37414257640251</v>
      </c>
      <c r="S36" s="63">
        <f t="shared" si="56"/>
        <v>-4.775857423597472</v>
      </c>
      <c r="T36" s="12">
        <f t="shared" si="57"/>
        <v>0.40227166131148806</v>
      </c>
      <c r="U36" s="47">
        <f t="shared" si="58"/>
        <v>0.40227166131148806</v>
      </c>
      <c r="V36" s="47">
        <f t="shared" si="59"/>
        <v>-0.17782184749421504</v>
      </c>
    </row>
    <row r="37" spans="1:22">
      <c r="A37" s="51">
        <v>-7.2284706174684701E-2</v>
      </c>
      <c r="B37" s="117">
        <v>28.8</v>
      </c>
      <c r="C37" s="12">
        <f t="shared" si="42"/>
        <v>27.161327091772367</v>
      </c>
      <c r="D37" s="13">
        <f t="shared" si="43"/>
        <v>1082.5720126833312</v>
      </c>
      <c r="E37" s="3">
        <f t="shared" si="44"/>
        <v>19708</v>
      </c>
      <c r="F37" s="64">
        <f t="shared" si="60"/>
        <v>19708</v>
      </c>
      <c r="G37" s="64">
        <f t="shared" si="45"/>
        <v>11895.708156857976</v>
      </c>
      <c r="H37" s="64">
        <f t="shared" si="46"/>
        <v>27143.896583731152</v>
      </c>
      <c r="I37" s="63">
        <f t="shared" si="61"/>
        <v>2734.4031792770706</v>
      </c>
      <c r="J37" s="63">
        <f t="shared" si="48"/>
        <v>273.44031792770704</v>
      </c>
      <c r="K37" s="63">
        <f t="shared" si="49"/>
        <v>0.29031792770706488</v>
      </c>
      <c r="L37" s="12">
        <f t="shared" si="50"/>
        <v>0.36260263388174957</v>
      </c>
      <c r="M37" s="12">
        <f t="shared" si="51"/>
        <v>0.13148067009798212</v>
      </c>
      <c r="N37" s="64">
        <f t="shared" si="62"/>
        <v>19708</v>
      </c>
      <c r="O37" s="64">
        <f t="shared" si="52"/>
        <v>11895.652468405175</v>
      </c>
      <c r="P37" s="64">
        <f t="shared" si="53"/>
        <v>27144.023655500248</v>
      </c>
      <c r="Q37" s="63">
        <f t="shared" si="63"/>
        <v>2734.5669468471006</v>
      </c>
      <c r="R37" s="63">
        <f t="shared" si="55"/>
        <v>273.45669468471004</v>
      </c>
      <c r="S37" s="63">
        <f t="shared" si="56"/>
        <v>0.30669468471006667</v>
      </c>
      <c r="T37" s="12">
        <f t="shared" si="57"/>
        <v>0.37897939088475135</v>
      </c>
      <c r="U37" s="47">
        <f t="shared" si="58"/>
        <v>0.37897939088475135</v>
      </c>
      <c r="V37" s="47">
        <f t="shared" si="59"/>
        <v>-0.16376757003001785</v>
      </c>
    </row>
    <row r="38" spans="1:22" ht="13.8" thickBot="1">
      <c r="A38" s="91">
        <v>5.2740604345839897</v>
      </c>
      <c r="B38" s="118">
        <v>22.62</v>
      </c>
      <c r="C38" s="12">
        <f t="shared" si="42"/>
        <v>21.596641907397959</v>
      </c>
      <c r="D38" s="13">
        <f t="shared" si="43"/>
        <v>981.74879385550594</v>
      </c>
      <c r="E38" s="3">
        <f t="shared" si="44"/>
        <v>17872</v>
      </c>
      <c r="F38" s="64">
        <f t="shared" si="60"/>
        <v>17872</v>
      </c>
      <c r="G38" s="64">
        <f t="shared" si="45"/>
        <v>11087.510037852975</v>
      </c>
      <c r="H38" s="64">
        <f t="shared" si="46"/>
        <v>26409.432505614372</v>
      </c>
      <c r="I38" s="63">
        <f t="shared" si="61"/>
        <v>2786.4389780172178</v>
      </c>
      <c r="J38" s="63">
        <f t="shared" si="48"/>
        <v>278.64389780172178</v>
      </c>
      <c r="K38" s="63">
        <f t="shared" si="49"/>
        <v>5.4938978017218005</v>
      </c>
      <c r="L38" s="12">
        <f t="shared" si="50"/>
        <v>0.21983736713781088</v>
      </c>
      <c r="M38" s="12">
        <f t="shared" si="51"/>
        <v>4.8328467990084653E-2</v>
      </c>
      <c r="N38" s="64">
        <f t="shared" si="62"/>
        <v>17872</v>
      </c>
      <c r="O38" s="64">
        <f t="shared" si="52"/>
        <v>11087.40126748024</v>
      </c>
      <c r="P38" s="64">
        <f t="shared" si="53"/>
        <v>26409.69158921278</v>
      </c>
      <c r="Q38" s="63">
        <f t="shared" si="63"/>
        <v>2786.588863867968</v>
      </c>
      <c r="R38" s="63">
        <f t="shared" si="55"/>
        <v>278.65888638679678</v>
      </c>
      <c r="S38" s="63">
        <f t="shared" si="56"/>
        <v>5.508886386796803</v>
      </c>
      <c r="T38" s="12">
        <f t="shared" si="57"/>
        <v>0.23482595221281333</v>
      </c>
      <c r="U38" s="47">
        <f t="shared" si="58"/>
        <v>0.23482595221281333</v>
      </c>
      <c r="V38" s="47">
        <f t="shared" si="59"/>
        <v>-0.14988585075002447</v>
      </c>
    </row>
    <row r="39" spans="1:22">
      <c r="A39" s="1">
        <v>10.2814314198685</v>
      </c>
      <c r="B39" s="3">
        <v>18.190000000000001</v>
      </c>
      <c r="C39" s="12">
        <f t="shared" ref="C39:C54" si="64">$B$9*B39/($B$9+B39)</f>
        <v>17.52231298113967</v>
      </c>
      <c r="D39" s="13">
        <f t="shared" ref="D39:D54" si="65">$B$11*C39/(C39+$B$8)*1000</f>
        <v>887.89723188344863</v>
      </c>
      <c r="E39" s="3">
        <f t="shared" si="44"/>
        <v>16164</v>
      </c>
      <c r="F39" s="64">
        <f t="shared" si="60"/>
        <v>16164</v>
      </c>
      <c r="G39" s="64">
        <f t="shared" ref="G39:G54" si="66">$J$2*F39^4*2^-60+$J$3*F39^3*2^-45+$J$4*F39^2*2^-30+$J$5*F39^1*2^-15+$J$6</f>
        <v>10293.331447274901</v>
      </c>
      <c r="H39" s="64">
        <f t="shared" ref="H39:H54" si="67">F39*2^14/G39</f>
        <v>25728.402641703764</v>
      </c>
      <c r="I39" s="63">
        <f t="shared" ref="I39:I54" si="68">$O$3*H39^3*2^-45+$O$4*H39^2*2^-30+$O$5*H39^1*2^-15+$O$6</f>
        <v>2834.6863056434104</v>
      </c>
      <c r="J39" s="63">
        <f t="shared" ref="J39:J54" si="69">I39/10</f>
        <v>283.46863056434103</v>
      </c>
      <c r="K39" s="63">
        <f t="shared" ref="K39:K54" si="70">J39-273.15</f>
        <v>10.318630564341049</v>
      </c>
      <c r="L39" s="12">
        <f t="shared" si="50"/>
        <v>3.7199144472548795E-2</v>
      </c>
      <c r="M39" s="12">
        <f t="shared" si="51"/>
        <v>1.3837763494895575E-3</v>
      </c>
      <c r="N39" s="64">
        <f t="shared" si="62"/>
        <v>16164</v>
      </c>
      <c r="O39" s="64">
        <f t="shared" ref="O39:O54" si="71">$K$2*N39^4*2^-60+$K$3*N39^3*2^-45+$K$4*N39^2*2^-30+$K$5*N39^1*2^-15+$K$6</f>
        <v>10293.181488593971</v>
      </c>
      <c r="P39" s="64">
        <f t="shared" ref="P39:P54" si="72">N39*2^14/O39</f>
        <v>25728.777472102593</v>
      </c>
      <c r="Q39" s="63">
        <f t="shared" ref="Q39:Q54" si="73">$P$3*P39^3*2^-45+$P$4*P39^2*2^-30+$P$5*P39^1*2^-15+$P$6</f>
        <v>2834.8239232570418</v>
      </c>
      <c r="R39" s="63">
        <f t="shared" ref="R39:R54" si="74">Q39/10</f>
        <v>283.48239232570415</v>
      </c>
      <c r="S39" s="63">
        <f t="shared" ref="S39:S54" si="75">R39-273.15</f>
        <v>10.332392325704177</v>
      </c>
      <c r="T39" s="12">
        <f t="shared" si="57"/>
        <v>5.0960905835676584E-2</v>
      </c>
      <c r="U39" s="47">
        <f t="shared" si="58"/>
        <v>5.0960905835676584E-2</v>
      </c>
      <c r="V39" s="47">
        <f t="shared" si="59"/>
        <v>-0.13761761363127789</v>
      </c>
    </row>
    <row r="40" spans="1:22">
      <c r="A40" s="1">
        <v>14.8960308955002</v>
      </c>
      <c r="B40" s="3">
        <v>14.98</v>
      </c>
      <c r="C40" s="12">
        <f t="shared" si="64"/>
        <v>14.524221863886822</v>
      </c>
      <c r="D40" s="13">
        <f t="shared" si="65"/>
        <v>803.8193646694051</v>
      </c>
      <c r="E40" s="3">
        <f t="shared" si="44"/>
        <v>14633</v>
      </c>
      <c r="F40" s="64">
        <f t="shared" si="60"/>
        <v>14633</v>
      </c>
      <c r="G40" s="64">
        <f t="shared" si="66"/>
        <v>9552.4335001107702</v>
      </c>
      <c r="H40" s="64">
        <f t="shared" si="67"/>
        <v>25098.010051283778</v>
      </c>
      <c r="I40" s="63">
        <f t="shared" si="68"/>
        <v>2879.3308353102966</v>
      </c>
      <c r="J40" s="63">
        <f t="shared" si="69"/>
        <v>287.93308353102964</v>
      </c>
      <c r="K40" s="63">
        <f t="shared" si="70"/>
        <v>14.783083531029661</v>
      </c>
      <c r="L40" s="12">
        <f t="shared" si="50"/>
        <v>-0.11294736447053921</v>
      </c>
      <c r="M40" s="12">
        <f t="shared" si="51"/>
        <v>1.2757107140840824E-2</v>
      </c>
      <c r="N40" s="64">
        <f t="shared" si="62"/>
        <v>14633</v>
      </c>
      <c r="O40" s="64">
        <f t="shared" si="71"/>
        <v>9552.2525972824078</v>
      </c>
      <c r="P40" s="64">
        <f t="shared" si="72"/>
        <v>25098.485363358948</v>
      </c>
      <c r="Q40" s="63">
        <f t="shared" si="73"/>
        <v>2879.457690334687</v>
      </c>
      <c r="R40" s="63">
        <f t="shared" si="74"/>
        <v>287.94576903346871</v>
      </c>
      <c r="S40" s="63">
        <f t="shared" si="75"/>
        <v>14.79576903346873</v>
      </c>
      <c r="T40" s="12">
        <f t="shared" si="57"/>
        <v>-0.10026186203146992</v>
      </c>
      <c r="U40" s="47">
        <f t="shared" si="58"/>
        <v>-0.10026186203146992</v>
      </c>
      <c r="V40" s="47">
        <f t="shared" si="59"/>
        <v>-0.12685502439069296</v>
      </c>
    </row>
    <row r="41" spans="1:22">
      <c r="A41" s="1">
        <v>20.292648812661898</v>
      </c>
      <c r="B41" s="3">
        <v>12.03</v>
      </c>
      <c r="C41" s="12">
        <f t="shared" si="64"/>
        <v>11.734286524077426</v>
      </c>
      <c r="D41" s="13">
        <f t="shared" si="65"/>
        <v>710.34883336568362</v>
      </c>
      <c r="E41" s="3">
        <f t="shared" si="44"/>
        <v>12932</v>
      </c>
      <c r="F41" s="64">
        <f t="shared" si="60"/>
        <v>12932</v>
      </c>
      <c r="G41" s="64">
        <f t="shared" si="66"/>
        <v>8700.725942592042</v>
      </c>
      <c r="H41" s="64">
        <f t="shared" si="67"/>
        <v>24351.748279164767</v>
      </c>
      <c r="I41" s="63">
        <f t="shared" si="68"/>
        <v>2932.1457389891793</v>
      </c>
      <c r="J41" s="63">
        <f t="shared" si="69"/>
        <v>293.21457389891793</v>
      </c>
      <c r="K41" s="63">
        <f t="shared" si="70"/>
        <v>20.064573898917956</v>
      </c>
      <c r="L41" s="12">
        <f t="shared" si="50"/>
        <v>-0.22807491374394218</v>
      </c>
      <c r="M41" s="12">
        <f t="shared" si="51"/>
        <v>5.2018166279306666E-2</v>
      </c>
      <c r="N41" s="64">
        <f t="shared" si="62"/>
        <v>12932</v>
      </c>
      <c r="O41" s="64">
        <f t="shared" si="71"/>
        <v>8700.5165337655308</v>
      </c>
      <c r="P41" s="64">
        <f t="shared" si="72"/>
        <v>24352.33439046182</v>
      </c>
      <c r="Q41" s="63">
        <f t="shared" si="73"/>
        <v>2932.2605918541394</v>
      </c>
      <c r="R41" s="63">
        <f t="shared" si="74"/>
        <v>293.22605918541393</v>
      </c>
      <c r="S41" s="63">
        <f t="shared" si="75"/>
        <v>20.076059185413953</v>
      </c>
      <c r="T41" s="12">
        <f t="shared" si="57"/>
        <v>-0.21658962724794506</v>
      </c>
      <c r="U41" s="47">
        <f t="shared" si="58"/>
        <v>-0.21658962724794506</v>
      </c>
      <c r="V41" s="47">
        <f t="shared" si="59"/>
        <v>-0.11485286495997116</v>
      </c>
    </row>
    <row r="42" spans="1:22">
      <c r="A42" s="1">
        <v>25.129774656465901</v>
      </c>
      <c r="B42" s="3">
        <v>9.9499999999999993</v>
      </c>
      <c r="C42" s="12">
        <f t="shared" si="64"/>
        <v>9.7468411392493479</v>
      </c>
      <c r="D42" s="13">
        <f t="shared" si="65"/>
        <v>632.2995097928997</v>
      </c>
      <c r="E42" s="3">
        <f t="shared" si="44"/>
        <v>11511</v>
      </c>
      <c r="F42" s="64">
        <f t="shared" si="60"/>
        <v>11511</v>
      </c>
      <c r="G42" s="64">
        <f t="shared" si="66"/>
        <v>7967.182946453564</v>
      </c>
      <c r="H42" s="64">
        <f t="shared" si="67"/>
        <v>23671.632152484955</v>
      </c>
      <c r="I42" s="63">
        <f t="shared" si="68"/>
        <v>2980.2303876323876</v>
      </c>
      <c r="J42" s="63">
        <f t="shared" si="69"/>
        <v>298.02303876323879</v>
      </c>
      <c r="K42" s="63">
        <f t="shared" si="70"/>
        <v>24.87303876323881</v>
      </c>
      <c r="L42" s="12">
        <f t="shared" si="50"/>
        <v>-0.25673589322709134</v>
      </c>
      <c r="M42" s="12">
        <f t="shared" si="51"/>
        <v>6.5913318871112445E-2</v>
      </c>
      <c r="N42" s="64">
        <f t="shared" si="62"/>
        <v>11511</v>
      </c>
      <c r="O42" s="64">
        <f t="shared" si="71"/>
        <v>7966.9539244280277</v>
      </c>
      <c r="P42" s="64">
        <f t="shared" si="72"/>
        <v>23672.312629012715</v>
      </c>
      <c r="Q42" s="63">
        <f t="shared" si="73"/>
        <v>2980.3349314052093</v>
      </c>
      <c r="R42" s="63">
        <f t="shared" si="74"/>
        <v>298.03349314052093</v>
      </c>
      <c r="S42" s="63">
        <f t="shared" si="75"/>
        <v>24.883493140520955</v>
      </c>
      <c r="T42" s="12">
        <f t="shared" si="57"/>
        <v>-0.24628151594494696</v>
      </c>
      <c r="U42" s="47">
        <f t="shared" si="58"/>
        <v>-0.24628151594494696</v>
      </c>
      <c r="V42" s="47">
        <f t="shared" si="59"/>
        <v>-0.10454377282144378</v>
      </c>
    </row>
    <row r="43" spans="1:22">
      <c r="A43" s="1">
        <v>30.0304570554819</v>
      </c>
      <c r="B43" s="3">
        <v>8.26</v>
      </c>
      <c r="C43" s="12">
        <f t="shared" si="64"/>
        <v>8.1195057846280978</v>
      </c>
      <c r="D43" s="13">
        <f t="shared" si="65"/>
        <v>559.54773925821712</v>
      </c>
      <c r="E43" s="3">
        <f t="shared" si="44"/>
        <v>10186</v>
      </c>
      <c r="F43" s="64">
        <f t="shared" si="60"/>
        <v>10186</v>
      </c>
      <c r="G43" s="64">
        <f t="shared" si="66"/>
        <v>7264.6089763965301</v>
      </c>
      <c r="H43" s="64">
        <f t="shared" si="67"/>
        <v>22972.664398350218</v>
      </c>
      <c r="I43" s="63">
        <f t="shared" si="68"/>
        <v>3029.5833747959973</v>
      </c>
      <c r="J43" s="63">
        <f t="shared" si="69"/>
        <v>302.95833747959972</v>
      </c>
      <c r="K43" s="63">
        <f t="shared" si="70"/>
        <v>29.808337479599743</v>
      </c>
      <c r="L43" s="12">
        <f t="shared" si="50"/>
        <v>-0.22211957588215725</v>
      </c>
      <c r="M43" s="12">
        <f t="shared" si="51"/>
        <v>4.9337105990069414E-2</v>
      </c>
      <c r="N43" s="64">
        <f t="shared" si="62"/>
        <v>10186</v>
      </c>
      <c r="O43" s="64">
        <f t="shared" si="71"/>
        <v>7264.3647109342046</v>
      </c>
      <c r="P43" s="64">
        <f t="shared" si="72"/>
        <v>22973.436857982055</v>
      </c>
      <c r="Q43" s="63">
        <f t="shared" si="73"/>
        <v>3029.6778458459203</v>
      </c>
      <c r="R43" s="63">
        <f t="shared" si="74"/>
        <v>302.96778458459204</v>
      </c>
      <c r="S43" s="63">
        <f t="shared" si="75"/>
        <v>29.817784584592061</v>
      </c>
      <c r="T43" s="12">
        <f t="shared" si="57"/>
        <v>-0.21267247088983865</v>
      </c>
      <c r="U43" s="47">
        <f t="shared" si="58"/>
        <v>-0.21267247088983865</v>
      </c>
      <c r="V43" s="47">
        <f t="shared" si="59"/>
        <v>-9.4471049923186001E-2</v>
      </c>
    </row>
    <row r="44" spans="1:22">
      <c r="A44" s="1">
        <v>35.326116184225398</v>
      </c>
      <c r="B44" s="3">
        <v>6.8</v>
      </c>
      <c r="C44" s="12">
        <f t="shared" si="64"/>
        <v>6.7044955040267125</v>
      </c>
      <c r="D44" s="13">
        <f t="shared" si="65"/>
        <v>488.49780823417512</v>
      </c>
      <c r="E44" s="3">
        <f t="shared" si="44"/>
        <v>8893</v>
      </c>
      <c r="F44" s="64">
        <f t="shared" si="60"/>
        <v>8893</v>
      </c>
      <c r="G44" s="64">
        <f t="shared" si="66"/>
        <v>6560.2196137810006</v>
      </c>
      <c r="H44" s="64">
        <f t="shared" si="67"/>
        <v>22210.066213930259</v>
      </c>
      <c r="I44" s="63">
        <f t="shared" si="68"/>
        <v>3083.3361850654669</v>
      </c>
      <c r="J44" s="63">
        <f t="shared" si="69"/>
        <v>308.33361850654671</v>
      </c>
      <c r="K44" s="63">
        <f t="shared" si="70"/>
        <v>35.183618506546736</v>
      </c>
      <c r="L44" s="12">
        <f t="shared" si="50"/>
        <v>-0.14249767767866217</v>
      </c>
      <c r="M44" s="12">
        <f t="shared" si="51"/>
        <v>2.0305588143811896E-2</v>
      </c>
      <c r="N44" s="64">
        <f t="shared" si="62"/>
        <v>8893</v>
      </c>
      <c r="O44" s="64">
        <f t="shared" si="71"/>
        <v>6559.9629860428095</v>
      </c>
      <c r="P44" s="64">
        <f t="shared" si="72"/>
        <v>22210.935078445145</v>
      </c>
      <c r="Q44" s="63">
        <f t="shared" si="73"/>
        <v>3083.4201503102286</v>
      </c>
      <c r="R44" s="63">
        <f t="shared" si="74"/>
        <v>308.34201503102287</v>
      </c>
      <c r="S44" s="63">
        <f t="shared" si="75"/>
        <v>35.192015031022891</v>
      </c>
      <c r="T44" s="12">
        <f t="shared" si="57"/>
        <v>-0.13410115320250782</v>
      </c>
      <c r="U44" s="47">
        <f t="shared" si="58"/>
        <v>-0.13410115320250782</v>
      </c>
      <c r="V44" s="47">
        <f t="shared" si="59"/>
        <v>-8.3965244761543545E-2</v>
      </c>
    </row>
    <row r="45" spans="1:22">
      <c r="A45" s="1">
        <v>39.993869752427699</v>
      </c>
      <c r="B45" s="3">
        <v>5.76</v>
      </c>
      <c r="C45" s="12">
        <f t="shared" si="64"/>
        <v>5.6913271870569631</v>
      </c>
      <c r="D45" s="13">
        <f t="shared" si="65"/>
        <v>432.4109348462016</v>
      </c>
      <c r="E45" s="3">
        <f t="shared" si="44"/>
        <v>7872</v>
      </c>
      <c r="F45" s="64">
        <f t="shared" si="60"/>
        <v>7872</v>
      </c>
      <c r="G45" s="64">
        <f t="shared" si="66"/>
        <v>5989.3775499218955</v>
      </c>
      <c r="H45" s="64">
        <f t="shared" si="67"/>
        <v>21533.931852681737</v>
      </c>
      <c r="I45" s="63">
        <f t="shared" si="68"/>
        <v>3130.897207543278</v>
      </c>
      <c r="J45" s="63">
        <f t="shared" si="69"/>
        <v>313.0897207543278</v>
      </c>
      <c r="K45" s="63">
        <f t="shared" si="70"/>
        <v>39.939720754327823</v>
      </c>
      <c r="L45" s="12">
        <f t="shared" si="50"/>
        <v>-5.4148998099876167E-2</v>
      </c>
      <c r="M45" s="12">
        <f t="shared" si="51"/>
        <v>2.9321139952203927E-3</v>
      </c>
      <c r="N45" s="64">
        <f t="shared" si="62"/>
        <v>7872</v>
      </c>
      <c r="O45" s="64">
        <f t="shared" si="71"/>
        <v>5989.1127236664179</v>
      </c>
      <c r="P45" s="64">
        <f t="shared" si="72"/>
        <v>21534.884038890508</v>
      </c>
      <c r="Q45" s="63">
        <f t="shared" si="73"/>
        <v>3130.9721970753444</v>
      </c>
      <c r="R45" s="63">
        <f t="shared" si="74"/>
        <v>313.09721970753446</v>
      </c>
      <c r="S45" s="63">
        <f t="shared" si="75"/>
        <v>39.947219707534487</v>
      </c>
      <c r="T45" s="12">
        <f t="shared" si="57"/>
        <v>-4.6650044893212339E-2</v>
      </c>
      <c r="U45" s="47">
        <f t="shared" si="58"/>
        <v>-4.6650044893212339E-2</v>
      </c>
      <c r="V45" s="47">
        <f t="shared" si="59"/>
        <v>-7.4989532066638276E-2</v>
      </c>
    </row>
    <row r="46" spans="1:22">
      <c r="A46" s="1">
        <v>45.041786397281498</v>
      </c>
      <c r="B46" s="3">
        <v>4.84</v>
      </c>
      <c r="C46" s="12">
        <f t="shared" si="64"/>
        <v>4.7914199011273375</v>
      </c>
      <c r="D46" s="13">
        <f t="shared" si="65"/>
        <v>378.41239639495257</v>
      </c>
      <c r="E46" s="3">
        <f t="shared" si="44"/>
        <v>6889</v>
      </c>
      <c r="F46" s="64">
        <f t="shared" si="60"/>
        <v>6889</v>
      </c>
      <c r="G46" s="64">
        <f t="shared" si="66"/>
        <v>5426.0305109220772</v>
      </c>
      <c r="H46" s="64">
        <f t="shared" si="67"/>
        <v>20801.463569510863</v>
      </c>
      <c r="I46" s="63">
        <f t="shared" si="68"/>
        <v>3182.3004210069948</v>
      </c>
      <c r="J46" s="63">
        <f t="shared" si="69"/>
        <v>318.23004210069951</v>
      </c>
      <c r="K46" s="63">
        <f t="shared" si="70"/>
        <v>45.080042100699529</v>
      </c>
      <c r="L46" s="12">
        <f t="shared" si="50"/>
        <v>3.8255703418030862E-2</v>
      </c>
      <c r="M46" s="12">
        <f t="shared" si="51"/>
        <v>1.4634988440083382E-3</v>
      </c>
      <c r="N46" s="64">
        <f t="shared" si="62"/>
        <v>6889</v>
      </c>
      <c r="O46" s="64">
        <f t="shared" si="71"/>
        <v>5425.7589576474638</v>
      </c>
      <c r="P46" s="64">
        <f t="shared" si="72"/>
        <v>20802.504659908194</v>
      </c>
      <c r="Q46" s="63">
        <f t="shared" si="73"/>
        <v>3182.3659902656609</v>
      </c>
      <c r="R46" s="63">
        <f t="shared" si="74"/>
        <v>318.23659902656607</v>
      </c>
      <c r="S46" s="63">
        <f t="shared" si="75"/>
        <v>45.086599026566091</v>
      </c>
      <c r="T46" s="12">
        <f t="shared" si="57"/>
        <v>4.4812629284592731E-2</v>
      </c>
      <c r="U46" s="47">
        <f t="shared" si="58"/>
        <v>4.4812629284592731E-2</v>
      </c>
      <c r="V46" s="47">
        <f t="shared" si="59"/>
        <v>-6.556925866561869E-2</v>
      </c>
    </row>
    <row r="47" spans="1:22">
      <c r="A47" s="1">
        <v>49.934777301537203</v>
      </c>
      <c r="B47" s="3">
        <v>4.1100000000000003</v>
      </c>
      <c r="C47" s="12">
        <f t="shared" si="64"/>
        <v>4.0749159855398558</v>
      </c>
      <c r="D47" s="13">
        <f t="shared" si="65"/>
        <v>332.27074471207152</v>
      </c>
      <c r="E47" s="3">
        <f t="shared" si="44"/>
        <v>6049</v>
      </c>
      <c r="F47" s="64">
        <f t="shared" si="60"/>
        <v>6049</v>
      </c>
      <c r="G47" s="64">
        <f t="shared" si="66"/>
        <v>4932.6636792416211</v>
      </c>
      <c r="H47" s="64">
        <f t="shared" si="67"/>
        <v>20091.946754261036</v>
      </c>
      <c r="I47" s="63">
        <f t="shared" si="68"/>
        <v>3231.9567166088277</v>
      </c>
      <c r="J47" s="63">
        <f t="shared" si="69"/>
        <v>323.19567166088279</v>
      </c>
      <c r="K47" s="63">
        <f t="shared" si="70"/>
        <v>50.045671660882817</v>
      </c>
      <c r="L47" s="12">
        <f t="shared" si="50"/>
        <v>0.11089435934561465</v>
      </c>
      <c r="M47" s="12">
        <f t="shared" si="51"/>
        <v>1.229755893467431E-2</v>
      </c>
      <c r="N47" s="64">
        <f t="shared" si="62"/>
        <v>6049</v>
      </c>
      <c r="O47" s="64">
        <f t="shared" si="71"/>
        <v>4932.3871965870658</v>
      </c>
      <c r="P47" s="64">
        <f t="shared" si="72"/>
        <v>20093.072998927648</v>
      </c>
      <c r="Q47" s="63">
        <f t="shared" si="73"/>
        <v>3232.0134431268998</v>
      </c>
      <c r="R47" s="63">
        <f t="shared" si="74"/>
        <v>323.20134431268997</v>
      </c>
      <c r="S47" s="63">
        <f t="shared" si="75"/>
        <v>50.051344312689992</v>
      </c>
      <c r="T47" s="12">
        <f t="shared" si="57"/>
        <v>0.11656701115278878</v>
      </c>
      <c r="U47" s="47">
        <f t="shared" si="58"/>
        <v>0.11656701115278878</v>
      </c>
      <c r="V47" s="47">
        <f t="shared" si="59"/>
        <v>-5.6726518071741339E-2</v>
      </c>
    </row>
    <row r="48" spans="1:22">
      <c r="A48" s="1">
        <v>55.2523599731338</v>
      </c>
      <c r="B48" s="3">
        <v>3.46</v>
      </c>
      <c r="C48" s="12">
        <f t="shared" si="64"/>
        <v>3.4351019957985272</v>
      </c>
      <c r="D48" s="13">
        <f t="shared" si="65"/>
        <v>288.46065643397958</v>
      </c>
      <c r="E48" s="3">
        <f t="shared" si="44"/>
        <v>5251</v>
      </c>
      <c r="F48" s="64">
        <f t="shared" si="60"/>
        <v>5251</v>
      </c>
      <c r="G48" s="64">
        <f t="shared" si="66"/>
        <v>4452.5699673248328</v>
      </c>
      <c r="H48" s="64">
        <f t="shared" si="67"/>
        <v>19321.961166550624</v>
      </c>
      <c r="I48" s="63">
        <f t="shared" si="68"/>
        <v>3285.6738156605393</v>
      </c>
      <c r="J48" s="63">
        <f t="shared" si="69"/>
        <v>328.56738156605394</v>
      </c>
      <c r="K48" s="63">
        <f t="shared" si="70"/>
        <v>55.417381566053962</v>
      </c>
      <c r="L48" s="12">
        <f t="shared" si="50"/>
        <v>0.16502159292016216</v>
      </c>
      <c r="M48" s="12">
        <f t="shared" si="51"/>
        <v>2.7232126129907715E-2</v>
      </c>
      <c r="N48" s="64">
        <f t="shared" si="62"/>
        <v>5251</v>
      </c>
      <c r="O48" s="64">
        <f t="shared" si="71"/>
        <v>4452.2894348956879</v>
      </c>
      <c r="P48" s="64">
        <f t="shared" si="72"/>
        <v>19323.178615860954</v>
      </c>
      <c r="Q48" s="63">
        <f t="shared" si="73"/>
        <v>3285.7212794083134</v>
      </c>
      <c r="R48" s="63">
        <f t="shared" si="74"/>
        <v>328.57212794083136</v>
      </c>
      <c r="S48" s="63">
        <f t="shared" si="75"/>
        <v>55.422127940831388</v>
      </c>
      <c r="T48" s="12">
        <f t="shared" si="57"/>
        <v>0.16976796769758806</v>
      </c>
      <c r="U48" s="47">
        <f t="shared" si="58"/>
        <v>0.16976796769758806</v>
      </c>
      <c r="V48" s="47">
        <f t="shared" si="59"/>
        <v>-4.7463747774258991E-2</v>
      </c>
    </row>
    <row r="49" spans="1:22">
      <c r="A49" s="120">
        <v>59.771741478605897</v>
      </c>
      <c r="B49" s="3">
        <v>3.0019999999999998</v>
      </c>
      <c r="C49" s="12">
        <f t="shared" si="64"/>
        <v>2.9832393626275708</v>
      </c>
      <c r="D49" s="13">
        <f t="shared" si="65"/>
        <v>255.91047978481453</v>
      </c>
      <c r="E49" s="3">
        <f t="shared" si="44"/>
        <v>4659</v>
      </c>
      <c r="F49" s="64">
        <f t="shared" si="60"/>
        <v>4659</v>
      </c>
      <c r="G49" s="64">
        <f t="shared" si="66"/>
        <v>4088.5273120095444</v>
      </c>
      <c r="H49" s="64">
        <f t="shared" si="67"/>
        <v>18670.061412034858</v>
      </c>
      <c r="I49" s="63">
        <f t="shared" si="68"/>
        <v>3330.9982512862052</v>
      </c>
      <c r="J49" s="63">
        <f t="shared" si="69"/>
        <v>333.09982512862052</v>
      </c>
      <c r="K49" s="63">
        <f t="shared" si="70"/>
        <v>59.949825128620546</v>
      </c>
      <c r="L49" s="12">
        <f t="shared" si="50"/>
        <v>0.17808365001464921</v>
      </c>
      <c r="M49" s="12">
        <f t="shared" si="51"/>
        <v>3.1713786402540071E-2</v>
      </c>
      <c r="N49" s="64">
        <f t="shared" si="62"/>
        <v>4659</v>
      </c>
      <c r="O49" s="64">
        <f t="shared" si="71"/>
        <v>4088.2441398634278</v>
      </c>
      <c r="P49" s="64">
        <f t="shared" si="72"/>
        <v>18671.3545934539</v>
      </c>
      <c r="Q49" s="63">
        <f t="shared" si="73"/>
        <v>3331.0381867493529</v>
      </c>
      <c r="R49" s="63">
        <f t="shared" si="74"/>
        <v>333.10381867493527</v>
      </c>
      <c r="S49" s="63">
        <f t="shared" si="75"/>
        <v>59.953818674935292</v>
      </c>
      <c r="T49" s="12">
        <f t="shared" si="57"/>
        <v>0.18207719632939501</v>
      </c>
      <c r="U49" s="47">
        <f t="shared" si="58"/>
        <v>0.18207719632939501</v>
      </c>
      <c r="V49" s="47">
        <f t="shared" si="59"/>
        <v>-3.9935463147457995E-2</v>
      </c>
    </row>
    <row r="50" spans="1:22">
      <c r="A50" s="1">
        <v>65.095733875469506</v>
      </c>
      <c r="B50" s="3">
        <v>2.552</v>
      </c>
      <c r="C50" s="12">
        <f t="shared" si="64"/>
        <v>2.5384295395588756</v>
      </c>
      <c r="D50" s="13">
        <f t="shared" si="65"/>
        <v>222.46945232133424</v>
      </c>
      <c r="E50" s="3">
        <f t="shared" si="44"/>
        <v>4050</v>
      </c>
      <c r="F50" s="64">
        <f t="shared" si="60"/>
        <v>4050</v>
      </c>
      <c r="G50" s="64">
        <f t="shared" si="66"/>
        <v>3706.4032773811923</v>
      </c>
      <c r="H50" s="64">
        <f t="shared" si="67"/>
        <v>17902.854879538132</v>
      </c>
      <c r="I50" s="63">
        <f t="shared" si="68"/>
        <v>3384.1396262990993</v>
      </c>
      <c r="J50" s="63">
        <f t="shared" si="69"/>
        <v>338.41396262990992</v>
      </c>
      <c r="K50" s="63">
        <f t="shared" si="70"/>
        <v>65.26396262990994</v>
      </c>
      <c r="L50" s="12">
        <f t="shared" si="50"/>
        <v>0.16822875444043461</v>
      </c>
      <c r="M50" s="12">
        <f t="shared" si="51"/>
        <v>2.8300913820580049E-2</v>
      </c>
      <c r="N50" s="64">
        <f t="shared" si="62"/>
        <v>4050</v>
      </c>
      <c r="O50" s="64">
        <f t="shared" si="71"/>
        <v>3706.1176877365288</v>
      </c>
      <c r="P50" s="64">
        <f t="shared" si="72"/>
        <v>17904.234455254365</v>
      </c>
      <c r="Q50" s="63">
        <f t="shared" si="73"/>
        <v>3384.1711474252861</v>
      </c>
      <c r="R50" s="63">
        <f t="shared" si="74"/>
        <v>338.41711474252861</v>
      </c>
      <c r="S50" s="63">
        <f t="shared" si="75"/>
        <v>65.267114742528634</v>
      </c>
      <c r="T50" s="12">
        <f t="shared" si="57"/>
        <v>0.1713808670591277</v>
      </c>
      <c r="U50" s="47">
        <f t="shared" si="58"/>
        <v>0.1713808670591277</v>
      </c>
      <c r="V50" s="47">
        <f t="shared" si="59"/>
        <v>-3.1521126186930815E-2</v>
      </c>
    </row>
    <row r="51" spans="1:22">
      <c r="A51" s="1">
        <v>70.331632323561195</v>
      </c>
      <c r="B51" s="3">
        <v>2.1859999999999999</v>
      </c>
      <c r="C51" s="12">
        <f t="shared" si="64"/>
        <v>2.1760352847887381</v>
      </c>
      <c r="D51" s="13">
        <f t="shared" si="65"/>
        <v>194.13444997158376</v>
      </c>
      <c r="E51" s="3">
        <f t="shared" si="44"/>
        <v>3534</v>
      </c>
      <c r="F51" s="64">
        <f t="shared" si="60"/>
        <v>3534</v>
      </c>
      <c r="G51" s="64">
        <f t="shared" si="66"/>
        <v>3376.1225953587991</v>
      </c>
      <c r="H51" s="64">
        <f t="shared" si="67"/>
        <v>17150.163942386855</v>
      </c>
      <c r="I51" s="63">
        <f t="shared" si="68"/>
        <v>3436.0462423176314</v>
      </c>
      <c r="J51" s="63">
        <f t="shared" si="69"/>
        <v>343.60462423176313</v>
      </c>
      <c r="K51" s="63">
        <f t="shared" si="70"/>
        <v>70.454624231763148</v>
      </c>
      <c r="L51" s="12">
        <f t="shared" si="50"/>
        <v>0.12299190820195349</v>
      </c>
      <c r="M51" s="12">
        <f t="shared" si="51"/>
        <v>1.5127009483157755E-2</v>
      </c>
      <c r="N51" s="64">
        <f t="shared" si="62"/>
        <v>3534</v>
      </c>
      <c r="O51" s="64">
        <f t="shared" si="71"/>
        <v>3375.8351767382196</v>
      </c>
      <c r="P51" s="64">
        <f t="shared" si="72"/>
        <v>17151.624107414162</v>
      </c>
      <c r="Q51" s="63">
        <f t="shared" si="73"/>
        <v>3436.0700734076472</v>
      </c>
      <c r="R51" s="63">
        <f t="shared" si="74"/>
        <v>343.60700734076471</v>
      </c>
      <c r="S51" s="63">
        <f t="shared" si="75"/>
        <v>70.457007340764733</v>
      </c>
      <c r="T51" s="12">
        <f t="shared" si="57"/>
        <v>0.12537501720353816</v>
      </c>
      <c r="U51" s="47">
        <f t="shared" si="58"/>
        <v>0.12537501720353816</v>
      </c>
      <c r="V51" s="47">
        <f t="shared" si="59"/>
        <v>-2.3831090015846712E-2</v>
      </c>
    </row>
    <row r="52" spans="1:22">
      <c r="A52" s="1">
        <v>75.216143900609595</v>
      </c>
      <c r="B52" s="3">
        <v>1.9</v>
      </c>
      <c r="C52" s="12">
        <f t="shared" si="64"/>
        <v>1.8924676435422183</v>
      </c>
      <c r="D52" s="13">
        <f t="shared" si="65"/>
        <v>171.24279498234307</v>
      </c>
      <c r="E52" s="3">
        <f t="shared" si="44"/>
        <v>3117</v>
      </c>
      <c r="F52" s="64">
        <f t="shared" si="60"/>
        <v>3117</v>
      </c>
      <c r="G52" s="64">
        <f t="shared" si="66"/>
        <v>3104.5540564497169</v>
      </c>
      <c r="H52" s="64">
        <f t="shared" si="67"/>
        <v>16449.682328418217</v>
      </c>
      <c r="I52" s="63">
        <f t="shared" si="68"/>
        <v>3484.1309094629141</v>
      </c>
      <c r="J52" s="63">
        <f t="shared" si="69"/>
        <v>348.41309094629139</v>
      </c>
      <c r="K52" s="63">
        <f t="shared" si="70"/>
        <v>75.263090946291413</v>
      </c>
      <c r="L52" s="12">
        <f t="shared" si="50"/>
        <v>4.6947045681818622E-2</v>
      </c>
      <c r="M52" s="12">
        <f t="shared" si="51"/>
        <v>2.2040250982507644E-3</v>
      </c>
      <c r="N52" s="64">
        <f t="shared" si="62"/>
        <v>3117</v>
      </c>
      <c r="O52" s="64">
        <f t="shared" si="71"/>
        <v>3104.2652967313711</v>
      </c>
      <c r="P52" s="64">
        <f t="shared" si="72"/>
        <v>16451.212482957853</v>
      </c>
      <c r="Q52" s="63">
        <f t="shared" si="73"/>
        <v>3484.1481810951145</v>
      </c>
      <c r="R52" s="63">
        <f t="shared" si="74"/>
        <v>348.41481810951143</v>
      </c>
      <c r="S52" s="63">
        <f t="shared" si="75"/>
        <v>75.264818109511452</v>
      </c>
      <c r="T52" s="12">
        <f t="shared" si="57"/>
        <v>4.8674208901857696E-2</v>
      </c>
      <c r="U52" s="47">
        <f t="shared" si="58"/>
        <v>4.8674208901857696E-2</v>
      </c>
      <c r="V52" s="47">
        <f t="shared" si="59"/>
        <v>-1.7271632200390741E-2</v>
      </c>
    </row>
    <row r="53" spans="1:22">
      <c r="A53" s="1">
        <v>80.316926368481504</v>
      </c>
      <c r="B53" s="3">
        <v>1.6479999999999999</v>
      </c>
      <c r="C53" s="12">
        <f t="shared" si="64"/>
        <v>1.6423302163006248</v>
      </c>
      <c r="D53" s="13">
        <f t="shared" si="65"/>
        <v>150.50120615973867</v>
      </c>
      <c r="E53" s="3">
        <f t="shared" si="44"/>
        <v>2740</v>
      </c>
      <c r="F53" s="64">
        <f t="shared" si="60"/>
        <v>2740</v>
      </c>
      <c r="G53" s="64">
        <f t="shared" si="66"/>
        <v>2855.2521845771334</v>
      </c>
      <c r="H53" s="64">
        <f t="shared" si="67"/>
        <v>15722.660240832138</v>
      </c>
      <c r="I53" s="63">
        <f t="shared" si="68"/>
        <v>3533.7941030932734</v>
      </c>
      <c r="J53" s="63">
        <f t="shared" si="69"/>
        <v>353.37941030932734</v>
      </c>
      <c r="K53" s="63">
        <f t="shared" si="70"/>
        <v>80.229410309327363</v>
      </c>
      <c r="L53" s="12">
        <f t="shared" si="50"/>
        <v>-8.751605915414018E-2</v>
      </c>
      <c r="M53" s="12">
        <f t="shared" si="51"/>
        <v>7.6590606098709633E-3</v>
      </c>
      <c r="N53" s="64">
        <f t="shared" si="62"/>
        <v>2740</v>
      </c>
      <c r="O53" s="64">
        <f t="shared" si="71"/>
        <v>2854.9623114008782</v>
      </c>
      <c r="P53" s="64">
        <f t="shared" si="72"/>
        <v>15724.256611279829</v>
      </c>
      <c r="Q53" s="63">
        <f t="shared" si="73"/>
        <v>3533.8052687853251</v>
      </c>
      <c r="R53" s="63">
        <f t="shared" si="74"/>
        <v>353.38052687853252</v>
      </c>
      <c r="S53" s="63">
        <f t="shared" si="75"/>
        <v>80.230526878532544</v>
      </c>
      <c r="T53" s="12">
        <f t="shared" si="57"/>
        <v>-8.639948994895974E-2</v>
      </c>
      <c r="U53" s="47">
        <f t="shared" si="58"/>
        <v>-8.639948994895974E-2</v>
      </c>
      <c r="V53" s="47">
        <f t="shared" si="59"/>
        <v>-1.1165692051804399E-2</v>
      </c>
    </row>
    <row r="54" spans="1:22">
      <c r="A54" s="1">
        <v>85.738092126568205</v>
      </c>
      <c r="B54" s="3">
        <v>1.423</v>
      </c>
      <c r="C54" s="12">
        <f t="shared" si="64"/>
        <v>1.4187707250594024</v>
      </c>
      <c r="D54" s="13">
        <f t="shared" si="65"/>
        <v>131.51127541823905</v>
      </c>
      <c r="E54" s="3">
        <f t="shared" si="44"/>
        <v>2394</v>
      </c>
      <c r="F54" s="64">
        <f t="shared" si="60"/>
        <v>2394</v>
      </c>
      <c r="G54" s="64">
        <f t="shared" si="66"/>
        <v>2623.1358362460733</v>
      </c>
      <c r="H54" s="64">
        <f t="shared" si="67"/>
        <v>14952.826863946098</v>
      </c>
      <c r="I54" s="63">
        <f t="shared" si="68"/>
        <v>3586.0919794633355</v>
      </c>
      <c r="J54" s="63">
        <f t="shared" si="69"/>
        <v>358.60919794633355</v>
      </c>
      <c r="K54" s="63">
        <f t="shared" si="70"/>
        <v>85.459197946333575</v>
      </c>
      <c r="L54" s="12">
        <f t="shared" si="50"/>
        <v>-0.27889418023463008</v>
      </c>
      <c r="M54" s="12">
        <f t="shared" si="51"/>
        <v>7.7781963768746326E-2</v>
      </c>
      <c r="N54" s="64">
        <f t="shared" si="62"/>
        <v>2394</v>
      </c>
      <c r="O54" s="64">
        <f t="shared" si="71"/>
        <v>2622.8450193696308</v>
      </c>
      <c r="P54" s="64">
        <f t="shared" si="72"/>
        <v>14954.484809562575</v>
      </c>
      <c r="Q54" s="63">
        <f t="shared" si="73"/>
        <v>3586.0975556821963</v>
      </c>
      <c r="R54" s="63">
        <f t="shared" si="74"/>
        <v>358.60975556821961</v>
      </c>
      <c r="S54" s="63">
        <f t="shared" si="75"/>
        <v>85.459755568219634</v>
      </c>
      <c r="T54" s="12">
        <f t="shared" si="57"/>
        <v>-0.27833655834857041</v>
      </c>
      <c r="U54" s="47">
        <f t="shared" si="58"/>
        <v>-0.27833655834857041</v>
      </c>
      <c r="V54" s="47">
        <f t="shared" si="59"/>
        <v>-5.5762188605967822E-3</v>
      </c>
    </row>
  </sheetData>
  <mergeCells count="3">
    <mergeCell ref="F6:G6"/>
    <mergeCell ref="F27:L27"/>
    <mergeCell ref="N27:T27"/>
  </mergeCells>
  <conditionalFormatting sqref="C18:C20">
    <cfRule type="cellIs" dxfId="3" priority="2" stopIfTrue="1" operator="greaterThan">
      <formula>32768</formula>
    </cfRule>
  </conditionalFormatting>
  <conditionalFormatting sqref="C17">
    <cfRule type="cellIs" dxfId="2" priority="1" stopIfTrue="1" operator="greaterThan">
      <formula>27000</formula>
    </cfRule>
  </conditionalFormatting>
  <pageMargins left="0.75" right="0.75" top="1" bottom="1" header="0.5" footer="0.5"/>
  <pageSetup scale="75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70"/>
  <sheetViews>
    <sheetView zoomScale="90" zoomScaleNormal="90" workbookViewId="0">
      <selection activeCell="N49" sqref="N49:N170"/>
    </sheetView>
  </sheetViews>
  <sheetFormatPr defaultColWidth="9" defaultRowHeight="13.2"/>
  <cols>
    <col min="1" max="1" width="11" style="1" customWidth="1"/>
    <col min="2" max="3" width="10" style="3" customWidth="1"/>
    <col min="4" max="4" width="11.21875" style="1" customWidth="1"/>
    <col min="5" max="5" width="12.88671875" style="3" bestFit="1" customWidth="1"/>
    <col min="6" max="6" width="8.88671875" style="1" customWidth="1"/>
    <col min="7" max="7" width="9.33203125" style="1" customWidth="1"/>
    <col min="8" max="8" width="12.44140625" style="1" customWidth="1"/>
    <col min="9" max="9" width="9.77734375" style="1" customWidth="1"/>
    <col min="10" max="10" width="9" style="3"/>
    <col min="11" max="11" width="11.88671875" style="3" bestFit="1" customWidth="1"/>
    <col min="12" max="12" width="12.21875" style="1" customWidth="1"/>
    <col min="13" max="13" width="9.109375" style="1" bestFit="1" customWidth="1"/>
    <col min="14" max="14" width="7.6640625" style="14" customWidth="1"/>
    <col min="15" max="15" width="12.6640625" style="1" customWidth="1"/>
    <col min="16" max="16" width="9.77734375" style="14" customWidth="1"/>
    <col min="17" max="18" width="9" style="1"/>
    <col min="19" max="20" width="11.44140625" style="1" customWidth="1"/>
    <col min="21" max="16384" width="9" style="1"/>
  </cols>
  <sheetData>
    <row r="1" spans="1:17" ht="13.8" thickBot="1">
      <c r="A1" s="60" t="s">
        <v>55</v>
      </c>
      <c r="B1" s="1"/>
      <c r="C1" s="1"/>
      <c r="D1" s="3"/>
      <c r="E1" s="22" t="s">
        <v>44</v>
      </c>
      <c r="F1" s="23" t="s">
        <v>7</v>
      </c>
      <c r="G1" s="24" t="s">
        <v>45</v>
      </c>
      <c r="H1" s="102"/>
      <c r="I1" s="102"/>
      <c r="J1" s="102"/>
      <c r="K1" s="102"/>
      <c r="N1" s="10"/>
      <c r="O1" s="3"/>
      <c r="P1" s="3"/>
      <c r="Q1" s="3"/>
    </row>
    <row r="2" spans="1:17" s="65" customFormat="1" ht="13.8" thickBot="1">
      <c r="A2" s="70" t="s">
        <v>97</v>
      </c>
      <c r="D2" s="98"/>
      <c r="E2" s="108" t="s">
        <v>70</v>
      </c>
      <c r="F2" s="109">
        <v>12909</v>
      </c>
      <c r="G2" s="110">
        <v>11703</v>
      </c>
      <c r="H2" s="2"/>
      <c r="I2" s="3"/>
      <c r="J2" s="73" t="s">
        <v>42</v>
      </c>
      <c r="K2" s="74" t="s">
        <v>7</v>
      </c>
      <c r="L2" s="76" t="s">
        <v>45</v>
      </c>
      <c r="M2" s="86" t="s">
        <v>71</v>
      </c>
      <c r="N2" s="112"/>
      <c r="P2" s="98"/>
      <c r="Q2" s="98"/>
    </row>
    <row r="3" spans="1:17" s="65" customFormat="1">
      <c r="A3" s="70" t="s">
        <v>103</v>
      </c>
      <c r="E3" s="2"/>
      <c r="F3" s="111"/>
      <c r="G3" s="111"/>
      <c r="H3" s="2"/>
      <c r="I3" s="3" t="s">
        <v>28</v>
      </c>
      <c r="J3" s="80" t="s">
        <v>41</v>
      </c>
      <c r="K3" s="81">
        <v>18576.989966617592</v>
      </c>
      <c r="L3" s="82">
        <f>ROUND(K3,0)</f>
        <v>18577</v>
      </c>
      <c r="M3" s="87">
        <f>L3</f>
        <v>18577</v>
      </c>
      <c r="P3" s="98"/>
      <c r="Q3" s="98"/>
    </row>
    <row r="4" spans="1:17" s="65" customFormat="1">
      <c r="A4" s="70" t="s">
        <v>100</v>
      </c>
      <c r="D4" s="98"/>
      <c r="E4" s="112"/>
      <c r="F4" s="113" t="s">
        <v>1</v>
      </c>
      <c r="G4" s="113" t="s">
        <v>0</v>
      </c>
      <c r="H4" s="2"/>
      <c r="I4" s="3" t="s">
        <v>27</v>
      </c>
      <c r="J4" s="5" t="s">
        <v>40</v>
      </c>
      <c r="K4" s="18">
        <v>-12938.650365915684</v>
      </c>
      <c r="L4" s="78">
        <f>ROUND(K4,0)</f>
        <v>-12939</v>
      </c>
      <c r="M4" s="88">
        <f>L4</f>
        <v>-12939</v>
      </c>
      <c r="P4" s="98"/>
      <c r="Q4" s="98"/>
    </row>
    <row r="5" spans="1:17" s="65" customFormat="1">
      <c r="A5" s="70" t="s">
        <v>5</v>
      </c>
      <c r="D5" s="98"/>
      <c r="E5" s="69" t="s">
        <v>61</v>
      </c>
      <c r="F5" s="68">
        <v>-32768</v>
      </c>
      <c r="G5" s="68">
        <v>32767</v>
      </c>
      <c r="H5" s="2"/>
      <c r="I5" s="3" t="s">
        <v>26</v>
      </c>
      <c r="J5" s="5" t="s">
        <v>39</v>
      </c>
      <c r="K5" s="18">
        <v>4757.9714660235268</v>
      </c>
      <c r="L5" s="78">
        <f>ROUND(K5,0)</f>
        <v>4758</v>
      </c>
      <c r="M5" s="88">
        <f>L5</f>
        <v>4758</v>
      </c>
      <c r="P5" s="98"/>
      <c r="Q5" s="98"/>
    </row>
    <row r="6" spans="1:17" s="65" customFormat="1" ht="13.8" thickBot="1">
      <c r="D6" s="98"/>
      <c r="E6" s="69" t="s">
        <v>56</v>
      </c>
      <c r="F6" s="122">
        <v>10</v>
      </c>
      <c r="G6" s="122"/>
      <c r="H6" s="2"/>
      <c r="I6" s="3" t="s">
        <v>25</v>
      </c>
      <c r="J6" s="6" t="s">
        <v>38</v>
      </c>
      <c r="K6" s="21">
        <v>2408.8920621354464</v>
      </c>
      <c r="L6" s="79">
        <f>ROUND(K6,0)</f>
        <v>2409</v>
      </c>
      <c r="M6" s="89">
        <f>L6/10</f>
        <v>240.9</v>
      </c>
      <c r="P6" s="98"/>
      <c r="Q6" s="98"/>
    </row>
    <row r="7" spans="1:17" s="65" customFormat="1" ht="13.8" thickBot="1">
      <c r="A7" s="46" t="s">
        <v>54</v>
      </c>
      <c r="B7" s="3"/>
      <c r="C7" s="1"/>
      <c r="D7" s="98"/>
      <c r="E7" s="69" t="s">
        <v>57</v>
      </c>
      <c r="F7" s="68">
        <f>F5+F6</f>
        <v>-32758</v>
      </c>
      <c r="G7" s="68">
        <f>G5-F6</f>
        <v>32757</v>
      </c>
      <c r="J7" s="1"/>
      <c r="K7" s="1"/>
      <c r="L7" s="1"/>
      <c r="M7" s="17"/>
      <c r="N7" s="10"/>
      <c r="O7" s="98"/>
      <c r="P7" s="98"/>
      <c r="Q7" s="98"/>
    </row>
    <row r="8" spans="1:17" s="65" customFormat="1">
      <c r="A8" s="16" t="s">
        <v>19</v>
      </c>
      <c r="B8" s="103">
        <v>10000000000000</v>
      </c>
      <c r="C8" s="61" t="s">
        <v>93</v>
      </c>
      <c r="D8" s="98"/>
      <c r="E8" s="98"/>
      <c r="F8" s="98"/>
      <c r="G8" s="98"/>
      <c r="J8" s="1"/>
      <c r="K8" s="1"/>
      <c r="L8" s="1"/>
      <c r="M8" s="10"/>
      <c r="N8" s="10"/>
      <c r="O8" s="66"/>
      <c r="P8" s="66"/>
      <c r="Q8" s="66"/>
    </row>
    <row r="9" spans="1:17">
      <c r="A9" s="42" t="s">
        <v>20</v>
      </c>
      <c r="B9" s="62">
        <v>5</v>
      </c>
      <c r="C9" s="1" t="s">
        <v>94</v>
      </c>
      <c r="D9" s="3"/>
      <c r="E9" s="1"/>
      <c r="I9" s="3"/>
      <c r="J9" s="1"/>
      <c r="K9" s="1"/>
      <c r="M9" s="10"/>
      <c r="N9" s="10"/>
      <c r="O9" s="10"/>
      <c r="P9" s="10"/>
      <c r="Q9" s="10"/>
    </row>
    <row r="10" spans="1:17">
      <c r="A10" s="42" t="s">
        <v>95</v>
      </c>
      <c r="B10" s="62">
        <v>9.6500000000000002E-2</v>
      </c>
      <c r="C10" s="1"/>
      <c r="D10" s="3"/>
      <c r="E10" s="1"/>
      <c r="I10" s="3"/>
      <c r="J10" s="1"/>
      <c r="K10" s="1"/>
      <c r="M10" s="10"/>
      <c r="N10" s="10"/>
      <c r="O10" s="10"/>
      <c r="P10" s="10"/>
      <c r="Q10" s="10"/>
    </row>
    <row r="11" spans="1:17">
      <c r="A11" s="42" t="s">
        <v>8</v>
      </c>
      <c r="B11" s="37">
        <v>2.5</v>
      </c>
      <c r="C11" s="1"/>
      <c r="D11" s="3"/>
      <c r="E11" s="1"/>
      <c r="I11" s="3"/>
      <c r="J11" s="1"/>
      <c r="K11" s="1"/>
      <c r="M11" s="10"/>
      <c r="N11" s="10"/>
      <c r="O11" s="10"/>
      <c r="P11" s="10"/>
      <c r="Q11" s="10"/>
    </row>
    <row r="12" spans="1:17">
      <c r="A12" s="43" t="s">
        <v>9</v>
      </c>
      <c r="B12" s="37">
        <v>2.5</v>
      </c>
      <c r="C12" s="1"/>
      <c r="D12" s="3"/>
      <c r="E12" s="1"/>
      <c r="I12" s="3"/>
      <c r="J12" s="1"/>
      <c r="K12" s="1"/>
      <c r="M12" s="10"/>
      <c r="N12" s="10"/>
      <c r="O12" s="10"/>
      <c r="P12" s="10"/>
      <c r="Q12" s="10"/>
    </row>
    <row r="13" spans="1:17">
      <c r="A13" s="42" t="s">
        <v>10</v>
      </c>
      <c r="B13" s="38">
        <f>B12*2^-15</f>
        <v>7.62939453125E-5</v>
      </c>
      <c r="C13" s="1"/>
      <c r="D13" s="3"/>
      <c r="E13" s="1"/>
      <c r="I13" s="3"/>
      <c r="J13" s="1"/>
      <c r="M13" s="10"/>
      <c r="N13" s="10"/>
      <c r="O13" s="10"/>
      <c r="P13" s="10"/>
      <c r="Q13" s="10"/>
    </row>
    <row r="14" spans="1:17">
      <c r="A14" s="42" t="s">
        <v>11</v>
      </c>
      <c r="B14" s="39">
        <f>B11*0.8</f>
        <v>2</v>
      </c>
      <c r="C14" s="1"/>
      <c r="D14" s="3"/>
      <c r="E14" s="1"/>
      <c r="I14" s="3"/>
      <c r="J14" s="1"/>
      <c r="M14" s="10"/>
      <c r="N14" s="10"/>
      <c r="O14" s="10"/>
      <c r="P14" s="10"/>
      <c r="Q14" s="10"/>
    </row>
    <row r="15" spans="1:17">
      <c r="A15" s="42" t="s">
        <v>12</v>
      </c>
      <c r="B15" s="40">
        <f>B8*B9/(B8+B9)</f>
        <v>4.9999999999974998</v>
      </c>
      <c r="C15" s="1"/>
      <c r="D15" s="3"/>
      <c r="E15" s="1"/>
      <c r="I15" s="3"/>
      <c r="J15" s="1"/>
      <c r="M15" s="10"/>
      <c r="N15" s="10"/>
      <c r="O15" s="10"/>
      <c r="P15" s="10"/>
      <c r="Q15" s="10"/>
    </row>
    <row r="16" spans="1:17" ht="13.8" thickBot="1">
      <c r="A16" s="44" t="s">
        <v>13</v>
      </c>
      <c r="B16" s="41">
        <f>B11*B9/(B8+B9)</f>
        <v>1.2499999999993751E-12</v>
      </c>
      <c r="C16" s="1"/>
      <c r="D16" s="3"/>
      <c r="E16" s="1"/>
      <c r="I16" s="3"/>
      <c r="J16" s="1"/>
      <c r="M16" s="10"/>
      <c r="N16" s="10"/>
      <c r="O16" s="10"/>
      <c r="P16" s="10"/>
      <c r="Q16" s="10"/>
    </row>
    <row r="17" spans="1:20">
      <c r="A17" s="26" t="s">
        <v>51</v>
      </c>
      <c r="B17" s="25" t="s">
        <v>1</v>
      </c>
      <c r="C17" s="11" t="s">
        <v>0</v>
      </c>
      <c r="D17" s="3"/>
      <c r="E17" s="1"/>
      <c r="I17" s="3"/>
      <c r="K17" s="1"/>
      <c r="M17" s="10"/>
      <c r="N17" s="10"/>
      <c r="O17" s="10"/>
      <c r="P17" s="10"/>
      <c r="Q17" s="10"/>
    </row>
    <row r="18" spans="1:20">
      <c r="A18" s="27" t="s">
        <v>66</v>
      </c>
      <c r="B18" s="13">
        <f>MIN($E$49:$E$170)</f>
        <v>1516</v>
      </c>
      <c r="C18" s="13">
        <f>MAX($E$49:$E$170)</f>
        <v>28187</v>
      </c>
      <c r="E18" s="1"/>
      <c r="I18" s="3"/>
      <c r="K18" s="1"/>
      <c r="M18" s="10"/>
      <c r="N18" s="10"/>
      <c r="O18" s="10"/>
      <c r="P18" s="10"/>
      <c r="Q18" s="10"/>
    </row>
    <row r="19" spans="1:20">
      <c r="A19" s="27" t="s">
        <v>2</v>
      </c>
      <c r="B19" s="13">
        <f>MIN($F$49:$F$170)</f>
        <v>10066.872859889525</v>
      </c>
      <c r="C19" s="13">
        <f>MAX($F$49:$F$170)</f>
        <v>12492.471175267799</v>
      </c>
      <c r="D19" s="3"/>
      <c r="E19" s="1"/>
      <c r="I19" s="3"/>
      <c r="K19" s="1"/>
      <c r="M19" s="10"/>
      <c r="N19" s="10"/>
      <c r="O19" s="10"/>
      <c r="P19" s="10"/>
      <c r="Q19" s="10"/>
    </row>
    <row r="20" spans="1:20">
      <c r="A20" s="28"/>
      <c r="B20" s="13"/>
      <c r="C20" s="13"/>
      <c r="D20" s="3"/>
      <c r="E20" s="1"/>
      <c r="I20" s="3"/>
      <c r="K20" s="1"/>
      <c r="M20" s="10"/>
      <c r="N20" s="10"/>
      <c r="O20" s="10"/>
      <c r="P20" s="10"/>
      <c r="Q20" s="10"/>
    </row>
    <row r="21" spans="1:20">
      <c r="A21" s="28"/>
      <c r="B21" s="13"/>
      <c r="C21" s="13"/>
      <c r="D21" s="11" t="s">
        <v>64</v>
      </c>
      <c r="E21" s="1"/>
      <c r="I21" s="3"/>
      <c r="K21" s="1"/>
      <c r="N21" s="1"/>
      <c r="P21" s="1"/>
    </row>
    <row r="22" spans="1:20">
      <c r="A22" s="29" t="s">
        <v>62</v>
      </c>
      <c r="B22" s="12">
        <f>MIN($R$49:$R$70)</f>
        <v>-0.80460381988700647</v>
      </c>
      <c r="C22" s="12">
        <f>MAX($R$49:$R$70)</f>
        <v>1.8086273480500665</v>
      </c>
      <c r="D22" s="12">
        <f>MAX(ABS(B22),ABS(C22))</f>
        <v>1.8086273480500665</v>
      </c>
      <c r="E22" s="1"/>
      <c r="I22" s="3"/>
      <c r="K22" s="4"/>
      <c r="L22" s="4"/>
      <c r="N22" s="1"/>
      <c r="P22" s="1"/>
    </row>
    <row r="23" spans="1:20">
      <c r="A23" s="29" t="s">
        <v>60</v>
      </c>
      <c r="B23" s="12">
        <f>MIN($R$71:$R$120)</f>
        <v>-0.60431176306337875</v>
      </c>
      <c r="C23" s="12">
        <f>MAX($R$71:$R$120)</f>
        <v>0.59086937079064228</v>
      </c>
      <c r="D23" s="12">
        <f>MAX(ABS(B23),ABS(C23))</f>
        <v>0.60431176306337875</v>
      </c>
      <c r="E23" s="1"/>
      <c r="I23" s="3"/>
      <c r="K23" s="4"/>
      <c r="N23" s="1"/>
      <c r="P23" s="1"/>
    </row>
    <row r="24" spans="1:20" ht="15" customHeight="1" thickBot="1">
      <c r="A24" s="29" t="s">
        <v>63</v>
      </c>
      <c r="B24" s="12">
        <f>MIN($R$121:$R$170)</f>
        <v>-4.1497271316843012</v>
      </c>
      <c r="C24" s="12">
        <f>MAX($R$121:$R$170)</f>
        <v>0.42879216256392283</v>
      </c>
      <c r="D24" s="12">
        <f>MAX(ABS(B24),ABS(C24))</f>
        <v>4.1497271316843012</v>
      </c>
      <c r="E24" s="1"/>
      <c r="I24" s="3"/>
      <c r="K24" s="4"/>
      <c r="N24" s="1"/>
      <c r="P24" s="1"/>
    </row>
    <row r="25" spans="1:20" ht="15" customHeight="1" thickBot="1">
      <c r="A25" s="45" t="s">
        <v>53</v>
      </c>
      <c r="B25" s="57" t="s">
        <v>79</v>
      </c>
      <c r="C25" s="58"/>
      <c r="D25" s="59"/>
      <c r="E25" s="1"/>
      <c r="I25" s="3"/>
      <c r="K25" s="1"/>
      <c r="N25" s="1"/>
      <c r="P25" s="1"/>
    </row>
    <row r="26" spans="1:20" ht="15" customHeight="1" thickBot="1">
      <c r="A26" s="45" t="s">
        <v>52</v>
      </c>
      <c r="B26" s="54" t="s">
        <v>92</v>
      </c>
      <c r="C26" s="55"/>
      <c r="D26" s="56"/>
      <c r="E26" s="1"/>
      <c r="H26" s="3"/>
      <c r="I26" s="3"/>
      <c r="J26" s="1"/>
      <c r="K26" s="8" t="s">
        <v>46</v>
      </c>
      <c r="N26" s="1"/>
      <c r="P26" s="1"/>
      <c r="R26" s="9"/>
      <c r="S26" s="9"/>
    </row>
    <row r="27" spans="1:20" ht="15" customHeight="1" thickBot="1">
      <c r="B27" s="1"/>
      <c r="C27" s="1"/>
      <c r="E27" s="1"/>
      <c r="J27" s="1"/>
      <c r="K27" s="3" t="s">
        <v>32</v>
      </c>
      <c r="N27" s="1"/>
      <c r="P27" s="1"/>
      <c r="Q27" s="9" t="s">
        <v>59</v>
      </c>
      <c r="R27" s="9" t="s">
        <v>59</v>
      </c>
    </row>
    <row r="28" spans="1:20" ht="15" customHeight="1" thickBot="1">
      <c r="A28" s="10"/>
      <c r="B28" s="2"/>
      <c r="C28" s="2"/>
      <c r="D28" s="2"/>
      <c r="E28" s="2"/>
      <c r="F28" s="104" t="s">
        <v>49</v>
      </c>
      <c r="G28" s="105"/>
      <c r="H28" s="105"/>
      <c r="I28" s="105"/>
      <c r="J28" s="105"/>
      <c r="K28" s="106"/>
      <c r="L28" s="36">
        <f>SUM(L49:L157)</f>
        <v>25.928987187424838</v>
      </c>
      <c r="M28" s="99" t="s">
        <v>50</v>
      </c>
      <c r="N28" s="100"/>
      <c r="O28" s="100"/>
      <c r="P28" s="100"/>
      <c r="Q28" s="100"/>
      <c r="R28" s="101"/>
      <c r="S28" s="3">
        <v>1</v>
      </c>
      <c r="T28" s="3">
        <v>10</v>
      </c>
    </row>
    <row r="29" spans="1:20" s="15" customFormat="1" ht="40.200000000000003" thickBot="1">
      <c r="A29" s="9" t="s">
        <v>48</v>
      </c>
      <c r="B29" s="9" t="s">
        <v>21</v>
      </c>
      <c r="C29" s="9" t="s">
        <v>96</v>
      </c>
      <c r="D29" s="9" t="s">
        <v>30</v>
      </c>
      <c r="E29" s="9" t="s">
        <v>65</v>
      </c>
      <c r="F29" s="33" t="s">
        <v>2</v>
      </c>
      <c r="G29" s="34" t="s">
        <v>99</v>
      </c>
      <c r="H29" s="34" t="s">
        <v>98</v>
      </c>
      <c r="I29" s="34" t="s">
        <v>23</v>
      </c>
      <c r="J29" s="34" t="s">
        <v>18</v>
      </c>
      <c r="K29" s="35" t="s">
        <v>14</v>
      </c>
      <c r="L29" s="53" t="s">
        <v>31</v>
      </c>
      <c r="M29" s="30" t="s">
        <v>2</v>
      </c>
      <c r="N29" s="31" t="s">
        <v>99</v>
      </c>
      <c r="O29" s="31" t="s">
        <v>17</v>
      </c>
      <c r="P29" s="31" t="s">
        <v>23</v>
      </c>
      <c r="Q29" s="31" t="s">
        <v>18</v>
      </c>
      <c r="R29" s="32" t="s">
        <v>14</v>
      </c>
      <c r="S29" s="9" t="s">
        <v>58</v>
      </c>
      <c r="T29" s="9" t="s">
        <v>47</v>
      </c>
    </row>
    <row r="30" spans="1:20" s="15" customFormat="1">
      <c r="A30" s="49">
        <v>-40</v>
      </c>
      <c r="B30" s="50">
        <v>328.99619999999999</v>
      </c>
      <c r="C30" s="12"/>
      <c r="D30" s="13"/>
      <c r="E30" s="3"/>
      <c r="F30" s="64"/>
      <c r="G30" s="107"/>
      <c r="H30" s="63"/>
      <c r="I30" s="63"/>
      <c r="J30" s="63"/>
      <c r="K30" s="12"/>
      <c r="L30" s="12"/>
      <c r="M30" s="64"/>
      <c r="N30" s="64"/>
      <c r="O30" s="63"/>
      <c r="P30" s="63"/>
      <c r="Q30" s="63"/>
      <c r="R30" s="12"/>
      <c r="S30" s="47"/>
      <c r="T30" s="47"/>
    </row>
    <row r="31" spans="1:20" s="15" customFormat="1">
      <c r="A31" s="51">
        <v>-39</v>
      </c>
      <c r="B31" s="52">
        <v>307.90660000000003</v>
      </c>
      <c r="C31" s="12"/>
      <c r="D31" s="13"/>
      <c r="E31" s="3"/>
      <c r="F31" s="64"/>
      <c r="G31" s="107"/>
      <c r="H31" s="63"/>
      <c r="I31" s="63"/>
      <c r="J31" s="63"/>
      <c r="K31" s="12"/>
      <c r="L31" s="12"/>
      <c r="M31" s="64"/>
      <c r="N31" s="64"/>
      <c r="O31" s="63"/>
      <c r="P31" s="63"/>
      <c r="Q31" s="63"/>
      <c r="R31" s="12"/>
      <c r="S31" s="47"/>
      <c r="T31" s="47"/>
    </row>
    <row r="32" spans="1:20" s="15" customFormat="1">
      <c r="A32" s="51">
        <v>-38</v>
      </c>
      <c r="B32" s="52">
        <v>288.31180000000001</v>
      </c>
      <c r="C32" s="12"/>
      <c r="D32" s="13"/>
      <c r="E32" s="3"/>
      <c r="F32" s="64"/>
      <c r="G32" s="107"/>
      <c r="H32" s="63"/>
      <c r="I32" s="63"/>
      <c r="J32" s="63"/>
      <c r="K32" s="12"/>
      <c r="L32" s="12"/>
      <c r="M32" s="64"/>
      <c r="N32" s="64"/>
      <c r="O32" s="63"/>
      <c r="P32" s="63"/>
      <c r="Q32" s="63"/>
      <c r="R32" s="12"/>
      <c r="S32" s="47"/>
      <c r="T32" s="47"/>
    </row>
    <row r="33" spans="1:20" s="15" customFormat="1">
      <c r="A33" s="51">
        <v>-37</v>
      </c>
      <c r="B33" s="52">
        <v>270.096</v>
      </c>
      <c r="C33" s="12"/>
      <c r="D33" s="13"/>
      <c r="E33" s="3"/>
      <c r="F33" s="64"/>
      <c r="G33" s="107"/>
      <c r="H33" s="63"/>
      <c r="I33" s="63"/>
      <c r="J33" s="63"/>
      <c r="K33" s="12"/>
      <c r="L33" s="12"/>
      <c r="M33" s="64"/>
      <c r="N33" s="64"/>
      <c r="O33" s="63"/>
      <c r="P33" s="63"/>
      <c r="Q33" s="63"/>
      <c r="R33" s="12"/>
      <c r="S33" s="47"/>
      <c r="T33" s="47"/>
    </row>
    <row r="34" spans="1:20" s="15" customFormat="1">
      <c r="A34" s="51">
        <v>-36</v>
      </c>
      <c r="B34" s="52">
        <v>253.1533</v>
      </c>
      <c r="C34" s="12"/>
      <c r="D34" s="13"/>
      <c r="E34" s="3"/>
      <c r="F34" s="64"/>
      <c r="G34" s="107"/>
      <c r="H34" s="63"/>
      <c r="I34" s="63"/>
      <c r="J34" s="63"/>
      <c r="K34" s="12"/>
      <c r="L34" s="12"/>
      <c r="M34" s="64"/>
      <c r="N34" s="64"/>
      <c r="O34" s="63"/>
      <c r="P34" s="63"/>
      <c r="Q34" s="63"/>
      <c r="R34" s="12"/>
      <c r="S34" s="47"/>
      <c r="T34" s="47"/>
    </row>
    <row r="35" spans="1:20" s="15" customFormat="1">
      <c r="A35" s="51">
        <v>-35</v>
      </c>
      <c r="B35" s="52">
        <v>237.38659999999999</v>
      </c>
      <c r="C35" s="12"/>
      <c r="D35" s="13"/>
      <c r="E35" s="3"/>
      <c r="F35" s="64"/>
      <c r="G35" s="107"/>
      <c r="H35" s="63"/>
      <c r="I35" s="63"/>
      <c r="J35" s="63"/>
      <c r="K35" s="12"/>
      <c r="L35" s="12"/>
      <c r="M35" s="64"/>
      <c r="N35" s="64"/>
      <c r="O35" s="63"/>
      <c r="P35" s="63"/>
      <c r="Q35" s="63"/>
      <c r="R35" s="12"/>
      <c r="S35" s="47"/>
      <c r="T35" s="47"/>
    </row>
    <row r="36" spans="1:20" s="15" customFormat="1">
      <c r="A36" s="51">
        <v>-34</v>
      </c>
      <c r="B36" s="52">
        <v>222.67009999999999</v>
      </c>
      <c r="C36" s="12"/>
      <c r="D36" s="13"/>
      <c r="E36" s="3"/>
      <c r="F36" s="64"/>
      <c r="G36" s="114"/>
      <c r="H36" s="63"/>
      <c r="I36" s="63"/>
      <c r="J36" s="63"/>
      <c r="K36" s="12"/>
      <c r="L36" s="12"/>
      <c r="M36" s="64"/>
      <c r="N36" s="64"/>
      <c r="O36" s="63"/>
      <c r="P36" s="63"/>
      <c r="Q36" s="63"/>
      <c r="R36" s="12"/>
      <c r="S36" s="47"/>
      <c r="T36" s="47"/>
    </row>
    <row r="37" spans="1:20" s="15" customFormat="1">
      <c r="A37" s="51">
        <v>-33</v>
      </c>
      <c r="B37" s="52">
        <v>208.96459999999999</v>
      </c>
      <c r="C37" s="12"/>
      <c r="D37" s="13"/>
      <c r="E37" s="3"/>
      <c r="F37" s="64"/>
      <c r="G37" s="114"/>
      <c r="H37" s="63"/>
      <c r="I37" s="63"/>
      <c r="J37" s="63"/>
      <c r="K37" s="12"/>
      <c r="L37" s="12"/>
      <c r="M37" s="64"/>
      <c r="N37" s="64"/>
      <c r="O37" s="63"/>
      <c r="P37" s="63"/>
      <c r="Q37" s="63"/>
      <c r="R37" s="12"/>
      <c r="S37" s="47"/>
      <c r="T37" s="47"/>
    </row>
    <row r="38" spans="1:20" s="15" customFormat="1">
      <c r="A38" s="51">
        <v>-32</v>
      </c>
      <c r="B38" s="52">
        <v>196.19399999999999</v>
      </c>
      <c r="C38" s="12"/>
      <c r="D38" s="13"/>
      <c r="E38" s="3"/>
      <c r="F38" s="64"/>
      <c r="G38" s="114"/>
      <c r="H38" s="63"/>
      <c r="I38" s="63"/>
      <c r="J38" s="63"/>
      <c r="K38" s="12"/>
      <c r="L38" s="12"/>
      <c r="M38" s="64"/>
      <c r="N38" s="64"/>
      <c r="O38" s="63"/>
      <c r="P38" s="63"/>
      <c r="Q38" s="63"/>
      <c r="R38" s="12"/>
      <c r="S38" s="47"/>
      <c r="T38" s="47"/>
    </row>
    <row r="39" spans="1:20" s="15" customFormat="1">
      <c r="A39" s="51">
        <v>-31</v>
      </c>
      <c r="B39" s="52">
        <v>184.28870000000001</v>
      </c>
      <c r="C39" s="12"/>
      <c r="D39" s="13"/>
      <c r="E39" s="3"/>
      <c r="F39" s="64"/>
      <c r="G39" s="114"/>
      <c r="H39" s="63"/>
      <c r="I39" s="63"/>
      <c r="J39" s="63"/>
      <c r="K39" s="12"/>
      <c r="L39" s="12"/>
      <c r="M39" s="64"/>
      <c r="N39" s="64"/>
      <c r="O39" s="63"/>
      <c r="P39" s="63"/>
      <c r="Q39" s="63"/>
      <c r="R39" s="12"/>
      <c r="S39" s="47"/>
      <c r="T39" s="47"/>
    </row>
    <row r="40" spans="1:20" s="15" customFormat="1">
      <c r="A40" s="51">
        <v>-30</v>
      </c>
      <c r="B40" s="52">
        <v>173.18450000000001</v>
      </c>
      <c r="C40" s="12"/>
      <c r="D40" s="13"/>
      <c r="E40" s="3"/>
      <c r="F40" s="64"/>
      <c r="G40" s="114"/>
      <c r="H40" s="63"/>
      <c r="I40" s="63"/>
      <c r="J40" s="63"/>
      <c r="K40" s="12"/>
      <c r="L40" s="12"/>
      <c r="M40" s="64"/>
      <c r="N40" s="64"/>
      <c r="O40" s="63"/>
      <c r="P40" s="63"/>
      <c r="Q40" s="63"/>
      <c r="R40" s="12"/>
      <c r="S40" s="47"/>
      <c r="T40" s="47"/>
    </row>
    <row r="41" spans="1:20" s="15" customFormat="1">
      <c r="A41" s="51">
        <v>-29</v>
      </c>
      <c r="B41" s="52">
        <v>162.82249999999999</v>
      </c>
      <c r="C41" s="12"/>
      <c r="D41" s="13"/>
      <c r="E41" s="3"/>
      <c r="F41" s="64"/>
      <c r="G41" s="114"/>
      <c r="H41" s="63"/>
      <c r="I41" s="63"/>
      <c r="J41" s="63"/>
      <c r="K41" s="12"/>
      <c r="L41" s="12"/>
      <c r="M41" s="64"/>
      <c r="N41" s="64"/>
      <c r="O41" s="63"/>
      <c r="P41" s="63"/>
      <c r="Q41" s="63"/>
      <c r="R41" s="12"/>
      <c r="S41" s="47"/>
      <c r="T41" s="47"/>
    </row>
    <row r="42" spans="1:20" s="15" customFormat="1">
      <c r="A42" s="51">
        <v>-28</v>
      </c>
      <c r="B42" s="52">
        <v>153.14840000000001</v>
      </c>
      <c r="C42" s="12"/>
      <c r="D42" s="13"/>
      <c r="E42" s="3"/>
      <c r="F42" s="64"/>
      <c r="G42" s="114"/>
      <c r="H42" s="63"/>
      <c r="I42" s="63"/>
      <c r="J42" s="63"/>
      <c r="K42" s="12"/>
      <c r="L42" s="12"/>
      <c r="M42" s="64"/>
      <c r="N42" s="64"/>
      <c r="O42" s="63"/>
      <c r="P42" s="63"/>
      <c r="Q42" s="63"/>
      <c r="R42" s="12"/>
      <c r="S42" s="47"/>
      <c r="T42" s="47"/>
    </row>
    <row r="43" spans="1:20" s="15" customFormat="1">
      <c r="A43" s="51">
        <v>-27</v>
      </c>
      <c r="B43" s="52">
        <v>144.1122</v>
      </c>
      <c r="C43" s="12"/>
      <c r="D43" s="13"/>
      <c r="E43" s="3"/>
      <c r="F43" s="64"/>
      <c r="G43" s="114"/>
      <c r="H43" s="63"/>
      <c r="I43" s="63"/>
      <c r="J43" s="63"/>
      <c r="K43" s="12"/>
      <c r="L43" s="12"/>
      <c r="M43" s="64"/>
      <c r="N43" s="64"/>
      <c r="O43" s="63"/>
      <c r="P43" s="63"/>
      <c r="Q43" s="63"/>
      <c r="R43" s="12"/>
      <c r="S43" s="47"/>
      <c r="T43" s="47"/>
    </row>
    <row r="44" spans="1:20" s="15" customFormat="1">
      <c r="A44" s="51">
        <v>-26</v>
      </c>
      <c r="B44" s="52">
        <v>135.6679</v>
      </c>
      <c r="C44" s="12"/>
      <c r="D44" s="13"/>
      <c r="E44" s="3"/>
      <c r="F44" s="64"/>
      <c r="G44" s="114"/>
      <c r="H44" s="63"/>
      <c r="I44" s="63"/>
      <c r="J44" s="63"/>
      <c r="K44" s="12"/>
      <c r="L44" s="12"/>
      <c r="M44" s="64"/>
      <c r="N44" s="64"/>
      <c r="O44" s="63"/>
      <c r="P44" s="63"/>
      <c r="Q44" s="63"/>
      <c r="R44" s="12"/>
      <c r="S44" s="47"/>
      <c r="T44" s="47"/>
    </row>
    <row r="45" spans="1:20" s="15" customFormat="1">
      <c r="A45" s="51">
        <v>-25</v>
      </c>
      <c r="B45" s="52">
        <v>127.773</v>
      </c>
      <c r="C45" s="12"/>
      <c r="D45" s="13"/>
      <c r="E45" s="3"/>
      <c r="F45" s="64"/>
      <c r="G45" s="114"/>
      <c r="H45" s="63"/>
      <c r="I45" s="63"/>
      <c r="J45" s="63"/>
      <c r="K45" s="12"/>
      <c r="L45" s="12"/>
      <c r="M45" s="64"/>
      <c r="N45" s="64"/>
      <c r="O45" s="63"/>
      <c r="P45" s="63"/>
      <c r="Q45" s="63"/>
      <c r="R45" s="12"/>
      <c r="S45" s="47"/>
      <c r="T45" s="47"/>
    </row>
    <row r="46" spans="1:20" s="15" customFormat="1">
      <c r="A46" s="51">
        <v>-24</v>
      </c>
      <c r="B46" s="52">
        <v>120.4041</v>
      </c>
      <c r="C46" s="12"/>
      <c r="D46" s="13"/>
      <c r="E46" s="3"/>
      <c r="F46" s="64"/>
      <c r="G46" s="114"/>
      <c r="H46" s="63"/>
      <c r="I46" s="63"/>
      <c r="J46" s="63"/>
      <c r="K46" s="12"/>
      <c r="L46" s="12"/>
      <c r="M46" s="64"/>
      <c r="N46" s="64"/>
      <c r="O46" s="63"/>
      <c r="P46" s="63"/>
      <c r="Q46" s="63"/>
      <c r="R46" s="12"/>
      <c r="S46" s="47"/>
      <c r="T46" s="47"/>
    </row>
    <row r="47" spans="1:20" s="15" customFormat="1">
      <c r="A47" s="51">
        <v>-23</v>
      </c>
      <c r="B47" s="52">
        <v>113.5069</v>
      </c>
      <c r="C47" s="12"/>
      <c r="D47" s="13"/>
      <c r="E47" s="3"/>
      <c r="F47" s="64"/>
      <c r="G47" s="114"/>
      <c r="H47" s="63"/>
      <c r="I47" s="63"/>
      <c r="J47" s="63"/>
      <c r="K47" s="12"/>
      <c r="L47" s="12"/>
      <c r="M47" s="64"/>
      <c r="N47" s="64"/>
      <c r="O47" s="63"/>
      <c r="P47" s="63"/>
      <c r="Q47" s="63"/>
      <c r="R47" s="12"/>
      <c r="S47" s="47"/>
      <c r="T47" s="47"/>
    </row>
    <row r="48" spans="1:20" s="15" customFormat="1">
      <c r="A48" s="51">
        <v>-22</v>
      </c>
      <c r="B48" s="52">
        <v>107.04819999999999</v>
      </c>
      <c r="C48" s="12"/>
      <c r="D48" s="13"/>
      <c r="E48" s="3"/>
      <c r="F48" s="64"/>
      <c r="G48" s="114"/>
      <c r="H48" s="63"/>
      <c r="I48" s="63"/>
      <c r="J48" s="63"/>
      <c r="K48" s="12"/>
      <c r="L48" s="12"/>
      <c r="M48" s="64"/>
      <c r="N48" s="64"/>
      <c r="O48" s="63"/>
      <c r="P48" s="63"/>
      <c r="Q48" s="63"/>
      <c r="R48" s="12"/>
      <c r="S48" s="47"/>
      <c r="T48" s="47"/>
    </row>
    <row r="49" spans="1:20">
      <c r="A49" s="51">
        <v>-21</v>
      </c>
      <c r="B49" s="52">
        <v>100.9975</v>
      </c>
      <c r="C49" s="12">
        <f>32767*$B$9/($B$95+$B$9)</f>
        <v>10922.333333333334</v>
      </c>
      <c r="D49" s="13">
        <f t="shared" ref="D49:D94" si="0">$B$12*($B$9-$B$10)/(B49+$B$9)*1000</f>
        <v>115.65131253095592</v>
      </c>
      <c r="E49" s="3">
        <f t="shared" ref="E49:E94" si="1">ROUND($B$11*($B$9-$B$10)/(($B$9+B49)*$B$13),0)</f>
        <v>1516</v>
      </c>
      <c r="F49" s="64">
        <f t="shared" ref="F49:F80" si="2">$E49+($C49-$E49)*(32767-$F$2)/(32767-$C49)</f>
        <v>10066.872859889525</v>
      </c>
      <c r="G49" s="115">
        <f t="shared" ref="G49:G100" si="3">$F$2*E49/(F49-$B$10*1000*E49/$B$9/1000)/2^16</f>
        <v>2.9749616946632269E-2</v>
      </c>
      <c r="H49" s="63">
        <f>$K$3*G49^3+$K$4*G49^2+$K$5*G49^1+$K$6</f>
        <v>2539.4777959169501</v>
      </c>
      <c r="I49" s="63">
        <f t="shared" ref="I49:I94" si="4">H49/10</f>
        <v>253.947779591695</v>
      </c>
      <c r="J49" s="63">
        <f t="shared" ref="J49:J93" si="5">I49-273.15</f>
        <v>-19.202220408304981</v>
      </c>
      <c r="K49" s="12">
        <f t="shared" ref="K49:K80" si="6">(J49-A49)</f>
        <v>1.7977795916950186</v>
      </c>
      <c r="L49" s="12">
        <f t="shared" ref="L49:L93" si="7">(K49)^2</f>
        <v>3.2320114603151078</v>
      </c>
      <c r="M49" s="64">
        <f>$E49+($C49-$E49)*(32767-$F$2)/(32767-$C49)</f>
        <v>10066.872859889525</v>
      </c>
      <c r="N49" s="115">
        <f>$F$2*E49/(F49-$B$10*1000*E49/$B$9/1000)/2^16</f>
        <v>2.9749616946632269E-2</v>
      </c>
      <c r="O49" s="63">
        <f>$L$3*N49^3+$L$4*N49^2+$L$5*N49^1+$L$6</f>
        <v>2539.5862734805005</v>
      </c>
      <c r="P49" s="63">
        <f t="shared" ref="P49" si="8">O49/10</f>
        <v>253.95862734805004</v>
      </c>
      <c r="Q49" s="63">
        <f t="shared" ref="Q49" si="9">P49-273.15</f>
        <v>-19.191372651949933</v>
      </c>
      <c r="R49" s="12">
        <f>(Q49-A49)</f>
        <v>1.8086273480500665</v>
      </c>
      <c r="S49" s="47">
        <f t="shared" ref="S49" si="10">R49*S$28</f>
        <v>1.8086273480500665</v>
      </c>
      <c r="T49" s="47">
        <f>(K49-R49)*T$28</f>
        <v>-0.10847756355047977</v>
      </c>
    </row>
    <row r="50" spans="1:20">
      <c r="A50" s="51">
        <v>-20</v>
      </c>
      <c r="B50" s="52">
        <v>95.326700000000002</v>
      </c>
      <c r="C50" s="12">
        <f t="shared" ref="C50:C113" si="11">32767*$B$9/($B$95+$B$9)</f>
        <v>10922.333333333334</v>
      </c>
      <c r="D50" s="13">
        <f t="shared" si="0"/>
        <v>122.18831078865347</v>
      </c>
      <c r="E50" s="3">
        <f t="shared" si="1"/>
        <v>1602</v>
      </c>
      <c r="F50" s="64">
        <f t="shared" si="2"/>
        <v>10074.694143498033</v>
      </c>
      <c r="G50" s="115">
        <f t="shared" si="3"/>
        <v>3.141797453177797E-2</v>
      </c>
      <c r="H50" s="63">
        <f t="shared" ref="H50:H113" si="12">$K$3*G50^3+$K$4*G50^2+$K$5*G50^1+$K$6</f>
        <v>2546.1824033732523</v>
      </c>
      <c r="I50" s="63">
        <f t="shared" si="4"/>
        <v>254.61824033732523</v>
      </c>
      <c r="J50" s="63">
        <f t="shared" si="5"/>
        <v>-18.531759662674745</v>
      </c>
      <c r="K50" s="12">
        <f t="shared" si="6"/>
        <v>1.4682403373252555</v>
      </c>
      <c r="L50" s="12">
        <f t="shared" si="7"/>
        <v>2.15572968814898</v>
      </c>
      <c r="M50" s="64">
        <f t="shared" ref="M50:M113" si="13">$E50+($C50-$E50)*(32767-$F$2)/(32767-$C50)</f>
        <v>10074.694143498033</v>
      </c>
      <c r="N50" s="115">
        <f t="shared" ref="N50:N113" si="14">$F$2*E50/(F50-$B$10*1000*E50/$B$9/1000)/2^16</f>
        <v>3.141797453177797E-2</v>
      </c>
      <c r="O50" s="63">
        <f t="shared" ref="O50:O113" si="15">$L$3*N50^3+$L$4*N50^2+$L$5*N50^1+$L$6</f>
        <v>2546.2908929087089</v>
      </c>
      <c r="P50" s="63">
        <f t="shared" ref="P50:P113" si="16">O50/10</f>
        <v>254.62908929087089</v>
      </c>
      <c r="Q50" s="63">
        <f t="shared" ref="Q50:Q113" si="17">P50-273.15</f>
        <v>-18.520910709129083</v>
      </c>
      <c r="R50" s="12">
        <f t="shared" ref="R50:R113" si="18">(Q50-A50)</f>
        <v>1.4790892908709168</v>
      </c>
      <c r="S50" s="47">
        <f t="shared" ref="S50:S113" si="19">R50*S$28</f>
        <v>1.4790892908709168</v>
      </c>
      <c r="T50" s="47">
        <f t="shared" ref="T50:T113" si="20">(K50-R50)*T$28</f>
        <v>-0.10848953545661288</v>
      </c>
    </row>
    <row r="51" spans="1:20">
      <c r="A51" s="51">
        <v>-19</v>
      </c>
      <c r="B51" s="52">
        <v>89.988699999999994</v>
      </c>
      <c r="C51" s="12">
        <f t="shared" si="11"/>
        <v>10922.333333333334</v>
      </c>
      <c r="D51" s="13">
        <f t="shared" si="0"/>
        <v>129.05482441595686</v>
      </c>
      <c r="E51" s="3">
        <f t="shared" si="1"/>
        <v>1692</v>
      </c>
      <c r="F51" s="64">
        <f t="shared" si="2"/>
        <v>10082.879207739496</v>
      </c>
      <c r="G51" s="115">
        <f t="shared" si="3"/>
        <v>3.3161739574885045E-2</v>
      </c>
      <c r="H51" s="63">
        <f t="shared" si="12"/>
        <v>2553.1234920361148</v>
      </c>
      <c r="I51" s="63">
        <f t="shared" si="4"/>
        <v>255.31234920361149</v>
      </c>
      <c r="J51" s="63">
        <f t="shared" si="5"/>
        <v>-17.837650796388488</v>
      </c>
      <c r="K51" s="12">
        <f t="shared" si="6"/>
        <v>1.1623492036115124</v>
      </c>
      <c r="L51" s="12">
        <f t="shared" si="7"/>
        <v>1.3510556711363171</v>
      </c>
      <c r="M51" s="64">
        <f t="shared" si="13"/>
        <v>10082.879207739496</v>
      </c>
      <c r="N51" s="115">
        <f t="shared" si="14"/>
        <v>3.3161739574885045E-2</v>
      </c>
      <c r="O51" s="63">
        <f t="shared" si="15"/>
        <v>2553.2319920099203</v>
      </c>
      <c r="P51" s="63">
        <f t="shared" si="16"/>
        <v>255.32319920099204</v>
      </c>
      <c r="Q51" s="63">
        <f t="shared" si="17"/>
        <v>-17.826800799007941</v>
      </c>
      <c r="R51" s="12">
        <f t="shared" si="18"/>
        <v>1.1731992009920589</v>
      </c>
      <c r="S51" s="47">
        <f t="shared" si="19"/>
        <v>1.1731992009920589</v>
      </c>
      <c r="T51" s="47">
        <f t="shared" si="20"/>
        <v>-0.10849997380546483</v>
      </c>
    </row>
    <row r="52" spans="1:20">
      <c r="A52" s="51">
        <v>-18</v>
      </c>
      <c r="B52" s="52">
        <v>84.983599999999996</v>
      </c>
      <c r="C52" s="12">
        <f t="shared" si="11"/>
        <v>10922.333333333334</v>
      </c>
      <c r="D52" s="13">
        <f t="shared" si="0"/>
        <v>136.23315804213215</v>
      </c>
      <c r="E52" s="3">
        <f t="shared" si="1"/>
        <v>1786</v>
      </c>
      <c r="F52" s="64">
        <f t="shared" si="2"/>
        <v>10091.428052613912</v>
      </c>
      <c r="G52" s="115">
        <f t="shared" si="3"/>
        <v>3.4980617962744043E-2</v>
      </c>
      <c r="H52" s="63">
        <f t="shared" si="12"/>
        <v>2560.2917130827404</v>
      </c>
      <c r="I52" s="63">
        <f t="shared" si="4"/>
        <v>256.02917130827404</v>
      </c>
      <c r="J52" s="63">
        <f t="shared" si="5"/>
        <v>-17.120828691725933</v>
      </c>
      <c r="K52" s="12">
        <f t="shared" si="6"/>
        <v>0.87917130827406709</v>
      </c>
      <c r="L52" s="12">
        <f t="shared" si="7"/>
        <v>0.77294218929233471</v>
      </c>
      <c r="M52" s="64">
        <f t="shared" si="13"/>
        <v>10091.428052613912</v>
      </c>
      <c r="N52" s="115">
        <f t="shared" si="14"/>
        <v>3.4980617962744043E-2</v>
      </c>
      <c r="O52" s="63">
        <f t="shared" si="15"/>
        <v>2560.4002216853696</v>
      </c>
      <c r="P52" s="63">
        <f t="shared" si="16"/>
        <v>256.04002216853695</v>
      </c>
      <c r="Q52" s="63">
        <f t="shared" si="17"/>
        <v>-17.109977831463027</v>
      </c>
      <c r="R52" s="12">
        <f t="shared" si="18"/>
        <v>0.89002216853697291</v>
      </c>
      <c r="S52" s="47">
        <f t="shared" si="19"/>
        <v>0.89002216853697291</v>
      </c>
      <c r="T52" s="47">
        <f t="shared" si="20"/>
        <v>-0.10850860262905826</v>
      </c>
    </row>
    <row r="53" spans="1:20">
      <c r="A53" s="51">
        <v>-17</v>
      </c>
      <c r="B53" s="52">
        <v>80.288499999999999</v>
      </c>
      <c r="C53" s="12">
        <f t="shared" si="11"/>
        <v>10922.333333333334</v>
      </c>
      <c r="D53" s="13">
        <f t="shared" si="0"/>
        <v>143.73274239786139</v>
      </c>
      <c r="E53" s="3">
        <f t="shared" si="1"/>
        <v>1884</v>
      </c>
      <c r="F53" s="64">
        <f t="shared" si="2"/>
        <v>10100.340678121282</v>
      </c>
      <c r="G53" s="115">
        <f t="shared" si="3"/>
        <v>3.6874303519147791E-2</v>
      </c>
      <c r="H53" s="63">
        <f t="shared" si="12"/>
        <v>2567.6775014157456</v>
      </c>
      <c r="I53" s="63">
        <f t="shared" si="4"/>
        <v>256.76775014157454</v>
      </c>
      <c r="J53" s="63">
        <f t="shared" si="5"/>
        <v>-16.382249858425439</v>
      </c>
      <c r="K53" s="12">
        <f t="shared" si="6"/>
        <v>0.61775014157456098</v>
      </c>
      <c r="L53" s="12">
        <f t="shared" si="7"/>
        <v>0.38161523741539016</v>
      </c>
      <c r="M53" s="64">
        <f t="shared" si="13"/>
        <v>10100.340678121282</v>
      </c>
      <c r="N53" s="115">
        <f t="shared" si="14"/>
        <v>3.6874303519147791E-2</v>
      </c>
      <c r="O53" s="63">
        <f t="shared" si="15"/>
        <v>2567.7860165514167</v>
      </c>
      <c r="P53" s="63">
        <f t="shared" si="16"/>
        <v>256.77860165514164</v>
      </c>
      <c r="Q53" s="63">
        <f t="shared" si="17"/>
        <v>-16.371398344858335</v>
      </c>
      <c r="R53" s="12">
        <f t="shared" si="18"/>
        <v>0.62860165514166511</v>
      </c>
      <c r="S53" s="47">
        <f t="shared" si="19"/>
        <v>0.62860165514166511</v>
      </c>
      <c r="T53" s="47">
        <f t="shared" si="20"/>
        <v>-0.10851513567104121</v>
      </c>
    </row>
    <row r="54" spans="1:20">
      <c r="A54" s="51">
        <v>-16</v>
      </c>
      <c r="B54" s="52">
        <v>75.882499999999993</v>
      </c>
      <c r="C54" s="12">
        <f t="shared" si="11"/>
        <v>10922.333333333334</v>
      </c>
      <c r="D54" s="13">
        <f t="shared" si="0"/>
        <v>151.56245170463328</v>
      </c>
      <c r="E54" s="3">
        <f t="shared" si="1"/>
        <v>1987</v>
      </c>
      <c r="F54" s="64">
        <f t="shared" si="2"/>
        <v>10109.708029419846</v>
      </c>
      <c r="G54" s="115">
        <f t="shared" si="3"/>
        <v>3.886175982351462E-2</v>
      </c>
      <c r="H54" s="63">
        <f t="shared" si="12"/>
        <v>2575.3450778258525</v>
      </c>
      <c r="I54" s="63">
        <f t="shared" si="4"/>
        <v>257.53450778258525</v>
      </c>
      <c r="J54" s="63">
        <f t="shared" si="5"/>
        <v>-15.615492217414726</v>
      </c>
      <c r="K54" s="12">
        <f t="shared" si="6"/>
        <v>0.38450778258527407</v>
      </c>
      <c r="L54" s="12">
        <f t="shared" si="7"/>
        <v>0.1478462348686444</v>
      </c>
      <c r="M54" s="64">
        <f t="shared" si="13"/>
        <v>10109.708029419846</v>
      </c>
      <c r="N54" s="115">
        <f t="shared" si="14"/>
        <v>3.886175982351462E-2</v>
      </c>
      <c r="O54" s="63">
        <f t="shared" si="15"/>
        <v>2575.4535971296973</v>
      </c>
      <c r="P54" s="63">
        <f t="shared" si="16"/>
        <v>257.54535971296974</v>
      </c>
      <c r="Q54" s="63">
        <f t="shared" si="17"/>
        <v>-15.604640287030236</v>
      </c>
      <c r="R54" s="12">
        <f t="shared" si="18"/>
        <v>0.39535971296976413</v>
      </c>
      <c r="S54" s="47">
        <f t="shared" si="19"/>
        <v>0.39535971296976413</v>
      </c>
      <c r="T54" s="47">
        <f t="shared" si="20"/>
        <v>-0.10851930384490061</v>
      </c>
    </row>
    <row r="55" spans="1:20">
      <c r="A55" s="51">
        <v>-15</v>
      </c>
      <c r="B55" s="52">
        <v>71.745900000000006</v>
      </c>
      <c r="C55" s="12">
        <f t="shared" si="11"/>
        <v>10922.333333333334</v>
      </c>
      <c r="D55" s="13">
        <f t="shared" si="0"/>
        <v>159.73165993232212</v>
      </c>
      <c r="E55" s="3">
        <f t="shared" si="1"/>
        <v>2094</v>
      </c>
      <c r="F55" s="64">
        <f t="shared" si="2"/>
        <v>10119.439161351362</v>
      </c>
      <c r="G55" s="115">
        <f t="shared" si="3"/>
        <v>4.0923316903171671E-2</v>
      </c>
      <c r="H55" s="63">
        <f t="shared" si="12"/>
        <v>2583.2086215139684</v>
      </c>
      <c r="I55" s="63">
        <f t="shared" si="4"/>
        <v>258.32086215139685</v>
      </c>
      <c r="J55" s="63">
        <f t="shared" si="5"/>
        <v>-14.829137848603125</v>
      </c>
      <c r="K55" s="12">
        <f t="shared" si="6"/>
        <v>0.17086215139687511</v>
      </c>
      <c r="L55" s="12">
        <f t="shared" si="7"/>
        <v>2.9193874779968671E-2</v>
      </c>
      <c r="M55" s="64">
        <f t="shared" si="13"/>
        <v>10119.439161351362</v>
      </c>
      <c r="N55" s="115">
        <f t="shared" si="14"/>
        <v>4.0923316903171671E-2</v>
      </c>
      <c r="O55" s="63">
        <f t="shared" si="15"/>
        <v>2583.3171422326741</v>
      </c>
      <c r="P55" s="63">
        <f t="shared" si="16"/>
        <v>258.3317142232674</v>
      </c>
      <c r="Q55" s="63">
        <f t="shared" si="17"/>
        <v>-14.81828577673258</v>
      </c>
      <c r="R55" s="12">
        <f t="shared" si="18"/>
        <v>0.18171422326742004</v>
      </c>
      <c r="S55" s="47">
        <f t="shared" si="19"/>
        <v>0.18171422326742004</v>
      </c>
      <c r="T55" s="47">
        <f t="shared" si="20"/>
        <v>-0.10852071870544933</v>
      </c>
    </row>
    <row r="56" spans="1:20">
      <c r="A56" s="51">
        <v>-14</v>
      </c>
      <c r="B56" s="52">
        <v>67.874200000000002</v>
      </c>
      <c r="C56" s="12">
        <f t="shared" si="11"/>
        <v>10922.333333333334</v>
      </c>
      <c r="D56" s="13">
        <f>$B$12*($B$9-$B$10)/(B56+$B$9)*1000</f>
        <v>168.21797014581293</v>
      </c>
      <c r="E56" s="3">
        <f t="shared" si="1"/>
        <v>2205</v>
      </c>
      <c r="F56" s="64">
        <f t="shared" si="2"/>
        <v>10129.534073915831</v>
      </c>
      <c r="G56" s="115">
        <f t="shared" si="3"/>
        <v>4.3058630097520506E-2</v>
      </c>
      <c r="H56" s="63">
        <f t="shared" si="12"/>
        <v>2591.2579980026417</v>
      </c>
      <c r="I56" s="63">
        <f t="shared" si="4"/>
        <v>259.12579980026419</v>
      </c>
      <c r="J56" s="63">
        <f t="shared" si="5"/>
        <v>-14.024200199735787</v>
      </c>
      <c r="K56" s="12">
        <f t="shared" si="6"/>
        <v>-2.4200199735787464E-2</v>
      </c>
      <c r="L56" s="12">
        <f t="shared" si="7"/>
        <v>5.8564966725200771E-4</v>
      </c>
      <c r="M56" s="64">
        <f t="shared" si="13"/>
        <v>10129.534073915831</v>
      </c>
      <c r="N56" s="115">
        <f t="shared" si="14"/>
        <v>4.3058630097520506E-2</v>
      </c>
      <c r="O56" s="63">
        <f t="shared" si="15"/>
        <v>2591.3665170645804</v>
      </c>
      <c r="P56" s="63">
        <f t="shared" si="16"/>
        <v>259.13665170645805</v>
      </c>
      <c r="Q56" s="63">
        <f t="shared" si="17"/>
        <v>-14.013348293541924</v>
      </c>
      <c r="R56" s="12">
        <f t="shared" si="18"/>
        <v>-1.3348293541923795E-2</v>
      </c>
      <c r="S56" s="47">
        <f t="shared" si="19"/>
        <v>-1.3348293541923795E-2</v>
      </c>
      <c r="T56" s="47">
        <f t="shared" si="20"/>
        <v>-0.1085190619386367</v>
      </c>
    </row>
    <row r="57" spans="1:20">
      <c r="A57" s="51">
        <v>-13</v>
      </c>
      <c r="B57" s="52">
        <v>64.234999999999999</v>
      </c>
      <c r="C57" s="12">
        <f t="shared" si="11"/>
        <v>10922.333333333334</v>
      </c>
      <c r="D57" s="13">
        <f t="shared" si="0"/>
        <v>177.06001299920561</v>
      </c>
      <c r="E57" s="3">
        <f t="shared" si="1"/>
        <v>2321</v>
      </c>
      <c r="F57" s="64">
        <f t="shared" si="2"/>
        <v>10140.083712271495</v>
      </c>
      <c r="G57" s="115">
        <f t="shared" si="3"/>
        <v>4.5286533639831365E-2</v>
      </c>
      <c r="H57" s="63">
        <f t="shared" si="12"/>
        <v>2599.5539768072845</v>
      </c>
      <c r="I57" s="63">
        <f t="shared" si="4"/>
        <v>259.95539768072842</v>
      </c>
      <c r="J57" s="63">
        <f t="shared" si="5"/>
        <v>-13.194602319271553</v>
      </c>
      <c r="K57" s="12">
        <f t="shared" si="6"/>
        <v>-0.19460231927155291</v>
      </c>
      <c r="L57" s="12">
        <f t="shared" si="7"/>
        <v>3.7870062665867413E-2</v>
      </c>
      <c r="M57" s="64">
        <f t="shared" si="13"/>
        <v>10140.083712271495</v>
      </c>
      <c r="N57" s="115">
        <f t="shared" si="14"/>
        <v>4.5286533639831365E-2</v>
      </c>
      <c r="O57" s="63">
        <f t="shared" si="15"/>
        <v>2599.6624907544924</v>
      </c>
      <c r="P57" s="63">
        <f t="shared" si="16"/>
        <v>259.96624907544924</v>
      </c>
      <c r="Q57" s="63">
        <f t="shared" si="17"/>
        <v>-13.183750924550736</v>
      </c>
      <c r="R57" s="12">
        <f t="shared" si="18"/>
        <v>-0.18375092455073627</v>
      </c>
      <c r="S57" s="47">
        <f t="shared" si="19"/>
        <v>-0.18375092455073627</v>
      </c>
      <c r="T57" s="47">
        <f t="shared" si="20"/>
        <v>-0.10851394720816643</v>
      </c>
    </row>
    <row r="58" spans="1:20">
      <c r="A58" s="51">
        <v>-12</v>
      </c>
      <c r="B58" s="52">
        <v>60.812800000000003</v>
      </c>
      <c r="C58" s="12">
        <f t="shared" si="11"/>
        <v>10922.333333333334</v>
      </c>
      <c r="D58" s="13">
        <f t="shared" si="0"/>
        <v>186.26695718765953</v>
      </c>
      <c r="E58" s="3">
        <f t="shared" si="1"/>
        <v>2441</v>
      </c>
      <c r="F58" s="64">
        <f t="shared" si="2"/>
        <v>10150.997131260112</v>
      </c>
      <c r="G58" s="115">
        <f t="shared" si="3"/>
        <v>4.7587404616101531E-2</v>
      </c>
      <c r="H58" s="63">
        <f t="shared" si="12"/>
        <v>2608.0131530205426</v>
      </c>
      <c r="I58" s="63">
        <f t="shared" si="4"/>
        <v>260.80131530205426</v>
      </c>
      <c r="J58" s="63">
        <f t="shared" si="5"/>
        <v>-12.348684697945714</v>
      </c>
      <c r="K58" s="12">
        <f t="shared" si="6"/>
        <v>-0.34868469794571411</v>
      </c>
      <c r="L58" s="12">
        <f t="shared" si="7"/>
        <v>0.12158101858149388</v>
      </c>
      <c r="M58" s="64">
        <f t="shared" si="13"/>
        <v>10150.997131260112</v>
      </c>
      <c r="N58" s="115">
        <f t="shared" si="14"/>
        <v>4.7587404616101531E-2</v>
      </c>
      <c r="O58" s="63">
        <f t="shared" si="15"/>
        <v>2608.1216580564842</v>
      </c>
      <c r="P58" s="63">
        <f t="shared" si="16"/>
        <v>260.81216580564842</v>
      </c>
      <c r="Q58" s="63">
        <f t="shared" si="17"/>
        <v>-12.337834194351558</v>
      </c>
      <c r="R58" s="12">
        <f t="shared" si="18"/>
        <v>-0.33783419435155793</v>
      </c>
      <c r="S58" s="47">
        <f t="shared" si="19"/>
        <v>-0.33783419435155793</v>
      </c>
      <c r="T58" s="47">
        <f t="shared" si="20"/>
        <v>-0.1085050359415618</v>
      </c>
    </row>
    <row r="59" spans="1:20">
      <c r="A59" s="51">
        <v>-11</v>
      </c>
      <c r="B59" s="52">
        <v>57.593400000000003</v>
      </c>
      <c r="C59" s="12">
        <f t="shared" si="11"/>
        <v>10922.333333333334</v>
      </c>
      <c r="D59" s="13">
        <f t="shared" si="0"/>
        <v>195.84732575638967</v>
      </c>
      <c r="E59" s="3">
        <f>ROUND($B$11*($B$9-$B$10)/(($B$9+B59)*$B$13),0)</f>
        <v>2567</v>
      </c>
      <c r="F59" s="64">
        <f t="shared" si="2"/>
        <v>10162.456221198157</v>
      </c>
      <c r="G59" s="115">
        <f t="shared" si="3"/>
        <v>4.9999108703521415E-2</v>
      </c>
      <c r="H59" s="63">
        <f t="shared" si="12"/>
        <v>2616.7629215316906</v>
      </c>
      <c r="I59" s="63">
        <f t="shared" si="4"/>
        <v>261.67629215316907</v>
      </c>
      <c r="J59" s="63">
        <f t="shared" si="5"/>
        <v>-11.473707846830905</v>
      </c>
      <c r="K59" s="12">
        <f t="shared" si="6"/>
        <v>-0.47370784683090505</v>
      </c>
      <c r="L59" s="12">
        <f t="shared" si="7"/>
        <v>0.22439912414917221</v>
      </c>
      <c r="M59" s="64">
        <f t="shared" si="13"/>
        <v>10162.456221198157</v>
      </c>
      <c r="N59" s="115">
        <f t="shared" si="14"/>
        <v>4.9999108703521415E-2</v>
      </c>
      <c r="O59" s="63">
        <f t="shared" si="15"/>
        <v>2616.8714132696932</v>
      </c>
      <c r="P59" s="63">
        <f t="shared" si="16"/>
        <v>261.68714132696931</v>
      </c>
      <c r="Q59" s="63">
        <f t="shared" si="17"/>
        <v>-11.462858673030667</v>
      </c>
      <c r="R59" s="12">
        <f t="shared" si="18"/>
        <v>-0.46285867303066652</v>
      </c>
      <c r="S59" s="47">
        <f t="shared" si="19"/>
        <v>-0.46285867303066652</v>
      </c>
      <c r="T59" s="47">
        <f t="shared" si="20"/>
        <v>-0.10849173800238532</v>
      </c>
    </row>
    <row r="60" spans="1:20">
      <c r="A60" s="51">
        <v>-10</v>
      </c>
      <c r="B60" s="52">
        <v>54.563800000000001</v>
      </c>
      <c r="C60" s="12">
        <f t="shared" si="11"/>
        <v>10922.333333333334</v>
      </c>
      <c r="D60" s="13">
        <f t="shared" si="0"/>
        <v>205.80872946319744</v>
      </c>
      <c r="E60" s="3">
        <f t="shared" si="1"/>
        <v>2698</v>
      </c>
      <c r="F60" s="64">
        <f t="shared" si="2"/>
        <v>10174.370036927397</v>
      </c>
      <c r="G60" s="115">
        <f t="shared" si="3"/>
        <v>5.2501954276108556E-2</v>
      </c>
      <c r="H60" s="63">
        <f t="shared" si="12"/>
        <v>2625.718501078999</v>
      </c>
      <c r="I60" s="63">
        <f t="shared" si="4"/>
        <v>262.57185010789988</v>
      </c>
      <c r="J60" s="63">
        <f t="shared" si="5"/>
        <v>-10.5781498921001</v>
      </c>
      <c r="K60" s="12">
        <f t="shared" si="6"/>
        <v>-0.57814989210010026</v>
      </c>
      <c r="L60" s="12">
        <f t="shared" si="7"/>
        <v>0.33425729773535756</v>
      </c>
      <c r="M60" s="64">
        <f t="shared" si="13"/>
        <v>10174.370036927397</v>
      </c>
      <c r="N60" s="115">
        <f t="shared" si="14"/>
        <v>5.2501954276108556E-2</v>
      </c>
      <c r="O60" s="63">
        <f t="shared" si="15"/>
        <v>2625.8269747344139</v>
      </c>
      <c r="P60" s="63">
        <f t="shared" si="16"/>
        <v>262.58269747344139</v>
      </c>
      <c r="Q60" s="63">
        <f t="shared" si="17"/>
        <v>-10.567302526558592</v>
      </c>
      <c r="R60" s="12">
        <f t="shared" si="18"/>
        <v>-0.56730252655859204</v>
      </c>
      <c r="S60" s="47">
        <f t="shared" si="19"/>
        <v>-0.56730252655859204</v>
      </c>
      <c r="T60" s="47">
        <f t="shared" si="20"/>
        <v>-0.10847365541508225</v>
      </c>
    </row>
    <row r="61" spans="1:20">
      <c r="A61" s="51">
        <v>-9</v>
      </c>
      <c r="B61" s="52">
        <v>51.6982</v>
      </c>
      <c r="C61" s="12">
        <f t="shared" si="11"/>
        <v>10922.333333333334</v>
      </c>
      <c r="D61" s="13">
        <f t="shared" si="0"/>
        <v>216.21056753124441</v>
      </c>
      <c r="E61" s="3">
        <f t="shared" si="1"/>
        <v>2834</v>
      </c>
      <c r="F61" s="64">
        <f t="shared" si="2"/>
        <v>10186.73857844783</v>
      </c>
      <c r="G61" s="115">
        <f t="shared" si="3"/>
        <v>5.509542258543712E-2</v>
      </c>
      <c r="H61" s="63">
        <f t="shared" si="12"/>
        <v>2634.8660267558757</v>
      </c>
      <c r="I61" s="63">
        <f t="shared" si="4"/>
        <v>263.48660267558756</v>
      </c>
      <c r="J61" s="63">
        <f t="shared" si="5"/>
        <v>-9.6633973244124149</v>
      </c>
      <c r="K61" s="12">
        <f t="shared" si="6"/>
        <v>-0.66339732441241495</v>
      </c>
      <c r="L61" s="12">
        <f t="shared" si="7"/>
        <v>0.44009601003755094</v>
      </c>
      <c r="M61" s="64">
        <f t="shared" si="13"/>
        <v>10186.73857844783</v>
      </c>
      <c r="N61" s="115">
        <f t="shared" si="14"/>
        <v>5.509542258543712E-2</v>
      </c>
      <c r="O61" s="63">
        <f t="shared" si="15"/>
        <v>2634.9744770737116</v>
      </c>
      <c r="P61" s="63">
        <f t="shared" si="16"/>
        <v>263.49744770737118</v>
      </c>
      <c r="Q61" s="63">
        <f t="shared" si="17"/>
        <v>-9.6525522926287977</v>
      </c>
      <c r="R61" s="12">
        <f t="shared" si="18"/>
        <v>-0.65255229262879766</v>
      </c>
      <c r="S61" s="47">
        <f t="shared" si="19"/>
        <v>-0.65255229262879766</v>
      </c>
      <c r="T61" s="47">
        <f t="shared" si="20"/>
        <v>-0.10845031783617287</v>
      </c>
    </row>
    <row r="62" spans="1:20">
      <c r="A62" s="51">
        <v>-8</v>
      </c>
      <c r="B62" s="52">
        <v>49.000799999999998</v>
      </c>
      <c r="C62" s="12">
        <f t="shared" si="11"/>
        <v>10922.333333333334</v>
      </c>
      <c r="D62" s="13">
        <f t="shared" si="0"/>
        <v>227.01052576998862</v>
      </c>
      <c r="E62" s="3">
        <f t="shared" si="1"/>
        <v>2975</v>
      </c>
      <c r="F62" s="64">
        <f t="shared" si="2"/>
        <v>10199.561845759454</v>
      </c>
      <c r="G62" s="115">
        <f t="shared" si="3"/>
        <v>5.7778977634868368E-2</v>
      </c>
      <c r="H62" s="63">
        <f t="shared" si="12"/>
        <v>2644.1915802939557</v>
      </c>
      <c r="I62" s="63">
        <f t="shared" si="4"/>
        <v>264.41915802939559</v>
      </c>
      <c r="J62" s="63">
        <f t="shared" si="5"/>
        <v>-8.7308419706043878</v>
      </c>
      <c r="K62" s="12">
        <f t="shared" si="6"/>
        <v>-0.73084197060438783</v>
      </c>
      <c r="L62" s="12">
        <f t="shared" si="7"/>
        <v>0.53412998599690487</v>
      </c>
      <c r="M62" s="64">
        <f t="shared" si="13"/>
        <v>10199.561845759454</v>
      </c>
      <c r="N62" s="115">
        <f t="shared" si="14"/>
        <v>5.7778977634868368E-2</v>
      </c>
      <c r="O62" s="63">
        <f t="shared" si="15"/>
        <v>2644.300001535823</v>
      </c>
      <c r="P62" s="63">
        <f t="shared" si="16"/>
        <v>264.43000015358228</v>
      </c>
      <c r="Q62" s="63">
        <f t="shared" si="17"/>
        <v>-8.7199998464176929</v>
      </c>
      <c r="R62" s="12">
        <f t="shared" si="18"/>
        <v>-0.71999984641769288</v>
      </c>
      <c r="S62" s="47">
        <f t="shared" si="19"/>
        <v>-0.71999984641769288</v>
      </c>
      <c r="T62" s="47">
        <f t="shared" si="20"/>
        <v>-0.10842124186694946</v>
      </c>
    </row>
    <row r="63" spans="1:20">
      <c r="A63" s="51">
        <v>-7</v>
      </c>
      <c r="B63" s="52">
        <v>46.460799999999999</v>
      </c>
      <c r="C63" s="12">
        <f t="shared" si="11"/>
        <v>10922.333333333334</v>
      </c>
      <c r="D63" s="13">
        <f t="shared" si="0"/>
        <v>238.21530174424029</v>
      </c>
      <c r="E63" s="3">
        <f t="shared" si="1"/>
        <v>3122</v>
      </c>
      <c r="F63" s="64">
        <f t="shared" si="2"/>
        <v>10212.930784020509</v>
      </c>
      <c r="G63" s="115">
        <f t="shared" si="3"/>
        <v>6.0571040507357558E-2</v>
      </c>
      <c r="H63" s="63">
        <f t="shared" si="12"/>
        <v>2653.7456572644464</v>
      </c>
      <c r="I63" s="63">
        <f t="shared" si="4"/>
        <v>265.37456572644464</v>
      </c>
      <c r="J63" s="63">
        <f t="shared" si="5"/>
        <v>-7.7754342735553337</v>
      </c>
      <c r="K63" s="12">
        <f t="shared" si="6"/>
        <v>-0.77543427355533368</v>
      </c>
      <c r="L63" s="12">
        <f t="shared" si="7"/>
        <v>0.60129831260428801</v>
      </c>
      <c r="M63" s="64">
        <f t="shared" si="13"/>
        <v>10212.930784020509</v>
      </c>
      <c r="N63" s="115">
        <f t="shared" si="14"/>
        <v>6.0571040507357558E-2</v>
      </c>
      <c r="O63" s="63">
        <f t="shared" si="15"/>
        <v>2653.8540429359828</v>
      </c>
      <c r="P63" s="63">
        <f t="shared" si="16"/>
        <v>265.3854042935983</v>
      </c>
      <c r="Q63" s="63">
        <f t="shared" si="17"/>
        <v>-7.7645957064016784</v>
      </c>
      <c r="R63" s="12">
        <f t="shared" si="18"/>
        <v>-0.7645957064016784</v>
      </c>
      <c r="S63" s="47">
        <f t="shared" si="19"/>
        <v>-0.7645957064016784</v>
      </c>
      <c r="T63" s="47">
        <f t="shared" si="20"/>
        <v>-0.10838567153655276</v>
      </c>
    </row>
    <row r="64" spans="1:20">
      <c r="A64" s="51">
        <v>-6</v>
      </c>
      <c r="B64" s="52">
        <v>44.067999999999998</v>
      </c>
      <c r="C64" s="12">
        <f t="shared" si="11"/>
        <v>10922.333333333334</v>
      </c>
      <c r="D64" s="13">
        <f t="shared" si="0"/>
        <v>249.83186598190269</v>
      </c>
      <c r="E64" s="3">
        <f t="shared" si="1"/>
        <v>3275</v>
      </c>
      <c r="F64" s="64">
        <f t="shared" si="2"/>
        <v>10226.845393230997</v>
      </c>
      <c r="G64" s="115">
        <f t="shared" si="3"/>
        <v>6.3470919615821894E-2</v>
      </c>
      <c r="H64" s="63">
        <f t="shared" si="12"/>
        <v>2663.5108546655101</v>
      </c>
      <c r="I64" s="63">
        <f t="shared" si="4"/>
        <v>266.35108546655101</v>
      </c>
      <c r="J64" s="63">
        <f t="shared" si="5"/>
        <v>-6.7989145334489649</v>
      </c>
      <c r="K64" s="12">
        <f t="shared" si="6"/>
        <v>-0.7989145334489649</v>
      </c>
      <c r="L64" s="12">
        <f t="shared" si="7"/>
        <v>0.63826443175597725</v>
      </c>
      <c r="M64" s="64">
        <f t="shared" si="13"/>
        <v>10226.845393230997</v>
      </c>
      <c r="N64" s="115">
        <f t="shared" si="14"/>
        <v>6.3470919615821894E-2</v>
      </c>
      <c r="O64" s="63">
        <f t="shared" si="15"/>
        <v>2663.6191976522286</v>
      </c>
      <c r="P64" s="63">
        <f t="shared" si="16"/>
        <v>266.36191976522286</v>
      </c>
      <c r="Q64" s="63">
        <f t="shared" si="17"/>
        <v>-6.7880802347771123</v>
      </c>
      <c r="R64" s="12">
        <f t="shared" si="18"/>
        <v>-0.78808023477711231</v>
      </c>
      <c r="S64" s="47">
        <f t="shared" si="19"/>
        <v>-0.78808023477711231</v>
      </c>
      <c r="T64" s="47">
        <f t="shared" si="20"/>
        <v>-0.10834298671852594</v>
      </c>
    </row>
    <row r="65" spans="1:20">
      <c r="A65" s="51">
        <v>-5</v>
      </c>
      <c r="B65" s="72">
        <v>41.813099999999999</v>
      </c>
      <c r="C65" s="12">
        <f t="shared" si="11"/>
        <v>10922.333333333334</v>
      </c>
      <c r="D65" s="13">
        <f t="shared" si="0"/>
        <v>261.86580252108922</v>
      </c>
      <c r="E65" s="3">
        <f t="shared" si="1"/>
        <v>3432</v>
      </c>
      <c r="F65" s="64">
        <f t="shared" si="2"/>
        <v>10241.123783074436</v>
      </c>
      <c r="G65" s="115">
        <f t="shared" si="3"/>
        <v>6.644011713932968E-2</v>
      </c>
      <c r="H65" s="63">
        <f t="shared" si="12"/>
        <v>2673.345668579138</v>
      </c>
      <c r="I65" s="63">
        <f t="shared" si="4"/>
        <v>267.33456685791379</v>
      </c>
      <c r="J65" s="63">
        <f t="shared" si="5"/>
        <v>-5.8154331420861922</v>
      </c>
      <c r="K65" s="12">
        <f t="shared" si="6"/>
        <v>-0.81543314208619222</v>
      </c>
      <c r="L65" s="12">
        <f t="shared" si="7"/>
        <v>0.6649312092125601</v>
      </c>
      <c r="M65" s="64">
        <f t="shared" si="13"/>
        <v>10241.123783074436</v>
      </c>
      <c r="N65" s="115">
        <f t="shared" si="14"/>
        <v>6.644011713932968E-2</v>
      </c>
      <c r="O65" s="63">
        <f t="shared" si="15"/>
        <v>2673.4539618011299</v>
      </c>
      <c r="P65" s="63">
        <f t="shared" si="16"/>
        <v>267.34539618011297</v>
      </c>
      <c r="Q65" s="63">
        <f t="shared" si="17"/>
        <v>-5.8046038198870065</v>
      </c>
      <c r="R65" s="12">
        <f t="shared" si="18"/>
        <v>-0.80460381988700647</v>
      </c>
      <c r="S65" s="47">
        <f t="shared" si="19"/>
        <v>-0.80460381988700647</v>
      </c>
      <c r="T65" s="47">
        <f t="shared" si="20"/>
        <v>-0.10829322199185754</v>
      </c>
    </row>
    <row r="66" spans="1:20">
      <c r="A66" s="51">
        <v>-4</v>
      </c>
      <c r="B66" s="90">
        <v>39.690100000000001</v>
      </c>
      <c r="C66" s="12">
        <f t="shared" si="11"/>
        <v>10922.333333333334</v>
      </c>
      <c r="D66" s="13">
        <f t="shared" si="0"/>
        <v>274.30571871622578</v>
      </c>
      <c r="E66" s="3">
        <f t="shared" si="1"/>
        <v>3595</v>
      </c>
      <c r="F66" s="64">
        <f t="shared" si="2"/>
        <v>10255.947843867307</v>
      </c>
      <c r="G66" s="115">
        <f t="shared" si="3"/>
        <v>6.9515849150298181E-2</v>
      </c>
      <c r="H66" s="63">
        <f t="shared" si="12"/>
        <v>2683.3616725190168</v>
      </c>
      <c r="I66" s="63">
        <f t="shared" si="4"/>
        <v>268.33616725190166</v>
      </c>
      <c r="J66" s="63">
        <f t="shared" si="5"/>
        <v>-4.8138327480983207</v>
      </c>
      <c r="K66" s="12">
        <f t="shared" si="6"/>
        <v>-0.81383274809832074</v>
      </c>
      <c r="L66" s="12">
        <f t="shared" si="7"/>
        <v>0.66232374187726473</v>
      </c>
      <c r="M66" s="64">
        <f t="shared" si="13"/>
        <v>10255.947843867307</v>
      </c>
      <c r="N66" s="115">
        <f t="shared" si="14"/>
        <v>6.9515849150298181E-2</v>
      </c>
      <c r="O66" s="63">
        <f t="shared" si="15"/>
        <v>2683.4699077273312</v>
      </c>
      <c r="P66" s="63">
        <f t="shared" si="16"/>
        <v>268.34699077273314</v>
      </c>
      <c r="Q66" s="63">
        <f t="shared" si="17"/>
        <v>-4.8030092272668412</v>
      </c>
      <c r="R66" s="12">
        <f t="shared" si="18"/>
        <v>-0.80300922726684121</v>
      </c>
      <c r="S66" s="47">
        <f t="shared" si="19"/>
        <v>-0.80300922726684121</v>
      </c>
      <c r="T66" s="47">
        <f t="shared" si="20"/>
        <v>-0.10823520831479527</v>
      </c>
    </row>
    <row r="67" spans="1:20">
      <c r="A67" s="51">
        <v>-3</v>
      </c>
      <c r="B67" s="90">
        <v>37.687600000000003</v>
      </c>
      <c r="C67" s="12">
        <f t="shared" si="11"/>
        <v>10922.333333333334</v>
      </c>
      <c r="D67" s="13">
        <f t="shared" si="0"/>
        <v>287.17355859781298</v>
      </c>
      <c r="E67" s="3">
        <f t="shared" si="1"/>
        <v>3764</v>
      </c>
      <c r="F67" s="64">
        <f t="shared" si="2"/>
        <v>10271.317575609608</v>
      </c>
      <c r="G67" s="115">
        <f t="shared" si="3"/>
        <v>7.2697360757908391E-2</v>
      </c>
      <c r="H67" s="63">
        <f t="shared" si="12"/>
        <v>2693.5417320301076</v>
      </c>
      <c r="I67" s="63">
        <f t="shared" si="4"/>
        <v>269.35417320301076</v>
      </c>
      <c r="J67" s="63">
        <f t="shared" si="5"/>
        <v>-3.7958267969892177</v>
      </c>
      <c r="K67" s="12">
        <f t="shared" si="6"/>
        <v>-0.79582679698921766</v>
      </c>
      <c r="L67" s="12">
        <f t="shared" si="7"/>
        <v>0.63334029080611742</v>
      </c>
      <c r="M67" s="64">
        <f t="shared" si="13"/>
        <v>10271.317575609608</v>
      </c>
      <c r="N67" s="115">
        <f t="shared" si="14"/>
        <v>7.2697360757908391E-2</v>
      </c>
      <c r="O67" s="63">
        <f t="shared" si="15"/>
        <v>2693.6499003108938</v>
      </c>
      <c r="P67" s="63">
        <f t="shared" si="16"/>
        <v>269.36499003108941</v>
      </c>
      <c r="Q67" s="63">
        <f t="shared" si="17"/>
        <v>-3.7850099689105718</v>
      </c>
      <c r="R67" s="12">
        <f t="shared" si="18"/>
        <v>-0.78500996891057184</v>
      </c>
      <c r="S67" s="47">
        <f t="shared" si="19"/>
        <v>-0.78500996891057184</v>
      </c>
      <c r="T67" s="47">
        <f t="shared" si="20"/>
        <v>-0.10816828078645813</v>
      </c>
    </row>
    <row r="68" spans="1:20">
      <c r="A68" s="51">
        <v>-2</v>
      </c>
      <c r="B68" s="90">
        <v>35.798000000000002</v>
      </c>
      <c r="C68" s="12">
        <f t="shared" si="11"/>
        <v>10922.333333333334</v>
      </c>
      <c r="D68" s="13">
        <f t="shared" si="0"/>
        <v>300.47428795529191</v>
      </c>
      <c r="E68" s="3">
        <f t="shared" si="1"/>
        <v>3938</v>
      </c>
      <c r="F68" s="64">
        <f t="shared" si="2"/>
        <v>10287.142033143104</v>
      </c>
      <c r="G68" s="115">
        <f t="shared" si="3"/>
        <v>7.5965116722345322E-2</v>
      </c>
      <c r="H68" s="63">
        <f t="shared" si="12"/>
        <v>2703.8104926218139</v>
      </c>
      <c r="I68" s="63">
        <f t="shared" si="4"/>
        <v>270.38104926218136</v>
      </c>
      <c r="J68" s="63">
        <f t="shared" si="5"/>
        <v>-2.7689507378186136</v>
      </c>
      <c r="K68" s="12">
        <f t="shared" si="6"/>
        <v>-0.76895073781861356</v>
      </c>
      <c r="L68" s="12">
        <f t="shared" si="7"/>
        <v>0.59128523719179016</v>
      </c>
      <c r="M68" s="64">
        <f t="shared" si="13"/>
        <v>10287.142033143104</v>
      </c>
      <c r="N68" s="115">
        <f t="shared" si="14"/>
        <v>7.5965116722345322E-2</v>
      </c>
      <c r="O68" s="63">
        <f t="shared" si="15"/>
        <v>2703.9185848385268</v>
      </c>
      <c r="P68" s="63">
        <f t="shared" si="16"/>
        <v>270.39185848385267</v>
      </c>
      <c r="Q68" s="63">
        <f t="shared" si="17"/>
        <v>-2.7581415161473046</v>
      </c>
      <c r="R68" s="12">
        <f t="shared" si="18"/>
        <v>-0.75814151614730463</v>
      </c>
      <c r="S68" s="47">
        <f t="shared" si="19"/>
        <v>-0.75814151614730463</v>
      </c>
      <c r="T68" s="47">
        <f t="shared" si="20"/>
        <v>-0.10809221671308933</v>
      </c>
    </row>
    <row r="69" spans="1:20">
      <c r="A69" s="51">
        <v>-1</v>
      </c>
      <c r="B69" s="90">
        <v>34.014400000000002</v>
      </c>
      <c r="C69" s="12">
        <f t="shared" si="11"/>
        <v>10922.333333333334</v>
      </c>
      <c r="D69" s="13">
        <f t="shared" si="0"/>
        <v>314.21090674212599</v>
      </c>
      <c r="E69" s="3">
        <f t="shared" si="1"/>
        <v>4118</v>
      </c>
      <c r="F69" s="64">
        <f t="shared" si="2"/>
        <v>10303.512161626028</v>
      </c>
      <c r="G69" s="115">
        <f t="shared" si="3"/>
        <v>7.9337168201017286E-2</v>
      </c>
      <c r="H69" s="63">
        <f t="shared" si="12"/>
        <v>2714.2121361781674</v>
      </c>
      <c r="I69" s="63">
        <f t="shared" si="4"/>
        <v>271.42121361781676</v>
      </c>
      <c r="J69" s="63">
        <f t="shared" si="5"/>
        <v>-1.7287863821832161</v>
      </c>
      <c r="K69" s="12">
        <f t="shared" si="6"/>
        <v>-0.72878638218321612</v>
      </c>
      <c r="L69" s="12">
        <f t="shared" si="7"/>
        <v>0.53112959085570077</v>
      </c>
      <c r="M69" s="64">
        <f t="shared" si="13"/>
        <v>10303.512161626028</v>
      </c>
      <c r="N69" s="115">
        <f t="shared" si="14"/>
        <v>7.9337168201017286E-2</v>
      </c>
      <c r="O69" s="63">
        <f t="shared" si="15"/>
        <v>2714.3201421260947</v>
      </c>
      <c r="P69" s="63">
        <f t="shared" si="16"/>
        <v>271.43201421260949</v>
      </c>
      <c r="Q69" s="63">
        <f t="shared" si="17"/>
        <v>-1.7179857873904893</v>
      </c>
      <c r="R69" s="12">
        <f t="shared" si="18"/>
        <v>-0.71798578739048935</v>
      </c>
      <c r="S69" s="47">
        <f t="shared" si="19"/>
        <v>-0.71798578739048935</v>
      </c>
      <c r="T69" s="47">
        <f t="shared" si="20"/>
        <v>-0.1080059479272677</v>
      </c>
    </row>
    <row r="70" spans="1:20">
      <c r="A70" s="51">
        <v>0</v>
      </c>
      <c r="B70" s="90">
        <v>32.330100000000002</v>
      </c>
      <c r="C70" s="12">
        <f t="shared" si="11"/>
        <v>10922.333333333334</v>
      </c>
      <c r="D70" s="13">
        <f t="shared" si="0"/>
        <v>328.38781573046953</v>
      </c>
      <c r="E70" s="3">
        <f t="shared" si="1"/>
        <v>4304</v>
      </c>
      <c r="F70" s="64">
        <f t="shared" si="2"/>
        <v>10320.427961058384</v>
      </c>
      <c r="G70" s="115">
        <f t="shared" si="3"/>
        <v>8.2812696265475494E-2</v>
      </c>
      <c r="H70" s="63">
        <f t="shared" si="12"/>
        <v>2724.7303175242105</v>
      </c>
      <c r="I70" s="63">
        <f t="shared" si="4"/>
        <v>272.47303175242104</v>
      </c>
      <c r="J70" s="63">
        <f t="shared" si="5"/>
        <v>-0.67696824757894092</v>
      </c>
      <c r="K70" s="12">
        <f t="shared" si="6"/>
        <v>-0.67696824757894092</v>
      </c>
      <c r="L70" s="12">
        <f t="shared" si="7"/>
        <v>0.45828600823010224</v>
      </c>
      <c r="M70" s="64">
        <f t="shared" si="13"/>
        <v>10320.427961058384</v>
      </c>
      <c r="N70" s="115">
        <f t="shared" si="14"/>
        <v>8.2812696265475494E-2</v>
      </c>
      <c r="O70" s="63">
        <f t="shared" si="15"/>
        <v>2724.8382262919936</v>
      </c>
      <c r="P70" s="63">
        <f t="shared" si="16"/>
        <v>272.48382262919938</v>
      </c>
      <c r="Q70" s="63">
        <f t="shared" si="17"/>
        <v>-0.66617737080059669</v>
      </c>
      <c r="R70" s="12">
        <f t="shared" si="18"/>
        <v>-0.66617737080059669</v>
      </c>
      <c r="S70" s="47">
        <f t="shared" si="19"/>
        <v>-0.66617737080059669</v>
      </c>
      <c r="T70" s="47">
        <f t="shared" si="20"/>
        <v>-0.10790876778344227</v>
      </c>
    </row>
    <row r="71" spans="1:20">
      <c r="A71" s="51">
        <v>1</v>
      </c>
      <c r="B71" s="90">
        <v>30.737300000000001</v>
      </c>
      <c r="C71" s="12">
        <f t="shared" si="11"/>
        <v>10922.333333333334</v>
      </c>
      <c r="D71" s="13">
        <f t="shared" si="0"/>
        <v>343.02395536316391</v>
      </c>
      <c r="E71" s="3">
        <f t="shared" si="1"/>
        <v>4496</v>
      </c>
      <c r="F71" s="64">
        <f t="shared" si="2"/>
        <v>10337.88943144017</v>
      </c>
      <c r="G71" s="115">
        <f t="shared" si="3"/>
        <v>8.6390860141711948E-2</v>
      </c>
      <c r="H71" s="63">
        <f t="shared" si="12"/>
        <v>2735.3490824131218</v>
      </c>
      <c r="I71" s="63">
        <f t="shared" si="4"/>
        <v>273.53490824131217</v>
      </c>
      <c r="J71" s="63">
        <f t="shared" si="5"/>
        <v>0.38490824131218915</v>
      </c>
      <c r="K71" s="12">
        <f t="shared" si="6"/>
        <v>-0.61509175868781085</v>
      </c>
      <c r="L71" s="12">
        <f t="shared" si="7"/>
        <v>0.37833787160566412</v>
      </c>
      <c r="M71" s="64">
        <f t="shared" si="13"/>
        <v>10337.88943144017</v>
      </c>
      <c r="N71" s="115">
        <f t="shared" si="14"/>
        <v>8.6390860141711948E-2</v>
      </c>
      <c r="O71" s="63">
        <f t="shared" si="15"/>
        <v>2735.4568823693662</v>
      </c>
      <c r="P71" s="63">
        <f t="shared" si="16"/>
        <v>273.5456882369366</v>
      </c>
      <c r="Q71" s="63">
        <f t="shared" si="17"/>
        <v>0.39568823693662125</v>
      </c>
      <c r="R71" s="12">
        <f t="shared" si="18"/>
        <v>-0.60431176306337875</v>
      </c>
      <c r="S71" s="47">
        <f t="shared" si="19"/>
        <v>-0.60431176306337875</v>
      </c>
      <c r="T71" s="47">
        <f t="shared" si="20"/>
        <v>-0.10779995624432104</v>
      </c>
    </row>
    <row r="72" spans="1:20">
      <c r="A72" s="51">
        <v>2</v>
      </c>
      <c r="B72" s="90">
        <v>29.232500000000002</v>
      </c>
      <c r="C72" s="12">
        <f t="shared" si="11"/>
        <v>10922.333333333334</v>
      </c>
      <c r="D72" s="13">
        <f t="shared" si="0"/>
        <v>358.1026802015628</v>
      </c>
      <c r="E72" s="3">
        <f t="shared" si="1"/>
        <v>4694</v>
      </c>
      <c r="F72" s="64">
        <f t="shared" si="2"/>
        <v>10355.896572771388</v>
      </c>
      <c r="G72" s="115">
        <f t="shared" si="3"/>
        <v>9.0070797704037892E-2</v>
      </c>
      <c r="H72" s="63">
        <f t="shared" si="12"/>
        <v>2746.0529402967977</v>
      </c>
      <c r="I72" s="63">
        <f t="shared" si="4"/>
        <v>274.60529402967978</v>
      </c>
      <c r="J72" s="63">
        <f t="shared" si="5"/>
        <v>1.4552940296798056</v>
      </c>
      <c r="K72" s="12">
        <f t="shared" si="6"/>
        <v>-0.54470597032019441</v>
      </c>
      <c r="L72" s="12">
        <f t="shared" si="7"/>
        <v>0.29670459410246453</v>
      </c>
      <c r="M72" s="64">
        <f t="shared" si="13"/>
        <v>10355.896572771388</v>
      </c>
      <c r="N72" s="115">
        <f t="shared" si="14"/>
        <v>9.0070797704037892E-2</v>
      </c>
      <c r="O72" s="63">
        <f t="shared" si="15"/>
        <v>2746.1606190775569</v>
      </c>
      <c r="P72" s="63">
        <f t="shared" si="16"/>
        <v>274.61606190775569</v>
      </c>
      <c r="Q72" s="63">
        <f t="shared" si="17"/>
        <v>1.4660619077557158</v>
      </c>
      <c r="R72" s="12">
        <f t="shared" si="18"/>
        <v>-0.53393809224428423</v>
      </c>
      <c r="S72" s="47">
        <f t="shared" si="19"/>
        <v>-0.53393809224428423</v>
      </c>
      <c r="T72" s="47">
        <f t="shared" si="20"/>
        <v>-0.10767878075910176</v>
      </c>
    </row>
    <row r="73" spans="1:20">
      <c r="A73" s="51">
        <v>3</v>
      </c>
      <c r="B73" s="90">
        <v>27.810300000000002</v>
      </c>
      <c r="C73" s="12">
        <f t="shared" si="11"/>
        <v>10922.333333333334</v>
      </c>
      <c r="D73" s="13">
        <f t="shared" si="0"/>
        <v>373.62505067006401</v>
      </c>
      <c r="E73" s="3">
        <f t="shared" si="1"/>
        <v>4897</v>
      </c>
      <c r="F73" s="64">
        <f t="shared" si="2"/>
        <v>10374.358439893796</v>
      </c>
      <c r="G73" s="115">
        <f t="shared" si="3"/>
        <v>9.3833118727747758E-2</v>
      </c>
      <c r="H73" s="63">
        <f t="shared" si="12"/>
        <v>2756.774739330408</v>
      </c>
      <c r="I73" s="63">
        <f t="shared" si="4"/>
        <v>275.6774739330408</v>
      </c>
      <c r="J73" s="63">
        <f t="shared" si="5"/>
        <v>2.5274739330408238</v>
      </c>
      <c r="K73" s="12">
        <f t="shared" si="6"/>
        <v>-0.47252606695917621</v>
      </c>
      <c r="L73" s="12">
        <f t="shared" si="7"/>
        <v>0.22328088395590787</v>
      </c>
      <c r="M73" s="64">
        <f t="shared" si="13"/>
        <v>10374.358439893796</v>
      </c>
      <c r="N73" s="115">
        <f t="shared" si="14"/>
        <v>9.3833118727747758E-2</v>
      </c>
      <c r="O73" s="63">
        <f t="shared" si="15"/>
        <v>2756.8822845090267</v>
      </c>
      <c r="P73" s="63">
        <f t="shared" si="16"/>
        <v>275.68822845090267</v>
      </c>
      <c r="Q73" s="63">
        <f t="shared" si="17"/>
        <v>2.5382284509026931</v>
      </c>
      <c r="R73" s="12">
        <f t="shared" si="18"/>
        <v>-0.46177154909730689</v>
      </c>
      <c r="S73" s="47">
        <f t="shared" si="19"/>
        <v>-0.46177154909730689</v>
      </c>
      <c r="T73" s="47">
        <f t="shared" si="20"/>
        <v>-0.10754517861869317</v>
      </c>
    </row>
    <row r="74" spans="1:20">
      <c r="A74" s="51">
        <v>4</v>
      </c>
      <c r="B74" s="90">
        <v>26.465599999999998</v>
      </c>
      <c r="C74" s="12">
        <f t="shared" si="11"/>
        <v>10922.333333333334</v>
      </c>
      <c r="D74" s="13">
        <f>$B$12*($B$9-$B$10)/(B74+$B$9)*1000</f>
        <v>389.59212600427139</v>
      </c>
      <c r="E74" s="3">
        <f t="shared" si="1"/>
        <v>5106</v>
      </c>
      <c r="F74" s="64">
        <f t="shared" si="2"/>
        <v>10393.365977965637</v>
      </c>
      <c r="G74" s="115">
        <f t="shared" si="3"/>
        <v>9.7695535007065931E-2</v>
      </c>
      <c r="H74" s="63">
        <f t="shared" si="12"/>
        <v>2767.5548064874679</v>
      </c>
      <c r="I74" s="63">
        <f t="shared" si="4"/>
        <v>276.75548064874681</v>
      </c>
      <c r="J74" s="63">
        <f t="shared" si="5"/>
        <v>3.605480648746834</v>
      </c>
      <c r="K74" s="12">
        <f t="shared" si="6"/>
        <v>-0.39451935125316595</v>
      </c>
      <c r="L74" s="12">
        <f t="shared" si="7"/>
        <v>0.15564551851321892</v>
      </c>
      <c r="M74" s="64">
        <f t="shared" si="13"/>
        <v>10393.365977965637</v>
      </c>
      <c r="N74" s="115">
        <f t="shared" si="14"/>
        <v>9.7695535007065931E-2</v>
      </c>
      <c r="O74" s="63">
        <f t="shared" si="15"/>
        <v>2767.6622042960221</v>
      </c>
      <c r="P74" s="63">
        <f t="shared" si="16"/>
        <v>276.76622042960219</v>
      </c>
      <c r="Q74" s="63">
        <f t="shared" si="17"/>
        <v>3.6162204296022082</v>
      </c>
      <c r="R74" s="12">
        <f t="shared" si="18"/>
        <v>-0.38377957039779176</v>
      </c>
      <c r="S74" s="47">
        <f t="shared" si="19"/>
        <v>-0.38377957039779176</v>
      </c>
      <c r="T74" s="47">
        <f t="shared" si="20"/>
        <v>-0.10739780855374192</v>
      </c>
    </row>
    <row r="75" spans="1:20">
      <c r="A75" s="51">
        <v>5</v>
      </c>
      <c r="B75" s="90">
        <v>25.1938</v>
      </c>
      <c r="C75" s="12">
        <f t="shared" si="11"/>
        <v>10922.333333333334</v>
      </c>
      <c r="D75" s="13">
        <f t="shared" si="0"/>
        <v>406.00222562247882</v>
      </c>
      <c r="E75" s="3">
        <f t="shared" si="1"/>
        <v>5322</v>
      </c>
      <c r="F75" s="64">
        <f t="shared" si="2"/>
        <v>10413.010132145148</v>
      </c>
      <c r="G75" s="115">
        <f t="shared" si="3"/>
        <v>0.10167552566744603</v>
      </c>
      <c r="H75" s="63">
        <f>$K$3*G75^3+$K$4*G75^2+$K$5*G75^1+$K$6</f>
        <v>2778.4291863388771</v>
      </c>
      <c r="I75" s="63">
        <f t="shared" si="4"/>
        <v>277.84291863388773</v>
      </c>
      <c r="J75" s="63">
        <f t="shared" si="5"/>
        <v>4.6929186338877571</v>
      </c>
      <c r="K75" s="12">
        <f t="shared" si="6"/>
        <v>-0.3070813661122429</v>
      </c>
      <c r="L75" s="12">
        <f t="shared" si="7"/>
        <v>9.4298965413361371E-2</v>
      </c>
      <c r="M75" s="64">
        <f t="shared" si="13"/>
        <v>10413.010132145148</v>
      </c>
      <c r="N75" s="115">
        <f t="shared" si="14"/>
        <v>0.10167552566744603</v>
      </c>
      <c r="O75" s="63">
        <f t="shared" si="15"/>
        <v>2778.5364214701258</v>
      </c>
      <c r="P75" s="63">
        <f t="shared" si="16"/>
        <v>277.85364214701258</v>
      </c>
      <c r="Q75" s="63">
        <f t="shared" si="17"/>
        <v>4.7036421470126015</v>
      </c>
      <c r="R75" s="12">
        <f t="shared" si="18"/>
        <v>-0.29635785298739847</v>
      </c>
      <c r="S75" s="47">
        <f t="shared" si="19"/>
        <v>-0.29635785298739847</v>
      </c>
      <c r="T75" s="47">
        <f t="shared" si="20"/>
        <v>-0.1072351312484443</v>
      </c>
    </row>
    <row r="76" spans="1:20">
      <c r="A76" s="51">
        <v>6</v>
      </c>
      <c r="B76" s="90">
        <v>23.990600000000001</v>
      </c>
      <c r="C76" s="12">
        <f t="shared" si="11"/>
        <v>10922.333333333334</v>
      </c>
      <c r="D76" s="13">
        <f t="shared" si="0"/>
        <v>422.85257980172884</v>
      </c>
      <c r="E76" s="3">
        <f t="shared" si="1"/>
        <v>5542</v>
      </c>
      <c r="F76" s="64">
        <f t="shared" si="2"/>
        <v>10433.018066957611</v>
      </c>
      <c r="G76" s="115">
        <f t="shared" si="3"/>
        <v>0.10571695705475567</v>
      </c>
      <c r="H76" s="63">
        <f t="shared" si="12"/>
        <v>2789.235725840681</v>
      </c>
      <c r="I76" s="63">
        <f t="shared" si="4"/>
        <v>278.9235725840681</v>
      </c>
      <c r="J76" s="63">
        <f t="shared" si="5"/>
        <v>5.7735725840681198</v>
      </c>
      <c r="K76" s="12">
        <f t="shared" si="6"/>
        <v>-0.2264274159318802</v>
      </c>
      <c r="L76" s="12">
        <f t="shared" si="7"/>
        <v>5.1269374685588676E-2</v>
      </c>
      <c r="M76" s="64">
        <f t="shared" si="13"/>
        <v>10433.018066957611</v>
      </c>
      <c r="N76" s="115">
        <f t="shared" si="14"/>
        <v>0.10571695705475567</v>
      </c>
      <c r="O76" s="63">
        <f t="shared" si="15"/>
        <v>2789.3427845480956</v>
      </c>
      <c r="P76" s="63">
        <f t="shared" si="16"/>
        <v>278.93427845480954</v>
      </c>
      <c r="Q76" s="63">
        <f t="shared" si="17"/>
        <v>5.7842784548095665</v>
      </c>
      <c r="R76" s="12">
        <f t="shared" si="18"/>
        <v>-0.21572154519043352</v>
      </c>
      <c r="S76" s="47">
        <f t="shared" si="19"/>
        <v>-0.21572154519043352</v>
      </c>
      <c r="T76" s="47">
        <f t="shared" si="20"/>
        <v>-0.10705870741446688</v>
      </c>
    </row>
    <row r="77" spans="1:20">
      <c r="A77" s="51">
        <v>7</v>
      </c>
      <c r="B77" s="90">
        <v>22.851800000000001</v>
      </c>
      <c r="C77" s="12">
        <f t="shared" si="11"/>
        <v>10922.333333333334</v>
      </c>
      <c r="D77" s="13">
        <f t="shared" si="0"/>
        <v>440.1421093071184</v>
      </c>
      <c r="E77" s="3">
        <f t="shared" si="1"/>
        <v>5769</v>
      </c>
      <c r="F77" s="64">
        <f t="shared" si="2"/>
        <v>10453.662617877744</v>
      </c>
      <c r="G77" s="115">
        <f t="shared" si="3"/>
        <v>0.10987406680958525</v>
      </c>
      <c r="H77" s="63">
        <f t="shared" si="12"/>
        <v>2800.1114799096545</v>
      </c>
      <c r="I77" s="63">
        <f t="shared" si="4"/>
        <v>280.01114799096547</v>
      </c>
      <c r="J77" s="63">
        <f t="shared" si="5"/>
        <v>6.8611479909654918</v>
      </c>
      <c r="K77" s="12">
        <f t="shared" si="6"/>
        <v>-0.13885200903450823</v>
      </c>
      <c r="L77" s="12">
        <f t="shared" si="7"/>
        <v>1.9279880412919153E-2</v>
      </c>
      <c r="M77" s="64">
        <f t="shared" si="13"/>
        <v>10453.662617877744</v>
      </c>
      <c r="N77" s="115">
        <f t="shared" si="14"/>
        <v>0.10987406680958525</v>
      </c>
      <c r="O77" s="63">
        <f t="shared" si="15"/>
        <v>2800.2183453356165</v>
      </c>
      <c r="P77" s="63">
        <f t="shared" si="16"/>
        <v>280.02183453356167</v>
      </c>
      <c r="Q77" s="63">
        <f t="shared" si="17"/>
        <v>6.8718345335616959</v>
      </c>
      <c r="R77" s="12">
        <f t="shared" si="18"/>
        <v>-0.12816546643830407</v>
      </c>
      <c r="S77" s="47">
        <f t="shared" si="19"/>
        <v>-0.12816546643830407</v>
      </c>
      <c r="T77" s="47">
        <f t="shared" si="20"/>
        <v>-0.10686542596204163</v>
      </c>
    </row>
    <row r="78" spans="1:20">
      <c r="A78" s="51">
        <v>8</v>
      </c>
      <c r="B78" s="90">
        <v>21.773700000000002</v>
      </c>
      <c r="C78" s="12">
        <f t="shared" si="11"/>
        <v>10922.333333333334</v>
      </c>
      <c r="D78" s="13">
        <f t="shared" si="0"/>
        <v>457.86536787967299</v>
      </c>
      <c r="E78" s="3">
        <f t="shared" si="1"/>
        <v>6001</v>
      </c>
      <c r="F78" s="64">
        <f t="shared" si="2"/>
        <v>10474.761894589068</v>
      </c>
      <c r="G78" s="115">
        <f t="shared" si="3"/>
        <v>0.11410925516397012</v>
      </c>
      <c r="H78" s="63">
        <f t="shared" si="12"/>
        <v>2810.9493187197618</v>
      </c>
      <c r="I78" s="63">
        <f t="shared" si="4"/>
        <v>281.0949318719762</v>
      </c>
      <c r="J78" s="63">
        <f t="shared" si="5"/>
        <v>7.9449318719762232</v>
      </c>
      <c r="K78" s="12">
        <f t="shared" si="6"/>
        <v>-5.5068128023776808E-2</v>
      </c>
      <c r="L78" s="12">
        <f t="shared" si="7"/>
        <v>3.0324987240430727E-3</v>
      </c>
      <c r="M78" s="64">
        <f t="shared" si="13"/>
        <v>10474.761894589068</v>
      </c>
      <c r="N78" s="115">
        <f t="shared" si="14"/>
        <v>0.11410925516397012</v>
      </c>
      <c r="O78" s="63">
        <f t="shared" si="15"/>
        <v>2811.0559749246145</v>
      </c>
      <c r="P78" s="63">
        <f t="shared" si="16"/>
        <v>281.10559749246147</v>
      </c>
      <c r="Q78" s="63">
        <f t="shared" si="17"/>
        <v>7.9555974924614929</v>
      </c>
      <c r="R78" s="12">
        <f t="shared" si="18"/>
        <v>-4.4402507538507052E-2</v>
      </c>
      <c r="S78" s="47">
        <f t="shared" si="19"/>
        <v>-4.4402507538507052E-2</v>
      </c>
      <c r="T78" s="47">
        <f t="shared" si="20"/>
        <v>-0.10665620485269756</v>
      </c>
    </row>
    <row r="79" spans="1:20">
      <c r="A79" s="51">
        <v>9</v>
      </c>
      <c r="B79" s="90">
        <v>20.752700000000001</v>
      </c>
      <c r="C79" s="12">
        <f t="shared" si="11"/>
        <v>10922.333333333334</v>
      </c>
      <c r="D79" s="13">
        <f t="shared" si="0"/>
        <v>476.01804859296311</v>
      </c>
      <c r="E79" s="3">
        <f t="shared" si="1"/>
        <v>6239</v>
      </c>
      <c r="F79" s="64">
        <f t="shared" si="2"/>
        <v>10496.406842249826</v>
      </c>
      <c r="G79" s="115">
        <f t="shared" si="3"/>
        <v>0.1184398743303717</v>
      </c>
      <c r="H79" s="63">
        <f t="shared" si="12"/>
        <v>2821.7873723398379</v>
      </c>
      <c r="I79" s="63">
        <f t="shared" si="4"/>
        <v>282.17873723398378</v>
      </c>
      <c r="J79" s="63">
        <f t="shared" si="5"/>
        <v>9.0287372339838043</v>
      </c>
      <c r="K79" s="12">
        <f t="shared" si="6"/>
        <v>2.8737233983804344E-2</v>
      </c>
      <c r="L79" s="12">
        <f t="shared" si="7"/>
        <v>8.2582861703991929E-4</v>
      </c>
      <c r="M79" s="64">
        <f t="shared" si="13"/>
        <v>10496.406842249826</v>
      </c>
      <c r="N79" s="115">
        <f t="shared" si="14"/>
        <v>0.1184398743303717</v>
      </c>
      <c r="O79" s="63">
        <f t="shared" si="15"/>
        <v>2821.8938017669193</v>
      </c>
      <c r="P79" s="63">
        <f t="shared" si="16"/>
        <v>282.18938017669194</v>
      </c>
      <c r="Q79" s="63">
        <f t="shared" si="17"/>
        <v>9.0393801766919637</v>
      </c>
      <c r="R79" s="12">
        <f t="shared" si="18"/>
        <v>3.9380176691963698E-2</v>
      </c>
      <c r="S79" s="47">
        <f t="shared" si="19"/>
        <v>3.9380176691963698E-2</v>
      </c>
      <c r="T79" s="47">
        <f t="shared" si="20"/>
        <v>-0.10642942708159353</v>
      </c>
    </row>
    <row r="80" spans="1:20">
      <c r="A80" s="51">
        <v>10</v>
      </c>
      <c r="B80" s="90">
        <v>19.785399999999999</v>
      </c>
      <c r="C80" s="12">
        <f t="shared" si="11"/>
        <v>10922.333333333334</v>
      </c>
      <c r="D80" s="13">
        <f t="shared" si="0"/>
        <v>494.59560870512485</v>
      </c>
      <c r="E80" s="3">
        <f t="shared" si="1"/>
        <v>6483</v>
      </c>
      <c r="F80" s="64">
        <f t="shared" si="2"/>
        <v>10518.597460860012</v>
      </c>
      <c r="G80" s="115">
        <f t="shared" si="3"/>
        <v>0.12286491727787188</v>
      </c>
      <c r="H80" s="63">
        <f t="shared" si="12"/>
        <v>2832.6162482224863</v>
      </c>
      <c r="I80" s="63">
        <f t="shared" si="4"/>
        <v>283.26162482224862</v>
      </c>
      <c r="J80" s="63">
        <f t="shared" si="5"/>
        <v>10.111624822248643</v>
      </c>
      <c r="K80" s="12">
        <f t="shared" si="6"/>
        <v>0.11162482224864334</v>
      </c>
      <c r="L80" s="12">
        <f t="shared" si="7"/>
        <v>1.2460100942041221E-2</v>
      </c>
      <c r="M80" s="64">
        <f t="shared" si="13"/>
        <v>10518.597460860012</v>
      </c>
      <c r="N80" s="115">
        <f t="shared" si="14"/>
        <v>0.12286491727787188</v>
      </c>
      <c r="O80" s="63">
        <f t="shared" si="15"/>
        <v>2832.7224325190632</v>
      </c>
      <c r="P80" s="63">
        <f t="shared" si="16"/>
        <v>283.27224325190633</v>
      </c>
      <c r="Q80" s="63">
        <f t="shared" si="17"/>
        <v>10.122243251906355</v>
      </c>
      <c r="R80" s="12">
        <f t="shared" si="18"/>
        <v>0.12224325190635454</v>
      </c>
      <c r="S80" s="47">
        <f t="shared" si="19"/>
        <v>0.12224325190635454</v>
      </c>
      <c r="T80" s="47">
        <f t="shared" si="20"/>
        <v>-0.10618429657711204</v>
      </c>
    </row>
    <row r="81" spans="1:20">
      <c r="A81" s="51">
        <v>11</v>
      </c>
      <c r="B81" s="90">
        <v>18.868200000000002</v>
      </c>
      <c r="C81" s="12">
        <f t="shared" si="11"/>
        <v>10922.333333333334</v>
      </c>
      <c r="D81" s="13">
        <f t="shared" si="0"/>
        <v>513.60177977392516</v>
      </c>
      <c r="E81" s="3">
        <f>ROUND($B$11*($B$9-$B$10)/(($B$9+B81)*$B$13),0)</f>
        <v>6732</v>
      </c>
      <c r="F81" s="64">
        <f t="shared" ref="F81:F112" si="21">$E81+($C81-$E81)*(32767-$F$2)/(32767-$C81)</f>
        <v>10541.242805261392</v>
      </c>
      <c r="G81" s="115">
        <f t="shared" si="3"/>
        <v>0.12736531746137847</v>
      </c>
      <c r="H81" s="63">
        <f t="shared" si="12"/>
        <v>2843.3849185363561</v>
      </c>
      <c r="I81" s="63">
        <f t="shared" si="4"/>
        <v>284.33849185363562</v>
      </c>
      <c r="J81" s="63">
        <f t="shared" si="5"/>
        <v>11.188491853635639</v>
      </c>
      <c r="K81" s="12">
        <f t="shared" ref="K81:K112" si="22">(J81-A81)</f>
        <v>0.18849185363563947</v>
      </c>
      <c r="L81" s="12">
        <f t="shared" si="7"/>
        <v>3.5529178886999337E-2</v>
      </c>
      <c r="M81" s="64">
        <f t="shared" si="13"/>
        <v>10541.242805261392</v>
      </c>
      <c r="N81" s="115">
        <f t="shared" si="14"/>
        <v>0.12736531746137847</v>
      </c>
      <c r="O81" s="63">
        <f t="shared" si="15"/>
        <v>2843.4908396323826</v>
      </c>
      <c r="P81" s="63">
        <f t="shared" si="16"/>
        <v>284.34908396323829</v>
      </c>
      <c r="Q81" s="63">
        <f t="shared" si="17"/>
        <v>11.199083963238309</v>
      </c>
      <c r="R81" s="12">
        <f t="shared" si="18"/>
        <v>0.19908396323830857</v>
      </c>
      <c r="S81" s="47">
        <f t="shared" si="19"/>
        <v>0.19908396323830857</v>
      </c>
      <c r="T81" s="47">
        <f t="shared" si="20"/>
        <v>-0.10592109602669098</v>
      </c>
    </row>
    <row r="82" spans="1:20">
      <c r="A82" s="51">
        <v>12</v>
      </c>
      <c r="B82" s="90">
        <v>17.998799999999999</v>
      </c>
      <c r="C82" s="12">
        <f t="shared" si="11"/>
        <v>10922.333333333334</v>
      </c>
      <c r="D82" s="13">
        <f t="shared" si="0"/>
        <v>533.01694001426165</v>
      </c>
      <c r="E82" s="3">
        <f t="shared" si="1"/>
        <v>6986</v>
      </c>
      <c r="F82" s="64">
        <f t="shared" si="21"/>
        <v>10564.342875453964</v>
      </c>
      <c r="G82" s="115">
        <f t="shared" si="3"/>
        <v>0.1319402244560379</v>
      </c>
      <c r="H82" s="63">
        <f t="shared" si="12"/>
        <v>2854.0894399504978</v>
      </c>
      <c r="I82" s="63">
        <f t="shared" si="4"/>
        <v>285.40894399504975</v>
      </c>
      <c r="J82" s="63">
        <f t="shared" si="5"/>
        <v>12.258943995049776</v>
      </c>
      <c r="K82" s="12">
        <f t="shared" si="22"/>
        <v>0.25894399504977628</v>
      </c>
      <c r="L82" s="12">
        <f t="shared" si="7"/>
        <v>6.7051992572338556E-2</v>
      </c>
      <c r="M82" s="64">
        <f t="shared" si="13"/>
        <v>10564.342875453964</v>
      </c>
      <c r="N82" s="115">
        <f t="shared" si="14"/>
        <v>0.1319402244560379</v>
      </c>
      <c r="O82" s="63">
        <f t="shared" si="15"/>
        <v>2854.1950791313861</v>
      </c>
      <c r="P82" s="63">
        <f t="shared" si="16"/>
        <v>285.4195079131386</v>
      </c>
      <c r="Q82" s="63">
        <f t="shared" si="17"/>
        <v>12.269507913138625</v>
      </c>
      <c r="R82" s="12">
        <f t="shared" si="18"/>
        <v>0.2695079131386251</v>
      </c>
      <c r="S82" s="47">
        <f t="shared" si="19"/>
        <v>0.2695079131386251</v>
      </c>
      <c r="T82" s="47">
        <f t="shared" si="20"/>
        <v>-0.10563918088848823</v>
      </c>
    </row>
    <row r="83" spans="1:20">
      <c r="A83" s="51">
        <v>13</v>
      </c>
      <c r="B83" s="90">
        <v>17.174399999999999</v>
      </c>
      <c r="C83" s="12">
        <f t="shared" si="11"/>
        <v>10922.333333333334</v>
      </c>
      <c r="D83" s="13">
        <f t="shared" si="0"/>
        <v>552.83344757919053</v>
      </c>
      <c r="E83" s="3">
        <f t="shared" si="1"/>
        <v>7246</v>
      </c>
      <c r="F83" s="64">
        <f t="shared" si="21"/>
        <v>10587.988616595967</v>
      </c>
      <c r="G83" s="115">
        <f t="shared" si="3"/>
        <v>0.13660669446161072</v>
      </c>
      <c r="H83" s="63">
        <f t="shared" si="12"/>
        <v>2864.7674047047367</v>
      </c>
      <c r="I83" s="63">
        <f t="shared" si="4"/>
        <v>286.47674047047366</v>
      </c>
      <c r="J83" s="63">
        <f t="shared" si="5"/>
        <v>13.32674047047368</v>
      </c>
      <c r="K83" s="12">
        <f t="shared" si="22"/>
        <v>0.32674047047368049</v>
      </c>
      <c r="L83" s="12">
        <f t="shared" si="7"/>
        <v>0.10675933504536207</v>
      </c>
      <c r="M83" s="64">
        <f t="shared" si="13"/>
        <v>10587.988616595967</v>
      </c>
      <c r="N83" s="115">
        <f t="shared" si="14"/>
        <v>0.13660669446161072</v>
      </c>
      <c r="O83" s="63">
        <f t="shared" si="15"/>
        <v>2864.8727414216587</v>
      </c>
      <c r="P83" s="63">
        <f t="shared" si="16"/>
        <v>286.48727414216586</v>
      </c>
      <c r="Q83" s="63">
        <f t="shared" si="17"/>
        <v>13.337274142165882</v>
      </c>
      <c r="R83" s="12">
        <f t="shared" si="18"/>
        <v>0.33727414216588159</v>
      </c>
      <c r="S83" s="47">
        <f t="shared" si="19"/>
        <v>0.33727414216588159</v>
      </c>
      <c r="T83" s="47">
        <f t="shared" si="20"/>
        <v>-0.10533671692201096</v>
      </c>
    </row>
    <row r="84" spans="1:20">
      <c r="A84" s="51">
        <v>14</v>
      </c>
      <c r="B84" s="90">
        <v>16.392600000000002</v>
      </c>
      <c r="C84" s="12">
        <f t="shared" si="11"/>
        <v>10922.333333333334</v>
      </c>
      <c r="D84" s="13">
        <f t="shared" si="0"/>
        <v>573.03693800660039</v>
      </c>
      <c r="E84" s="3">
        <f t="shared" si="1"/>
        <v>7511</v>
      </c>
      <c r="F84" s="64">
        <f t="shared" si="21"/>
        <v>10612.089083529161</v>
      </c>
      <c r="G84" s="115">
        <f t="shared" si="3"/>
        <v>0.14134581279504169</v>
      </c>
      <c r="H84" s="63">
        <f t="shared" si="12"/>
        <v>2875.3742892068171</v>
      </c>
      <c r="I84" s="63">
        <f t="shared" si="4"/>
        <v>287.53742892068169</v>
      </c>
      <c r="J84" s="63">
        <f t="shared" si="5"/>
        <v>14.387428920681714</v>
      </c>
      <c r="K84" s="12">
        <f t="shared" si="22"/>
        <v>0.38742892068171386</v>
      </c>
      <c r="L84" s="12">
        <f t="shared" si="7"/>
        <v>0.15010116858059774</v>
      </c>
      <c r="M84" s="64">
        <f t="shared" si="13"/>
        <v>10612.089083529161</v>
      </c>
      <c r="N84" s="115">
        <f t="shared" si="14"/>
        <v>0.14134581279504169</v>
      </c>
      <c r="O84" s="63">
        <f t="shared" si="15"/>
        <v>2875.4793033496244</v>
      </c>
      <c r="P84" s="63">
        <f t="shared" si="16"/>
        <v>287.54793033496242</v>
      </c>
      <c r="Q84" s="63">
        <f t="shared" si="17"/>
        <v>14.397930334962439</v>
      </c>
      <c r="R84" s="12">
        <f t="shared" si="18"/>
        <v>0.39793033496243879</v>
      </c>
      <c r="S84" s="47">
        <f t="shared" si="19"/>
        <v>0.39793033496243879</v>
      </c>
      <c r="T84" s="47">
        <f t="shared" si="20"/>
        <v>-0.1050141428072493</v>
      </c>
    </row>
    <row r="85" spans="1:20">
      <c r="A85" s="51">
        <v>15</v>
      </c>
      <c r="B85" s="90">
        <v>15.6508</v>
      </c>
      <c r="C85" s="12">
        <f t="shared" si="11"/>
        <v>10922.333333333334</v>
      </c>
      <c r="D85" s="13">
        <f t="shared" si="0"/>
        <v>593.62107037015517</v>
      </c>
      <c r="E85" s="3">
        <f t="shared" si="1"/>
        <v>7781</v>
      </c>
      <c r="F85" s="64">
        <f t="shared" si="21"/>
        <v>10636.644276253548</v>
      </c>
      <c r="G85" s="115">
        <f t="shared" si="3"/>
        <v>0.14615669918693258</v>
      </c>
      <c r="H85" s="63">
        <f t="shared" si="12"/>
        <v>2885.9093262323909</v>
      </c>
      <c r="I85" s="63">
        <f t="shared" si="4"/>
        <v>288.5909326232391</v>
      </c>
      <c r="J85" s="63">
        <f t="shared" si="5"/>
        <v>15.440932623239121</v>
      </c>
      <c r="K85" s="12">
        <f t="shared" si="22"/>
        <v>0.44093262323912086</v>
      </c>
      <c r="L85" s="12">
        <f t="shared" si="7"/>
        <v>0.1944215782365325</v>
      </c>
      <c r="M85" s="64">
        <f t="shared" si="13"/>
        <v>10636.644276253548</v>
      </c>
      <c r="N85" s="115">
        <f t="shared" si="14"/>
        <v>0.14615669918693258</v>
      </c>
      <c r="O85" s="63">
        <f t="shared" si="15"/>
        <v>2886.0139970480191</v>
      </c>
      <c r="P85" s="63">
        <f t="shared" si="16"/>
        <v>288.60139970480191</v>
      </c>
      <c r="Q85" s="63">
        <f t="shared" si="17"/>
        <v>15.451399704801929</v>
      </c>
      <c r="R85" s="12">
        <f t="shared" si="18"/>
        <v>0.45139970480192915</v>
      </c>
      <c r="S85" s="47">
        <f t="shared" si="19"/>
        <v>0.45139970480192915</v>
      </c>
      <c r="T85" s="47">
        <f t="shared" si="20"/>
        <v>-0.10467081562808289</v>
      </c>
    </row>
    <row r="86" spans="1:20">
      <c r="A86" s="51">
        <v>16</v>
      </c>
      <c r="B86" s="90">
        <v>14.946899999999999</v>
      </c>
      <c r="C86" s="12">
        <f t="shared" si="11"/>
        <v>10922.333333333334</v>
      </c>
      <c r="D86" s="13">
        <f t="shared" si="0"/>
        <v>614.56918117602243</v>
      </c>
      <c r="E86" s="3">
        <f t="shared" si="1"/>
        <v>8055</v>
      </c>
      <c r="F86" s="64">
        <f t="shared" si="21"/>
        <v>10661.56324961089</v>
      </c>
      <c r="G86" s="115">
        <f t="shared" si="3"/>
        <v>0.15102074640212707</v>
      </c>
      <c r="H86" s="63">
        <f t="shared" si="12"/>
        <v>2896.3352584493964</v>
      </c>
      <c r="I86" s="63">
        <f t="shared" si="4"/>
        <v>289.63352584493964</v>
      </c>
      <c r="J86" s="63">
        <f t="shared" si="5"/>
        <v>16.483525844939663</v>
      </c>
      <c r="K86" s="12">
        <f t="shared" si="22"/>
        <v>0.48352584493966333</v>
      </c>
      <c r="L86" s="12">
        <f t="shared" si="7"/>
        <v>0.23379724272461536</v>
      </c>
      <c r="M86" s="64">
        <f t="shared" si="13"/>
        <v>10661.56324961089</v>
      </c>
      <c r="N86" s="115">
        <f t="shared" si="14"/>
        <v>0.15102074640212707</v>
      </c>
      <c r="O86" s="63">
        <f t="shared" si="15"/>
        <v>2896.4395658975504</v>
      </c>
      <c r="P86" s="63">
        <f t="shared" si="16"/>
        <v>289.64395658975502</v>
      </c>
      <c r="Q86" s="63">
        <f t="shared" si="17"/>
        <v>16.493956589755044</v>
      </c>
      <c r="R86" s="12">
        <f t="shared" si="18"/>
        <v>0.49395658975504375</v>
      </c>
      <c r="S86" s="47">
        <f t="shared" si="19"/>
        <v>0.49395658975504375</v>
      </c>
      <c r="T86" s="47">
        <f t="shared" si="20"/>
        <v>-0.10430744815380422</v>
      </c>
    </row>
    <row r="87" spans="1:20">
      <c r="A87" s="51">
        <v>17</v>
      </c>
      <c r="B87" s="90">
        <v>14.278600000000001</v>
      </c>
      <c r="C87" s="12">
        <f t="shared" si="11"/>
        <v>10922.333333333334</v>
      </c>
      <c r="D87" s="13">
        <f t="shared" si="0"/>
        <v>635.87345554137755</v>
      </c>
      <c r="E87" s="3">
        <f t="shared" si="1"/>
        <v>8335</v>
      </c>
      <c r="F87" s="64">
        <f t="shared" si="21"/>
        <v>10687.027893917662</v>
      </c>
      <c r="G87" s="115">
        <f t="shared" si="3"/>
        <v>0.15597256291559733</v>
      </c>
      <c r="H87" s="63">
        <f t="shared" si="12"/>
        <v>2906.7295969858151</v>
      </c>
      <c r="I87" s="63">
        <f t="shared" si="4"/>
        <v>290.67295969858151</v>
      </c>
      <c r="J87" s="63">
        <f t="shared" si="5"/>
        <v>17.522959698581531</v>
      </c>
      <c r="K87" s="12">
        <f t="shared" si="22"/>
        <v>0.52295969858153057</v>
      </c>
      <c r="L87" s="12">
        <f t="shared" si="7"/>
        <v>0.27348684634048531</v>
      </c>
      <c r="M87" s="64">
        <f t="shared" si="13"/>
        <v>10687.027893917662</v>
      </c>
      <c r="N87" s="115">
        <f t="shared" si="14"/>
        <v>0.15597256291559733</v>
      </c>
      <c r="O87" s="63">
        <f t="shared" si="15"/>
        <v>2906.8335177362665</v>
      </c>
      <c r="P87" s="63">
        <f t="shared" si="16"/>
        <v>290.68335177362667</v>
      </c>
      <c r="Q87" s="63">
        <f t="shared" si="17"/>
        <v>17.533351773626691</v>
      </c>
      <c r="R87" s="12">
        <f t="shared" si="18"/>
        <v>0.53335177362669128</v>
      </c>
      <c r="S87" s="47">
        <f t="shared" si="19"/>
        <v>0.53335177362669128</v>
      </c>
      <c r="T87" s="47">
        <f t="shared" si="20"/>
        <v>-0.10392075045160709</v>
      </c>
    </row>
    <row r="88" spans="1:20">
      <c r="A88" s="51">
        <v>18</v>
      </c>
      <c r="B88" s="90">
        <v>13.644</v>
      </c>
      <c r="C88" s="12">
        <f t="shared" si="11"/>
        <v>10922.333333333334</v>
      </c>
      <c r="D88" s="13">
        <f t="shared" si="0"/>
        <v>657.51716369877727</v>
      </c>
      <c r="E88" s="3">
        <f t="shared" si="1"/>
        <v>8618</v>
      </c>
      <c r="F88" s="64">
        <f t="shared" si="21"/>
        <v>10712.765373699149</v>
      </c>
      <c r="G88" s="115">
        <f t="shared" si="3"/>
        <v>0.16095829282309992</v>
      </c>
      <c r="H88" s="63">
        <f t="shared" si="12"/>
        <v>2916.9847748813449</v>
      </c>
      <c r="I88" s="63">
        <f t="shared" si="4"/>
        <v>291.69847748813447</v>
      </c>
      <c r="J88" s="63">
        <f t="shared" si="5"/>
        <v>18.548477488134495</v>
      </c>
      <c r="K88" s="12">
        <f t="shared" si="22"/>
        <v>0.54847748813449471</v>
      </c>
      <c r="L88" s="12">
        <f t="shared" si="7"/>
        <v>0.30082755499032476</v>
      </c>
      <c r="M88" s="64">
        <f t="shared" si="13"/>
        <v>10712.765373699149</v>
      </c>
      <c r="N88" s="115">
        <f t="shared" si="14"/>
        <v>0.16095829282309992</v>
      </c>
      <c r="O88" s="63">
        <f t="shared" si="15"/>
        <v>2917.0882891954075</v>
      </c>
      <c r="P88" s="63">
        <f t="shared" si="16"/>
        <v>291.70882891954074</v>
      </c>
      <c r="Q88" s="63">
        <f t="shared" si="17"/>
        <v>18.558828919540758</v>
      </c>
      <c r="R88" s="12">
        <f t="shared" si="18"/>
        <v>0.55882891954075831</v>
      </c>
      <c r="S88" s="47">
        <f t="shared" si="19"/>
        <v>0.55882891954075831</v>
      </c>
      <c r="T88" s="47">
        <f t="shared" si="20"/>
        <v>-0.103514314062636</v>
      </c>
    </row>
    <row r="89" spans="1:20">
      <c r="A89" s="51">
        <v>19</v>
      </c>
      <c r="B89" s="90">
        <v>13.0411</v>
      </c>
      <c r="C89" s="12">
        <f t="shared" si="11"/>
        <v>10922.333333333334</v>
      </c>
      <c r="D89" s="13">
        <f t="shared" si="0"/>
        <v>679.49016412524747</v>
      </c>
      <c r="E89" s="3">
        <f t="shared" si="1"/>
        <v>8906</v>
      </c>
      <c r="F89" s="64">
        <f t="shared" si="21"/>
        <v>10738.95757927183</v>
      </c>
      <c r="G89" s="115">
        <f t="shared" si="3"/>
        <v>0.16601246704491143</v>
      </c>
      <c r="H89" s="63">
        <f t="shared" si="12"/>
        <v>2927.1794362660194</v>
      </c>
      <c r="I89" s="63">
        <f t="shared" si="4"/>
        <v>292.71794362660194</v>
      </c>
      <c r="J89" s="63">
        <f t="shared" si="5"/>
        <v>19.567943626601959</v>
      </c>
      <c r="K89" s="12">
        <f t="shared" si="22"/>
        <v>0.56794362660195929</v>
      </c>
      <c r="L89" s="12">
        <f t="shared" si="7"/>
        <v>0.32255996299778578</v>
      </c>
      <c r="M89" s="64">
        <f t="shared" si="13"/>
        <v>10738.95757927183</v>
      </c>
      <c r="N89" s="115">
        <f t="shared" si="14"/>
        <v>0.16601246704491143</v>
      </c>
      <c r="O89" s="63">
        <f t="shared" si="15"/>
        <v>2927.2825210683668</v>
      </c>
      <c r="P89" s="63">
        <f t="shared" si="16"/>
        <v>292.72825210683669</v>
      </c>
      <c r="Q89" s="63">
        <f t="shared" si="17"/>
        <v>19.578252106836715</v>
      </c>
      <c r="R89" s="12">
        <f t="shared" si="18"/>
        <v>0.57825210683671457</v>
      </c>
      <c r="S89" s="47">
        <f t="shared" si="19"/>
        <v>0.57825210683671457</v>
      </c>
      <c r="T89" s="47">
        <f t="shared" si="20"/>
        <v>-0.1030848023475528</v>
      </c>
    </row>
    <row r="90" spans="1:20">
      <c r="A90" s="51">
        <v>20</v>
      </c>
      <c r="B90" s="90">
        <v>12.468299999999999</v>
      </c>
      <c r="C90" s="12">
        <f t="shared" si="11"/>
        <v>10922.333333333334</v>
      </c>
      <c r="D90" s="13">
        <f t="shared" si="0"/>
        <v>701.77120841753356</v>
      </c>
      <c r="E90" s="3">
        <f t="shared" si="1"/>
        <v>9198</v>
      </c>
      <c r="F90" s="64">
        <f t="shared" si="21"/>
        <v>10765.513565477462</v>
      </c>
      <c r="G90" s="115">
        <f t="shared" si="3"/>
        <v>0.17111672675422288</v>
      </c>
      <c r="H90" s="63">
        <f t="shared" si="12"/>
        <v>2937.2840165053435</v>
      </c>
      <c r="I90" s="63">
        <f t="shared" si="4"/>
        <v>293.72840165053435</v>
      </c>
      <c r="J90" s="63">
        <f t="shared" si="5"/>
        <v>20.578401650534374</v>
      </c>
      <c r="K90" s="12">
        <f t="shared" si="22"/>
        <v>0.57840165053437431</v>
      </c>
      <c r="L90" s="12">
        <f t="shared" si="7"/>
        <v>0.33454846934088844</v>
      </c>
      <c r="M90" s="64">
        <f t="shared" si="13"/>
        <v>10765.513565477462</v>
      </c>
      <c r="N90" s="115">
        <f t="shared" si="14"/>
        <v>0.17111672675422288</v>
      </c>
      <c r="O90" s="63">
        <f t="shared" si="15"/>
        <v>2937.3866496697819</v>
      </c>
      <c r="P90" s="63">
        <f t="shared" si="16"/>
        <v>293.73866496697821</v>
      </c>
      <c r="Q90" s="63">
        <f t="shared" si="17"/>
        <v>20.588664966978229</v>
      </c>
      <c r="R90" s="12">
        <f t="shared" si="18"/>
        <v>0.58866496697822868</v>
      </c>
      <c r="S90" s="47">
        <f t="shared" si="19"/>
        <v>0.58866496697822868</v>
      </c>
      <c r="T90" s="47">
        <f t="shared" si="20"/>
        <v>-0.10263316443854364</v>
      </c>
    </row>
    <row r="91" spans="1:20">
      <c r="A91" s="51">
        <v>21</v>
      </c>
      <c r="B91" s="90">
        <v>11.9238</v>
      </c>
      <c r="C91" s="12">
        <f t="shared" si="11"/>
        <v>10922.333333333334</v>
      </c>
      <c r="D91" s="13">
        <f t="shared" si="0"/>
        <v>724.34973232961875</v>
      </c>
      <c r="E91" s="3">
        <f t="shared" si="1"/>
        <v>9494</v>
      </c>
      <c r="F91" s="64">
        <f t="shared" si="21"/>
        <v>10792.43333231605</v>
      </c>
      <c r="G91" s="115">
        <f t="shared" si="3"/>
        <v>0.17627036202287977</v>
      </c>
      <c r="H91" s="63">
        <f t="shared" si="12"/>
        <v>2947.3065347614984</v>
      </c>
      <c r="I91" s="63">
        <f t="shared" si="4"/>
        <v>294.73065347614983</v>
      </c>
      <c r="J91" s="63">
        <f t="shared" si="5"/>
        <v>21.580653476149848</v>
      </c>
      <c r="K91" s="12">
        <f t="shared" si="22"/>
        <v>0.5806534761498483</v>
      </c>
      <c r="L91" s="12">
        <f t="shared" si="7"/>
        <v>0.33715845936490246</v>
      </c>
      <c r="M91" s="64">
        <f t="shared" si="13"/>
        <v>10792.43333231605</v>
      </c>
      <c r="N91" s="115">
        <f t="shared" si="14"/>
        <v>0.17627036202287977</v>
      </c>
      <c r="O91" s="63">
        <f t="shared" si="15"/>
        <v>2947.408693707906</v>
      </c>
      <c r="P91" s="63">
        <f t="shared" si="16"/>
        <v>294.74086937079062</v>
      </c>
      <c r="Q91" s="63">
        <f t="shared" si="17"/>
        <v>21.590869370790642</v>
      </c>
      <c r="R91" s="12">
        <f t="shared" si="18"/>
        <v>0.59086937079064228</v>
      </c>
      <c r="S91" s="47">
        <f t="shared" si="19"/>
        <v>0.59086937079064228</v>
      </c>
      <c r="T91" s="47">
        <f t="shared" si="20"/>
        <v>-0.10215894640793977</v>
      </c>
    </row>
    <row r="92" spans="1:20">
      <c r="A92" s="51">
        <v>22</v>
      </c>
      <c r="B92" s="90">
        <v>11.4061</v>
      </c>
      <c r="C92" s="12">
        <f t="shared" si="11"/>
        <v>10922.333333333334</v>
      </c>
      <c r="D92" s="13">
        <f t="shared" si="0"/>
        <v>747.20683160531757</v>
      </c>
      <c r="E92" s="3">
        <f t="shared" si="1"/>
        <v>9794</v>
      </c>
      <c r="F92" s="64">
        <f t="shared" si="21"/>
        <v>10819.716879787593</v>
      </c>
      <c r="G92" s="115">
        <f t="shared" si="3"/>
        <v>0.18147266056298617</v>
      </c>
      <c r="H92" s="63">
        <f t="shared" si="12"/>
        <v>2957.2559235797321</v>
      </c>
      <c r="I92" s="63">
        <f t="shared" si="4"/>
        <v>295.7255923579732</v>
      </c>
      <c r="J92" s="63">
        <f t="shared" si="5"/>
        <v>22.575592357973221</v>
      </c>
      <c r="K92" s="12">
        <f t="shared" si="22"/>
        <v>0.57559235797322117</v>
      </c>
      <c r="L92" s="12">
        <f t="shared" si="7"/>
        <v>0.33130656255717278</v>
      </c>
      <c r="M92" s="64">
        <f t="shared" si="13"/>
        <v>10819.716879787593</v>
      </c>
      <c r="N92" s="115">
        <f t="shared" si="14"/>
        <v>0.18147266056298617</v>
      </c>
      <c r="O92" s="63">
        <f t="shared" si="15"/>
        <v>2957.3575852797549</v>
      </c>
      <c r="P92" s="63">
        <f t="shared" si="16"/>
        <v>295.73575852797546</v>
      </c>
      <c r="Q92" s="63">
        <f t="shared" si="17"/>
        <v>22.585758527975486</v>
      </c>
      <c r="R92" s="12">
        <f t="shared" si="18"/>
        <v>0.58575852797548578</v>
      </c>
      <c r="S92" s="47">
        <f t="shared" si="19"/>
        <v>0.58575852797548578</v>
      </c>
      <c r="T92" s="47">
        <f t="shared" si="20"/>
        <v>-0.10166170002264607</v>
      </c>
    </row>
    <row r="93" spans="1:20">
      <c r="A93" s="51">
        <v>23</v>
      </c>
      <c r="B93" s="90">
        <v>10.9139</v>
      </c>
      <c r="C93" s="12">
        <f t="shared" si="11"/>
        <v>10922.333333333334</v>
      </c>
      <c r="D93" s="13">
        <f t="shared" si="0"/>
        <v>770.31714413185955</v>
      </c>
      <c r="E93" s="3">
        <f t="shared" si="1"/>
        <v>10097</v>
      </c>
      <c r="F93" s="64">
        <f t="shared" si="21"/>
        <v>10847.273262733848</v>
      </c>
      <c r="G93" s="115">
        <f t="shared" si="3"/>
        <v>0.18670567258701115</v>
      </c>
      <c r="H93" s="63">
        <f t="shared" si="12"/>
        <v>2967.1098149898876</v>
      </c>
      <c r="I93" s="63">
        <f t="shared" si="4"/>
        <v>296.71098149898876</v>
      </c>
      <c r="J93" s="63">
        <f t="shared" si="5"/>
        <v>23.560981498988781</v>
      </c>
      <c r="K93" s="12">
        <f t="shared" si="22"/>
        <v>0.56098149898878091</v>
      </c>
      <c r="L93" s="12">
        <f t="shared" si="7"/>
        <v>0.3147002422076996</v>
      </c>
      <c r="M93" s="64">
        <f t="shared" si="13"/>
        <v>10847.273262733848</v>
      </c>
      <c r="N93" s="115">
        <f t="shared" si="14"/>
        <v>0.18670567258701115</v>
      </c>
      <c r="O93" s="63">
        <f t="shared" si="15"/>
        <v>2967.2109577133174</v>
      </c>
      <c r="P93" s="63">
        <f t="shared" si="16"/>
        <v>296.72109577133176</v>
      </c>
      <c r="Q93" s="63">
        <f t="shared" si="17"/>
        <v>23.571095771331784</v>
      </c>
      <c r="R93" s="12">
        <f t="shared" si="18"/>
        <v>0.57109577133178391</v>
      </c>
      <c r="S93" s="47">
        <f t="shared" si="19"/>
        <v>0.57109577133178391</v>
      </c>
      <c r="T93" s="47">
        <f t="shared" si="20"/>
        <v>-0.10114272343002995</v>
      </c>
    </row>
    <row r="94" spans="1:20">
      <c r="A94" s="51">
        <v>24</v>
      </c>
      <c r="B94" s="90">
        <v>10.445600000000001</v>
      </c>
      <c r="C94" s="12">
        <f t="shared" si="11"/>
        <v>10922.333333333334</v>
      </c>
      <c r="D94" s="13">
        <f t="shared" si="0"/>
        <v>793.67263168798888</v>
      </c>
      <c r="E94" s="3">
        <f t="shared" si="1"/>
        <v>10403</v>
      </c>
      <c r="F94" s="64">
        <f t="shared" si="21"/>
        <v>10875.102481154821</v>
      </c>
      <c r="G94" s="115">
        <f t="shared" si="3"/>
        <v>0.19196889459619407</v>
      </c>
      <c r="H94" s="63">
        <f t="shared" si="12"/>
        <v>2976.8806704710546</v>
      </c>
      <c r="I94" s="63">
        <f t="shared" si="4"/>
        <v>297.68806704710545</v>
      </c>
      <c r="J94" s="63">
        <f t="shared" ref="J94:J157" si="23">I94-273.15</f>
        <v>24.538067047105471</v>
      </c>
      <c r="K94" s="12">
        <f t="shared" si="22"/>
        <v>0.53806704710547137</v>
      </c>
      <c r="L94" s="12">
        <f t="shared" ref="L94:L157" si="24">(K94)^2</f>
        <v>0.28951614718080154</v>
      </c>
      <c r="M94" s="64">
        <f t="shared" si="13"/>
        <v>10875.102481154821</v>
      </c>
      <c r="N94" s="115">
        <f t="shared" si="14"/>
        <v>0.19196889459619407</v>
      </c>
      <c r="O94" s="63">
        <f t="shared" si="15"/>
        <v>2976.9812722171509</v>
      </c>
      <c r="P94" s="63">
        <f t="shared" si="16"/>
        <v>297.69812722171508</v>
      </c>
      <c r="Q94" s="63">
        <f t="shared" si="17"/>
        <v>24.548127221715106</v>
      </c>
      <c r="R94" s="12">
        <f t="shared" si="18"/>
        <v>0.54812722171510586</v>
      </c>
      <c r="S94" s="47">
        <f t="shared" si="19"/>
        <v>0.54812722171510586</v>
      </c>
      <c r="T94" s="47">
        <f t="shared" si="20"/>
        <v>-0.10060174609634487</v>
      </c>
    </row>
    <row r="95" spans="1:20">
      <c r="A95" s="51">
        <v>25</v>
      </c>
      <c r="B95" s="90">
        <v>10</v>
      </c>
      <c r="C95" s="12">
        <f>32767*$B$9/($B$95+$B$9)</f>
        <v>10922.333333333334</v>
      </c>
      <c r="D95" s="13">
        <f t="shared" ref="D95" si="25">$B$12*($B$9-$B$10)/(B95+$B$9)*1000</f>
        <v>817.25</v>
      </c>
      <c r="E95" s="3">
        <f t="shared" ref="E95:E106" si="26">ROUND($B$11*($B$9-$B$10)/(($B$9+B95)*$B$13),0)</f>
        <v>10712</v>
      </c>
      <c r="F95" s="64">
        <f t="shared" si="21"/>
        <v>10903.204535050509</v>
      </c>
      <c r="G95" s="115">
        <f t="shared" si="3"/>
        <v>0.19726182355716487</v>
      </c>
      <c r="H95" s="63">
        <f t="shared" si="12"/>
        <v>2986.5815484286331</v>
      </c>
      <c r="I95" s="63">
        <f t="shared" ref="I95:I157" si="27">H95/10</f>
        <v>298.65815484286333</v>
      </c>
      <c r="J95" s="63">
        <f t="shared" si="23"/>
        <v>25.508154842863348</v>
      </c>
      <c r="K95" s="12">
        <f t="shared" si="22"/>
        <v>0.50815484286334822</v>
      </c>
      <c r="L95" s="12">
        <f t="shared" si="24"/>
        <v>0.25822134432547411</v>
      </c>
      <c r="M95" s="64">
        <f t="shared" si="13"/>
        <v>10903.204535050509</v>
      </c>
      <c r="N95" s="115">
        <f t="shared" si="14"/>
        <v>0.19726182355716487</v>
      </c>
      <c r="O95" s="63">
        <f t="shared" si="15"/>
        <v>2986.6815869317602</v>
      </c>
      <c r="P95" s="63">
        <f t="shared" si="16"/>
        <v>298.668158693176</v>
      </c>
      <c r="Q95" s="63">
        <f t="shared" si="17"/>
        <v>25.518158693176019</v>
      </c>
      <c r="R95" s="12">
        <f t="shared" si="18"/>
        <v>0.51815869317601937</v>
      </c>
      <c r="S95" s="47">
        <f t="shared" si="19"/>
        <v>0.51815869317601937</v>
      </c>
      <c r="T95" s="47">
        <f t="shared" si="20"/>
        <v>-0.10003850312671148</v>
      </c>
    </row>
    <row r="96" spans="1:20">
      <c r="A96" s="51">
        <v>26</v>
      </c>
      <c r="B96" s="90">
        <v>9.5759000000000007</v>
      </c>
      <c r="C96" s="12">
        <f t="shared" si="11"/>
        <v>10922.333333333334</v>
      </c>
      <c r="D96" s="13">
        <f>$B$12*($B$9-$B$10)/(B96+$B$9)*1000</f>
        <v>841.02868433510116</v>
      </c>
      <c r="E96" s="3">
        <f t="shared" si="26"/>
        <v>11024</v>
      </c>
      <c r="F96" s="64">
        <f t="shared" si="21"/>
        <v>10931.579424420912</v>
      </c>
      <c r="G96" s="115">
        <f t="shared" si="3"/>
        <v>0.20258395699805357</v>
      </c>
      <c r="H96" s="63">
        <f t="shared" si="12"/>
        <v>2996.2260973955326</v>
      </c>
      <c r="I96" s="63">
        <f t="shared" si="27"/>
        <v>299.62260973955324</v>
      </c>
      <c r="J96" s="63">
        <f t="shared" si="23"/>
        <v>26.472609739553263</v>
      </c>
      <c r="K96" s="12">
        <f t="shared" si="22"/>
        <v>0.47260973955326335</v>
      </c>
      <c r="L96" s="12">
        <f t="shared" si="24"/>
        <v>0.22335996592060342</v>
      </c>
      <c r="M96" s="64">
        <f t="shared" si="13"/>
        <v>10931.579424420912</v>
      </c>
      <c r="N96" s="115">
        <f t="shared" si="14"/>
        <v>0.20258395699805357</v>
      </c>
      <c r="O96" s="63">
        <f t="shared" si="15"/>
        <v>2996.3255501308786</v>
      </c>
      <c r="P96" s="63">
        <f t="shared" si="16"/>
        <v>299.63255501308788</v>
      </c>
      <c r="Q96" s="63">
        <f t="shared" si="17"/>
        <v>26.482555013087904</v>
      </c>
      <c r="R96" s="12">
        <f t="shared" si="18"/>
        <v>0.48255501308790372</v>
      </c>
      <c r="S96" s="47">
        <f t="shared" si="19"/>
        <v>0.48255501308790372</v>
      </c>
      <c r="T96" s="47">
        <f t="shared" si="20"/>
        <v>-9.9452735346403642E-2</v>
      </c>
    </row>
    <row r="97" spans="1:20">
      <c r="A97" s="51">
        <v>27</v>
      </c>
      <c r="B97" s="90">
        <v>9.1721000000000004</v>
      </c>
      <c r="C97" s="12">
        <f t="shared" si="11"/>
        <v>10922.333333333334</v>
      </c>
      <c r="D97" s="13">
        <f t="shared" ref="D97:D116" si="28">$B$12*($B$9-$B$10)/(B97+$B$9)*1000</f>
        <v>864.99177962334454</v>
      </c>
      <c r="E97" s="3">
        <f t="shared" si="26"/>
        <v>11338</v>
      </c>
      <c r="F97" s="64">
        <f t="shared" si="21"/>
        <v>10960.136204107792</v>
      </c>
      <c r="G97" s="115">
        <f t="shared" si="3"/>
        <v>0.20791784189903628</v>
      </c>
      <c r="H97" s="63">
        <f t="shared" si="12"/>
        <v>3005.7982597200298</v>
      </c>
      <c r="I97" s="63">
        <f t="shared" si="27"/>
        <v>300.57982597200299</v>
      </c>
      <c r="J97" s="63">
        <f t="shared" si="23"/>
        <v>27.429825972003016</v>
      </c>
      <c r="K97" s="12">
        <f t="shared" si="22"/>
        <v>0.42982597200301598</v>
      </c>
      <c r="L97" s="12">
        <f t="shared" si="24"/>
        <v>0.18475036620833749</v>
      </c>
      <c r="M97" s="64">
        <f t="shared" si="13"/>
        <v>10960.136204107792</v>
      </c>
      <c r="N97" s="115">
        <f t="shared" si="14"/>
        <v>0.20791784189903628</v>
      </c>
      <c r="O97" s="63">
        <f t="shared" si="15"/>
        <v>3005.8971058682991</v>
      </c>
      <c r="P97" s="63">
        <f t="shared" si="16"/>
        <v>300.58971058682994</v>
      </c>
      <c r="Q97" s="63">
        <f t="shared" si="17"/>
        <v>27.43971058682996</v>
      </c>
      <c r="R97" s="12">
        <f t="shared" si="18"/>
        <v>0.43971058682996045</v>
      </c>
      <c r="S97" s="47">
        <f t="shared" si="19"/>
        <v>0.43971058682996045</v>
      </c>
      <c r="T97" s="47">
        <f t="shared" si="20"/>
        <v>-9.8846148269444711E-2</v>
      </c>
    </row>
    <row r="98" spans="1:20">
      <c r="A98" s="51">
        <v>28</v>
      </c>
      <c r="B98" s="90">
        <v>8.7875999999999994</v>
      </c>
      <c r="C98" s="12">
        <f t="shared" si="11"/>
        <v>10922.333333333334</v>
      </c>
      <c r="D98" s="13">
        <f t="shared" si="28"/>
        <v>889.114131538484</v>
      </c>
      <c r="E98" s="3">
        <f t="shared" si="26"/>
        <v>11654</v>
      </c>
      <c r="F98" s="64">
        <f t="shared" si="21"/>
        <v>10988.874874111149</v>
      </c>
      <c r="G98" s="115">
        <f t="shared" si="3"/>
        <v>0.21326319156383752</v>
      </c>
      <c r="H98" s="63">
        <f t="shared" si="12"/>
        <v>3015.3138772999105</v>
      </c>
      <c r="I98" s="63">
        <f t="shared" si="27"/>
        <v>301.53138772999102</v>
      </c>
      <c r="J98" s="63">
        <f t="shared" si="23"/>
        <v>28.381387729991047</v>
      </c>
      <c r="K98" s="12">
        <f t="shared" si="22"/>
        <v>0.38138772999104731</v>
      </c>
      <c r="L98" s="12">
        <f t="shared" si="24"/>
        <v>0.145456600587724</v>
      </c>
      <c r="M98" s="64">
        <f t="shared" si="13"/>
        <v>10988.874874111149</v>
      </c>
      <c r="N98" s="115">
        <f t="shared" si="14"/>
        <v>0.21326319156383752</v>
      </c>
      <c r="O98" s="63">
        <f t="shared" si="15"/>
        <v>3015.412095955955</v>
      </c>
      <c r="P98" s="63">
        <f t="shared" si="16"/>
        <v>301.54120959559549</v>
      </c>
      <c r="Q98" s="63">
        <f t="shared" si="17"/>
        <v>28.391209595595512</v>
      </c>
      <c r="R98" s="12">
        <f t="shared" si="18"/>
        <v>0.39120959559551238</v>
      </c>
      <c r="S98" s="47">
        <f t="shared" si="19"/>
        <v>0.39120959559551238</v>
      </c>
      <c r="T98" s="47">
        <f t="shared" si="20"/>
        <v>-9.8218656044650743E-2</v>
      </c>
    </row>
    <row r="99" spans="1:20">
      <c r="A99" s="51">
        <v>29</v>
      </c>
      <c r="B99" s="90">
        <v>8.4213000000000005</v>
      </c>
      <c r="C99" s="12">
        <f t="shared" si="11"/>
        <v>10922.333333333334</v>
      </c>
      <c r="D99" s="13">
        <f t="shared" si="28"/>
        <v>913.38022397234249</v>
      </c>
      <c r="E99" s="3">
        <f t="shared" si="26"/>
        <v>11972</v>
      </c>
      <c r="F99" s="64">
        <f t="shared" si="21"/>
        <v>11017.795434430984</v>
      </c>
      <c r="G99" s="115">
        <f t="shared" si="3"/>
        <v>0.2186197207817252</v>
      </c>
      <c r="H99" s="63">
        <f t="shared" si="12"/>
        <v>3024.7890287271566</v>
      </c>
      <c r="I99" s="63">
        <f t="shared" si="27"/>
        <v>302.47890287271565</v>
      </c>
      <c r="J99" s="63">
        <f t="shared" si="23"/>
        <v>29.328902872715673</v>
      </c>
      <c r="K99" s="12">
        <f t="shared" si="22"/>
        <v>0.32890287271567331</v>
      </c>
      <c r="L99" s="12">
        <f t="shared" si="24"/>
        <v>0.1081770996806224</v>
      </c>
      <c r="M99" s="64">
        <f t="shared" si="13"/>
        <v>11017.795434430984</v>
      </c>
      <c r="N99" s="115">
        <f t="shared" si="14"/>
        <v>0.2186197207817252</v>
      </c>
      <c r="O99" s="63">
        <f t="shared" si="15"/>
        <v>3024.8865989038468</v>
      </c>
      <c r="P99" s="63">
        <f t="shared" si="16"/>
        <v>302.48865989038467</v>
      </c>
      <c r="Q99" s="63">
        <f t="shared" si="17"/>
        <v>29.33865989038469</v>
      </c>
      <c r="R99" s="12">
        <f t="shared" si="18"/>
        <v>0.33865989038469024</v>
      </c>
      <c r="S99" s="47">
        <f t="shared" si="19"/>
        <v>0.33865989038469024</v>
      </c>
      <c r="T99" s="47">
        <f t="shared" si="20"/>
        <v>-9.7570176690169319E-2</v>
      </c>
    </row>
    <row r="100" spans="1:20">
      <c r="A100" s="51">
        <v>30</v>
      </c>
      <c r="B100" s="90">
        <v>8.0723000000000003</v>
      </c>
      <c r="C100" s="12">
        <f t="shared" si="11"/>
        <v>10922.333333333334</v>
      </c>
      <c r="D100" s="13">
        <f t="shared" si="28"/>
        <v>937.76535116238153</v>
      </c>
      <c r="E100" s="3">
        <f t="shared" si="26"/>
        <v>12291</v>
      </c>
      <c r="F100" s="64">
        <f t="shared" si="21"/>
        <v>11046.806939909055</v>
      </c>
      <c r="G100" s="115">
        <f t="shared" si="3"/>
        <v>0.22397040811014399</v>
      </c>
      <c r="H100" s="63">
        <f>$K$3*G100^3+$K$4*G100^2+$K$5*G100^1+$K$6</f>
        <v>3034.2105992282363</v>
      </c>
      <c r="I100" s="63">
        <f t="shared" si="27"/>
        <v>303.42105992282364</v>
      </c>
      <c r="J100" s="63">
        <f t="shared" si="23"/>
        <v>30.271059922823667</v>
      </c>
      <c r="K100" s="12">
        <f t="shared" si="22"/>
        <v>0.27105992282366742</v>
      </c>
      <c r="L100" s="12">
        <f t="shared" si="24"/>
        <v>7.3473481761172535E-2</v>
      </c>
      <c r="M100" s="64">
        <f t="shared" si="13"/>
        <v>11046.806939909055</v>
      </c>
      <c r="N100" s="115">
        <f t="shared" si="14"/>
        <v>0.22397040811014399</v>
      </c>
      <c r="O100" s="63">
        <f t="shared" si="15"/>
        <v>3034.3075019789339</v>
      </c>
      <c r="P100" s="63">
        <f t="shared" si="16"/>
        <v>303.43075019789342</v>
      </c>
      <c r="Q100" s="63">
        <f t="shared" si="17"/>
        <v>30.28075019789344</v>
      </c>
      <c r="R100" s="12">
        <f t="shared" si="18"/>
        <v>0.28075019789343969</v>
      </c>
      <c r="S100" s="47">
        <f t="shared" si="19"/>
        <v>0.28075019789343969</v>
      </c>
      <c r="T100" s="47">
        <f t="shared" si="20"/>
        <v>-9.6902750697722695E-2</v>
      </c>
    </row>
    <row r="101" spans="1:20">
      <c r="A101" s="51">
        <v>31</v>
      </c>
      <c r="B101" s="90">
        <v>7.7394999999999996</v>
      </c>
      <c r="C101" s="12">
        <f t="shared" si="11"/>
        <v>10922.333333333334</v>
      </c>
      <c r="D101" s="13">
        <f t="shared" si="28"/>
        <v>962.26304015071241</v>
      </c>
      <c r="E101" s="3">
        <f t="shared" si="26"/>
        <v>12613</v>
      </c>
      <c r="F101" s="64">
        <f t="shared" si="21"/>
        <v>11076.091280861843</v>
      </c>
      <c r="G101" s="115">
        <f t="shared" ref="G101:G164" si="29">$F$2*E101/(F101-$B$10*1000*E101/$B$9/1000)/2^16</f>
        <v>0.22934851806965598</v>
      </c>
      <c r="H101" s="63">
        <f t="shared" si="12"/>
        <v>3043.6541413621048</v>
      </c>
      <c r="I101" s="63">
        <f t="shared" si="27"/>
        <v>304.36541413621046</v>
      </c>
      <c r="J101" s="63">
        <f t="shared" si="23"/>
        <v>31.215414136210484</v>
      </c>
      <c r="K101" s="12">
        <f t="shared" si="22"/>
        <v>0.21541413621048378</v>
      </c>
      <c r="L101" s="12">
        <f t="shared" si="24"/>
        <v>4.6403250079308858E-2</v>
      </c>
      <c r="M101" s="64">
        <f t="shared" si="13"/>
        <v>11076.091280861843</v>
      </c>
      <c r="N101" s="115">
        <f t="shared" si="14"/>
        <v>0.22934851806965598</v>
      </c>
      <c r="O101" s="63">
        <f t="shared" si="15"/>
        <v>3043.7503534811008</v>
      </c>
      <c r="P101" s="63">
        <f t="shared" si="16"/>
        <v>304.37503534811009</v>
      </c>
      <c r="Q101" s="63">
        <f t="shared" si="17"/>
        <v>31.225035348110111</v>
      </c>
      <c r="R101" s="12">
        <f t="shared" si="18"/>
        <v>0.2250353481101115</v>
      </c>
      <c r="S101" s="47">
        <f t="shared" si="19"/>
        <v>0.2250353481101115</v>
      </c>
      <c r="T101" s="47">
        <f t="shared" si="20"/>
        <v>-9.6212118996277241E-2</v>
      </c>
    </row>
    <row r="102" spans="1:20">
      <c r="A102" s="51">
        <v>32</v>
      </c>
      <c r="B102" s="90">
        <v>7.4222999999999999</v>
      </c>
      <c r="C102" s="12">
        <f t="shared" si="11"/>
        <v>10922.333333333334</v>
      </c>
      <c r="D102" s="13">
        <f t="shared" si="28"/>
        <v>986.83416114568172</v>
      </c>
      <c r="E102" s="3">
        <f t="shared" si="26"/>
        <v>12935</v>
      </c>
      <c r="F102" s="64">
        <f t="shared" si="21"/>
        <v>11105.37562181463</v>
      </c>
      <c r="G102" s="115">
        <f t="shared" si="29"/>
        <v>0.23470376975944518</v>
      </c>
      <c r="H102" s="63">
        <f t="shared" si="12"/>
        <v>3053.0485068936114</v>
      </c>
      <c r="I102" s="63">
        <f t="shared" si="27"/>
        <v>305.30485068936116</v>
      </c>
      <c r="J102" s="63">
        <f t="shared" si="23"/>
        <v>32.154850689361183</v>
      </c>
      <c r="K102" s="12">
        <f t="shared" si="22"/>
        <v>0.15485068936118296</v>
      </c>
      <c r="L102" s="12">
        <f t="shared" si="24"/>
        <v>2.397873599563358E-2</v>
      </c>
      <c r="M102" s="64">
        <f t="shared" si="13"/>
        <v>11105.37562181463</v>
      </c>
      <c r="N102" s="115">
        <f t="shared" si="14"/>
        <v>0.23470376975944518</v>
      </c>
      <c r="O102" s="63">
        <f t="shared" si="15"/>
        <v>3053.1440116161361</v>
      </c>
      <c r="P102" s="63">
        <f t="shared" si="16"/>
        <v>305.3144011616136</v>
      </c>
      <c r="Q102" s="63">
        <f t="shared" si="17"/>
        <v>32.164401161613625</v>
      </c>
      <c r="R102" s="12">
        <f t="shared" si="18"/>
        <v>0.16440116161362539</v>
      </c>
      <c r="S102" s="47">
        <f t="shared" si="19"/>
        <v>0.16440116161362539</v>
      </c>
      <c r="T102" s="47">
        <f t="shared" si="20"/>
        <v>-9.5504722524424324E-2</v>
      </c>
    </row>
    <row r="103" spans="1:20">
      <c r="A103" s="51">
        <v>33</v>
      </c>
      <c r="B103" s="90">
        <v>7.1197999999999997</v>
      </c>
      <c r="C103" s="12">
        <f t="shared" si="11"/>
        <v>10922.333333333334</v>
      </c>
      <c r="D103" s="13">
        <f t="shared" si="28"/>
        <v>1011.4647106387895</v>
      </c>
      <c r="E103" s="3">
        <f t="shared" si="26"/>
        <v>13257</v>
      </c>
      <c r="F103" s="64">
        <f t="shared" si="21"/>
        <v>11134.659962767419</v>
      </c>
      <c r="G103" s="115">
        <f t="shared" si="29"/>
        <v>0.24003630860024749</v>
      </c>
      <c r="H103" s="63">
        <f t="shared" si="12"/>
        <v>3062.4110759852956</v>
      </c>
      <c r="I103" s="63">
        <f t="shared" si="27"/>
        <v>306.24110759852954</v>
      </c>
      <c r="J103" s="63">
        <f t="shared" si="23"/>
        <v>33.091107598529561</v>
      </c>
      <c r="K103" s="12">
        <f t="shared" si="22"/>
        <v>9.1107598529561074E-2</v>
      </c>
      <c r="L103" s="12">
        <f t="shared" si="24"/>
        <v>8.3005945098236795E-3</v>
      </c>
      <c r="M103" s="64">
        <f t="shared" si="13"/>
        <v>11134.659962767419</v>
      </c>
      <c r="N103" s="115">
        <f t="shared" si="14"/>
        <v>0.24003630860024749</v>
      </c>
      <c r="O103" s="63">
        <f t="shared" si="15"/>
        <v>3062.5058567874853</v>
      </c>
      <c r="P103" s="63">
        <f t="shared" si="16"/>
        <v>306.25058567874851</v>
      </c>
      <c r="Q103" s="63">
        <f t="shared" si="17"/>
        <v>33.10058567874853</v>
      </c>
      <c r="R103" s="12">
        <f t="shared" si="18"/>
        <v>0.10058567874852997</v>
      </c>
      <c r="S103" s="47">
        <f t="shared" si="19"/>
        <v>0.10058567874852997</v>
      </c>
      <c r="T103" s="47">
        <f t="shared" si="20"/>
        <v>-9.4780802189688984E-2</v>
      </c>
    </row>
    <row r="104" spans="1:20">
      <c r="A104" s="51">
        <v>34</v>
      </c>
      <c r="B104" s="90">
        <v>6.8311999999999999</v>
      </c>
      <c r="C104" s="12">
        <f t="shared" si="11"/>
        <v>10922.333333333334</v>
      </c>
      <c r="D104" s="13">
        <f t="shared" si="28"/>
        <v>1036.137500845223</v>
      </c>
      <c r="E104" s="3">
        <f t="shared" si="26"/>
        <v>13581</v>
      </c>
      <c r="F104" s="64">
        <f t="shared" si="21"/>
        <v>11164.126194036684</v>
      </c>
      <c r="G104" s="115">
        <f t="shared" si="29"/>
        <v>0.24537918973819733</v>
      </c>
      <c r="H104" s="63">
        <f t="shared" si="12"/>
        <v>3071.8168428468471</v>
      </c>
      <c r="I104" s="63">
        <f t="shared" si="27"/>
        <v>307.18168428468471</v>
      </c>
      <c r="J104" s="63">
        <f t="shared" si="23"/>
        <v>34.031684284684729</v>
      </c>
      <c r="K104" s="12">
        <f t="shared" si="22"/>
        <v>3.1684284684729391E-2</v>
      </c>
      <c r="L104" s="12">
        <f t="shared" si="24"/>
        <v>1.0038938959829775E-3</v>
      </c>
      <c r="M104" s="64">
        <f t="shared" si="13"/>
        <v>11164.126194036684</v>
      </c>
      <c r="N104" s="115">
        <f t="shared" si="14"/>
        <v>0.24537918973819733</v>
      </c>
      <c r="O104" s="63">
        <f t="shared" si="15"/>
        <v>3071.9108787945347</v>
      </c>
      <c r="P104" s="63">
        <f t="shared" si="16"/>
        <v>307.19108787945345</v>
      </c>
      <c r="Q104" s="63">
        <f t="shared" si="17"/>
        <v>34.041087879453471</v>
      </c>
      <c r="R104" s="12">
        <f t="shared" si="18"/>
        <v>4.1087879453471032E-2</v>
      </c>
      <c r="S104" s="47">
        <f t="shared" si="19"/>
        <v>4.1087879453471032E-2</v>
      </c>
      <c r="T104" s="47">
        <f t="shared" si="20"/>
        <v>-9.403594768741641E-2</v>
      </c>
    </row>
    <row r="105" spans="1:20">
      <c r="A105" s="51">
        <v>35</v>
      </c>
      <c r="B105" s="90">
        <v>6.5559000000000003</v>
      </c>
      <c r="C105" s="12">
        <f t="shared" si="11"/>
        <v>10922.333333333334</v>
      </c>
      <c r="D105" s="13">
        <f t="shared" si="28"/>
        <v>1060.821744736455</v>
      </c>
      <c r="E105" s="3">
        <f t="shared" si="26"/>
        <v>13904</v>
      </c>
      <c r="F105" s="64">
        <f t="shared" si="21"/>
        <v>11193.50148014771</v>
      </c>
      <c r="G105" s="115">
        <f t="shared" si="29"/>
        <v>0.25068298111975007</v>
      </c>
      <c r="H105" s="63">
        <f t="shared" si="12"/>
        <v>3081.1953463620594</v>
      </c>
      <c r="I105" s="63">
        <f t="shared" si="27"/>
        <v>308.11953463620591</v>
      </c>
      <c r="J105" s="63">
        <f t="shared" si="23"/>
        <v>34.969534636205935</v>
      </c>
      <c r="K105" s="12">
        <f t="shared" si="22"/>
        <v>-3.0465363794064615E-2</v>
      </c>
      <c r="L105" s="12">
        <f t="shared" si="24"/>
        <v>9.281383911047031E-4</v>
      </c>
      <c r="M105" s="64">
        <f t="shared" si="13"/>
        <v>11193.50148014771</v>
      </c>
      <c r="N105" s="115">
        <f t="shared" si="14"/>
        <v>0.25068298111975007</v>
      </c>
      <c r="O105" s="63">
        <f t="shared" si="15"/>
        <v>3081.2886235787764</v>
      </c>
      <c r="P105" s="63">
        <f t="shared" si="16"/>
        <v>308.12886235787767</v>
      </c>
      <c r="Q105" s="63">
        <f t="shared" si="17"/>
        <v>34.978862357877688</v>
      </c>
      <c r="R105" s="12">
        <f t="shared" si="18"/>
        <v>-2.1137642122312172E-2</v>
      </c>
      <c r="S105" s="47">
        <f t="shared" si="19"/>
        <v>-2.1137642122312172E-2</v>
      </c>
      <c r="T105" s="47">
        <f t="shared" si="20"/>
        <v>-9.3277216717524425E-2</v>
      </c>
    </row>
    <row r="106" spans="1:20">
      <c r="A106" s="51">
        <v>36</v>
      </c>
      <c r="B106" s="90">
        <v>6.2933000000000003</v>
      </c>
      <c r="C106" s="12">
        <f t="shared" si="11"/>
        <v>10922.333333333334</v>
      </c>
      <c r="D106" s="13">
        <f t="shared" si="28"/>
        <v>1085.4887411119869</v>
      </c>
      <c r="E106" s="3">
        <f t="shared" si="26"/>
        <v>14228</v>
      </c>
      <c r="F106" s="64">
        <f t="shared" si="21"/>
        <v>11222.967711416975</v>
      </c>
      <c r="G106" s="115">
        <f t="shared" si="29"/>
        <v>0.25598066760261423</v>
      </c>
      <c r="H106" s="63">
        <f t="shared" si="12"/>
        <v>3090.6210176894601</v>
      </c>
      <c r="I106" s="63">
        <f t="shared" si="27"/>
        <v>309.06210176894604</v>
      </c>
      <c r="J106" s="63">
        <f t="shared" si="23"/>
        <v>35.912101768946059</v>
      </c>
      <c r="K106" s="12">
        <f t="shared" si="22"/>
        <v>-8.7898231053941345E-2</v>
      </c>
      <c r="L106" s="12">
        <f t="shared" si="24"/>
        <v>7.7260990224120585E-3</v>
      </c>
      <c r="M106" s="64">
        <f t="shared" si="13"/>
        <v>11222.967711416975</v>
      </c>
      <c r="N106" s="115">
        <f t="shared" si="14"/>
        <v>0.25598066760261423</v>
      </c>
      <c r="O106" s="63">
        <f t="shared" si="15"/>
        <v>3090.7135178357153</v>
      </c>
      <c r="P106" s="63">
        <f t="shared" si="16"/>
        <v>309.07135178357152</v>
      </c>
      <c r="Q106" s="63">
        <f t="shared" si="17"/>
        <v>35.921351783571538</v>
      </c>
      <c r="R106" s="12">
        <f t="shared" si="18"/>
        <v>-7.8648216428462092E-2</v>
      </c>
      <c r="S106" s="47">
        <f t="shared" si="19"/>
        <v>-7.8648216428462092E-2</v>
      </c>
      <c r="T106" s="47">
        <f t="shared" si="20"/>
        <v>-9.2500146254792526E-2</v>
      </c>
    </row>
    <row r="107" spans="1:20">
      <c r="A107" s="51">
        <v>37</v>
      </c>
      <c r="B107" s="90">
        <v>6.0426000000000002</v>
      </c>
      <c r="C107" s="12">
        <f t="shared" si="11"/>
        <v>10922.333333333334</v>
      </c>
      <c r="D107" s="13">
        <f t="shared" si="28"/>
        <v>1110.1325774726968</v>
      </c>
      <c r="E107" s="3">
        <f>ROUND($B$11*($B$9-$B$10)/(($B$9+B107)*$B$13),0)</f>
        <v>14551</v>
      </c>
      <c r="F107" s="64">
        <f t="shared" si="21"/>
        <v>11252.342997528001</v>
      </c>
      <c r="G107" s="115">
        <f t="shared" si="29"/>
        <v>0.26123968965794686</v>
      </c>
      <c r="H107" s="63">
        <f t="shared" si="12"/>
        <v>3100.0515517623412</v>
      </c>
      <c r="I107" s="63">
        <f t="shared" si="27"/>
        <v>310.0051551762341</v>
      </c>
      <c r="J107" s="63">
        <f t="shared" si="23"/>
        <v>36.855155176234121</v>
      </c>
      <c r="K107" s="12">
        <f t="shared" si="22"/>
        <v>-0.14484482376587948</v>
      </c>
      <c r="L107" s="12">
        <f t="shared" si="24"/>
        <v>2.0980022971768687E-2</v>
      </c>
      <c r="M107" s="64">
        <f t="shared" si="13"/>
        <v>11252.342997528001</v>
      </c>
      <c r="N107" s="115">
        <f t="shared" si="14"/>
        <v>0.26123968965794686</v>
      </c>
      <c r="O107" s="63">
        <f t="shared" si="15"/>
        <v>3100.1432615262497</v>
      </c>
      <c r="P107" s="63">
        <f t="shared" si="16"/>
        <v>310.01432615262496</v>
      </c>
      <c r="Q107" s="63">
        <f t="shared" si="17"/>
        <v>36.864326152624983</v>
      </c>
      <c r="R107" s="12">
        <f t="shared" si="18"/>
        <v>-0.13567384737501698</v>
      </c>
      <c r="S107" s="47">
        <f t="shared" si="19"/>
        <v>-0.13567384737501698</v>
      </c>
      <c r="T107" s="47">
        <f t="shared" si="20"/>
        <v>-9.1709763908625064E-2</v>
      </c>
    </row>
    <row r="108" spans="1:20">
      <c r="A108" s="51">
        <v>38</v>
      </c>
      <c r="B108" s="90">
        <v>5.8032000000000004</v>
      </c>
      <c r="C108" s="12">
        <f t="shared" si="11"/>
        <v>10922.333333333334</v>
      </c>
      <c r="D108" s="13">
        <f t="shared" si="28"/>
        <v>1134.7332271919433</v>
      </c>
      <c r="E108" s="3">
        <f t="shared" ref="E108:E135" si="30">ROUND($B$11*($B$9-$B$10)/(($B$9+B108)*$B$13),0)</f>
        <v>14873</v>
      </c>
      <c r="F108" s="64">
        <f t="shared" si="21"/>
        <v>11281.627338480788</v>
      </c>
      <c r="G108" s="115">
        <f t="shared" si="29"/>
        <v>0.26646039423818102</v>
      </c>
      <c r="H108" s="63">
        <f t="shared" si="12"/>
        <v>3109.5019951687268</v>
      </c>
      <c r="I108" s="63">
        <f t="shared" si="27"/>
        <v>310.95019951687266</v>
      </c>
      <c r="J108" s="63">
        <f t="shared" si="23"/>
        <v>37.800199516872681</v>
      </c>
      <c r="K108" s="12">
        <f t="shared" si="22"/>
        <v>-0.19980048312731924</v>
      </c>
      <c r="L108" s="12">
        <f t="shared" si="24"/>
        <v>3.9920233057910183E-2</v>
      </c>
      <c r="M108" s="64">
        <f t="shared" si="13"/>
        <v>11281.627338480788</v>
      </c>
      <c r="N108" s="115">
        <f t="shared" si="14"/>
        <v>0.26646039423818102</v>
      </c>
      <c r="O108" s="63">
        <f t="shared" si="15"/>
        <v>3109.5929016102214</v>
      </c>
      <c r="P108" s="63">
        <f t="shared" si="16"/>
        <v>310.95929016102212</v>
      </c>
      <c r="Q108" s="63">
        <f t="shared" si="17"/>
        <v>37.809290161022147</v>
      </c>
      <c r="R108" s="12">
        <f t="shared" si="18"/>
        <v>-0.19070983897785254</v>
      </c>
      <c r="S108" s="47">
        <f t="shared" si="19"/>
        <v>-0.19070983897785254</v>
      </c>
      <c r="T108" s="47">
        <f t="shared" si="20"/>
        <v>-9.0906441494666979E-2</v>
      </c>
    </row>
    <row r="109" spans="1:20">
      <c r="A109" s="51">
        <v>39</v>
      </c>
      <c r="B109" s="90">
        <v>5.5746000000000002</v>
      </c>
      <c r="C109" s="12">
        <f t="shared" si="11"/>
        <v>10922.333333333334</v>
      </c>
      <c r="D109" s="13">
        <f t="shared" si="28"/>
        <v>1159.2637073742742</v>
      </c>
      <c r="E109" s="3">
        <f t="shared" si="30"/>
        <v>15195</v>
      </c>
      <c r="F109" s="64">
        <f t="shared" si="21"/>
        <v>11310.911679433577</v>
      </c>
      <c r="G109" s="115">
        <f t="shared" si="29"/>
        <v>0.27165923565845651</v>
      </c>
      <c r="H109" s="63">
        <f t="shared" si="12"/>
        <v>3119.0163823946559</v>
      </c>
      <c r="I109" s="63">
        <f t="shared" si="27"/>
        <v>311.90163823946557</v>
      </c>
      <c r="J109" s="63">
        <f t="shared" si="23"/>
        <v>38.751638239465592</v>
      </c>
      <c r="K109" s="12">
        <f t="shared" si="22"/>
        <v>-0.24836176053440795</v>
      </c>
      <c r="L109" s="12">
        <f t="shared" si="24"/>
        <v>6.1683564095750598E-2</v>
      </c>
      <c r="M109" s="64">
        <f t="shared" si="13"/>
        <v>11310.911679433577</v>
      </c>
      <c r="N109" s="115">
        <f t="shared" si="14"/>
        <v>0.27165923565845651</v>
      </c>
      <c r="O109" s="63">
        <f t="shared" si="15"/>
        <v>3119.1064703728016</v>
      </c>
      <c r="P109" s="63">
        <f t="shared" si="16"/>
        <v>311.91064703728017</v>
      </c>
      <c r="Q109" s="63">
        <f t="shared" si="17"/>
        <v>38.760647037280194</v>
      </c>
      <c r="R109" s="12">
        <f t="shared" si="18"/>
        <v>-0.23935296271980633</v>
      </c>
      <c r="S109" s="47">
        <f t="shared" si="19"/>
        <v>-0.23935296271980633</v>
      </c>
      <c r="T109" s="47">
        <f t="shared" si="20"/>
        <v>-9.0087978146016212E-2</v>
      </c>
    </row>
    <row r="110" spans="1:20">
      <c r="A110" s="51">
        <v>40</v>
      </c>
      <c r="B110" s="90">
        <v>5.3562000000000003</v>
      </c>
      <c r="C110" s="12">
        <f t="shared" si="11"/>
        <v>10922.333333333334</v>
      </c>
      <c r="D110" s="13">
        <f t="shared" si="28"/>
        <v>1183.7112068133097</v>
      </c>
      <c r="E110" s="3">
        <f t="shared" si="30"/>
        <v>15515</v>
      </c>
      <c r="F110" s="64">
        <f t="shared" si="21"/>
        <v>11340.014130069887</v>
      </c>
      <c r="G110" s="115">
        <f t="shared" si="29"/>
        <v>0.27680426174718642</v>
      </c>
      <c r="H110" s="63">
        <f t="shared" si="12"/>
        <v>3128.5493748587842</v>
      </c>
      <c r="I110" s="63">
        <f t="shared" si="27"/>
        <v>312.85493748587839</v>
      </c>
      <c r="J110" s="63">
        <f t="shared" si="23"/>
        <v>39.704937485878418</v>
      </c>
      <c r="K110" s="12">
        <f t="shared" si="22"/>
        <v>-0.29506251412158235</v>
      </c>
      <c r="L110" s="12">
        <f t="shared" si="24"/>
        <v>8.7061887239748989E-2</v>
      </c>
      <c r="M110" s="64">
        <f t="shared" si="13"/>
        <v>11340.014130069887</v>
      </c>
      <c r="N110" s="115">
        <f t="shared" si="14"/>
        <v>0.27680426174718642</v>
      </c>
      <c r="O110" s="63">
        <f t="shared" si="15"/>
        <v>3128.6386346736354</v>
      </c>
      <c r="P110" s="63">
        <f t="shared" si="16"/>
        <v>312.86386346736356</v>
      </c>
      <c r="Q110" s="63">
        <f t="shared" si="17"/>
        <v>39.713863467363581</v>
      </c>
      <c r="R110" s="12">
        <f t="shared" si="18"/>
        <v>-0.28613653263641936</v>
      </c>
      <c r="S110" s="47">
        <f t="shared" si="19"/>
        <v>-0.28613653263641936</v>
      </c>
      <c r="T110" s="47">
        <f t="shared" si="20"/>
        <v>-8.9259814851629926E-2</v>
      </c>
    </row>
    <row r="111" spans="1:20">
      <c r="A111" s="51">
        <v>41</v>
      </c>
      <c r="B111" s="90">
        <v>5.1475</v>
      </c>
      <c r="C111" s="12">
        <f t="shared" si="11"/>
        <v>10922.333333333334</v>
      </c>
      <c r="D111" s="13">
        <f t="shared" si="28"/>
        <v>1208.0561714708056</v>
      </c>
      <c r="E111" s="3">
        <f t="shared" si="30"/>
        <v>15834</v>
      </c>
      <c r="F111" s="64">
        <f t="shared" si="21"/>
        <v>11369.02563554796</v>
      </c>
      <c r="G111" s="115">
        <f t="shared" si="29"/>
        <v>0.28191198567907949</v>
      </c>
      <c r="H111" s="63">
        <f t="shared" si="12"/>
        <v>3138.1435034219221</v>
      </c>
      <c r="I111" s="63">
        <f t="shared" si="27"/>
        <v>313.8143503421922</v>
      </c>
      <c r="J111" s="63">
        <f t="shared" si="23"/>
        <v>40.664350342192222</v>
      </c>
      <c r="K111" s="12">
        <f t="shared" si="22"/>
        <v>-0.33564965780777811</v>
      </c>
      <c r="L111" s="12">
        <f t="shared" si="24"/>
        <v>0.11266069278647854</v>
      </c>
      <c r="M111" s="64">
        <f t="shared" si="13"/>
        <v>11369.02563554796</v>
      </c>
      <c r="N111" s="115">
        <f t="shared" si="14"/>
        <v>0.28191198567907949</v>
      </c>
      <c r="O111" s="63">
        <f t="shared" si="15"/>
        <v>3138.2319232043692</v>
      </c>
      <c r="P111" s="63">
        <f t="shared" si="16"/>
        <v>313.82319232043693</v>
      </c>
      <c r="Q111" s="63">
        <f t="shared" si="17"/>
        <v>40.673192320436954</v>
      </c>
      <c r="R111" s="12">
        <f t="shared" si="18"/>
        <v>-0.32680767956304635</v>
      </c>
      <c r="S111" s="47">
        <f t="shared" si="19"/>
        <v>-0.32680767956304635</v>
      </c>
      <c r="T111" s="47">
        <f t="shared" si="20"/>
        <v>-8.841978244731763E-2</v>
      </c>
    </row>
    <row r="112" spans="1:20">
      <c r="A112" s="51">
        <v>42</v>
      </c>
      <c r="B112" s="90">
        <v>4.9481000000000002</v>
      </c>
      <c r="C112" s="12">
        <f t="shared" si="11"/>
        <v>10922.333333333334</v>
      </c>
      <c r="D112" s="13">
        <f t="shared" si="28"/>
        <v>1232.2704838109789</v>
      </c>
      <c r="E112" s="3">
        <f t="shared" si="30"/>
        <v>16152</v>
      </c>
      <c r="F112" s="64">
        <f t="shared" si="21"/>
        <v>11397.946195867793</v>
      </c>
      <c r="G112" s="115">
        <f t="shared" si="29"/>
        <v>0.28698273718186312</v>
      </c>
      <c r="H112" s="63">
        <f t="shared" si="12"/>
        <v>3147.8112488553897</v>
      </c>
      <c r="I112" s="63">
        <f t="shared" si="27"/>
        <v>314.78112488553899</v>
      </c>
      <c r="J112" s="63">
        <f t="shared" si="23"/>
        <v>41.631124885539009</v>
      </c>
      <c r="K112" s="12">
        <f t="shared" si="22"/>
        <v>-0.36887511446099097</v>
      </c>
      <c r="L112" s="12">
        <f t="shared" si="24"/>
        <v>0.13606885006860919</v>
      </c>
      <c r="M112" s="64">
        <f t="shared" si="13"/>
        <v>11397.946195867793</v>
      </c>
      <c r="N112" s="115">
        <f t="shared" si="14"/>
        <v>0.28698273718186312</v>
      </c>
      <c r="O112" s="63">
        <f t="shared" si="15"/>
        <v>3147.8988170784833</v>
      </c>
      <c r="P112" s="63">
        <f t="shared" si="16"/>
        <v>314.78988170784834</v>
      </c>
      <c r="Q112" s="63">
        <f t="shared" si="17"/>
        <v>41.63988170784836</v>
      </c>
      <c r="R112" s="12">
        <f t="shared" si="18"/>
        <v>-0.36011829215163971</v>
      </c>
      <c r="S112" s="47">
        <f t="shared" si="19"/>
        <v>-0.36011829215163971</v>
      </c>
      <c r="T112" s="47">
        <f t="shared" si="20"/>
        <v>-8.7568223093512643E-2</v>
      </c>
    </row>
    <row r="113" spans="1:20">
      <c r="A113" s="51">
        <v>43</v>
      </c>
      <c r="B113" s="90">
        <v>4.7573999999999996</v>
      </c>
      <c r="C113" s="12">
        <f t="shared" si="11"/>
        <v>10922.333333333334</v>
      </c>
      <c r="D113" s="13">
        <f t="shared" si="28"/>
        <v>1256.3541517207452</v>
      </c>
      <c r="E113" s="3">
        <f t="shared" si="30"/>
        <v>16467</v>
      </c>
      <c r="F113" s="64">
        <f t="shared" ref="F113:F144" si="31">$E113+($C113-$E113)*(32767-$F$2)/(32767-$C113)</f>
        <v>11426.593920712912</v>
      </c>
      <c r="G113" s="115">
        <f t="shared" si="29"/>
        <v>0.29198514545509668</v>
      </c>
      <c r="H113" s="63">
        <f t="shared" si="12"/>
        <v>3157.5025796162472</v>
      </c>
      <c r="I113" s="63">
        <f t="shared" si="27"/>
        <v>315.7502579616247</v>
      </c>
      <c r="J113" s="63">
        <f t="shared" si="23"/>
        <v>42.60025796162472</v>
      </c>
      <c r="K113" s="12">
        <f t="shared" ref="K113:K144" si="32">(J113-A113)</f>
        <v>-0.39974203837527966</v>
      </c>
      <c r="L113" s="12">
        <f t="shared" si="24"/>
        <v>0.15979369724442355</v>
      </c>
      <c r="M113" s="64">
        <f t="shared" si="13"/>
        <v>11426.593920712912</v>
      </c>
      <c r="N113" s="115">
        <f t="shared" si="14"/>
        <v>0.29198514545509668</v>
      </c>
      <c r="O113" s="63">
        <f t="shared" si="15"/>
        <v>3157.5892905744072</v>
      </c>
      <c r="P113" s="63">
        <f t="shared" si="16"/>
        <v>315.7589290574407</v>
      </c>
      <c r="Q113" s="63">
        <f t="shared" si="17"/>
        <v>42.608929057440719</v>
      </c>
      <c r="R113" s="12">
        <f t="shared" si="18"/>
        <v>-0.39107094255928132</v>
      </c>
      <c r="S113" s="47">
        <f t="shared" si="19"/>
        <v>-0.39107094255928132</v>
      </c>
      <c r="T113" s="47">
        <f t="shared" si="20"/>
        <v>-8.671095815998342E-2</v>
      </c>
    </row>
    <row r="114" spans="1:20">
      <c r="A114" s="51">
        <v>44</v>
      </c>
      <c r="B114" s="90">
        <v>4.5750999999999999</v>
      </c>
      <c r="C114" s="12">
        <f t="shared" ref="C114:C116" si="33">32767*$B$9/($B$95+$B$9)</f>
        <v>10922.333333333334</v>
      </c>
      <c r="D114" s="13">
        <f t="shared" si="28"/>
        <v>1280.2738352602064</v>
      </c>
      <c r="E114" s="3">
        <f t="shared" si="30"/>
        <v>16781</v>
      </c>
      <c r="F114" s="64">
        <f t="shared" si="31"/>
        <v>11455.150700399792</v>
      </c>
      <c r="G114" s="115">
        <f t="shared" si="29"/>
        <v>0.29695148518717018</v>
      </c>
      <c r="H114" s="63">
        <f t="shared" ref="H114:H125" si="34">$K$3*G114^3+$K$4*G114^2+$K$5*G114^1+$K$6</f>
        <v>3167.2890589980498</v>
      </c>
      <c r="I114" s="63">
        <f t="shared" si="27"/>
        <v>316.728905899805</v>
      </c>
      <c r="J114" s="63">
        <f t="shared" si="23"/>
        <v>43.578905899805022</v>
      </c>
      <c r="K114" s="12">
        <f t="shared" si="32"/>
        <v>-0.42109410019497773</v>
      </c>
      <c r="L114" s="12">
        <f t="shared" si="24"/>
        <v>0.17732024121901793</v>
      </c>
      <c r="M114" s="64">
        <f t="shared" ref="M114:M170" si="35">$E114+($C114-$E114)*(32767-$F$2)/(32767-$C114)</f>
        <v>11455.150700399792</v>
      </c>
      <c r="N114" s="115">
        <f t="shared" ref="N114:N170" si="36">$F$2*E114/(F114-$B$10*1000*E114/$B$9/1000)/2^16</f>
        <v>0.29695148518717018</v>
      </c>
      <c r="O114" s="63">
        <f t="shared" ref="O114:O170" si="37">$L$3*N114^3+$L$4*N114^2+$L$5*N114^1+$L$6</f>
        <v>3167.3749019977076</v>
      </c>
      <c r="P114" s="63">
        <f t="shared" ref="P114:P170" si="38">O114/10</f>
        <v>316.73749019977078</v>
      </c>
      <c r="Q114" s="63">
        <f t="shared" ref="Q114:Q170" si="39">P114-273.15</f>
        <v>43.587490199770798</v>
      </c>
      <c r="R114" s="12">
        <f t="shared" ref="R114:R170" si="40">(Q114-A114)</f>
        <v>-0.41250980022920203</v>
      </c>
      <c r="S114" s="47">
        <f t="shared" ref="S114:S170" si="41">R114*S$28</f>
        <v>-0.41250980022920203</v>
      </c>
      <c r="T114" s="47">
        <f t="shared" ref="T114:T170" si="42">(K114-R114)*T$28</f>
        <v>-8.5842999657756991E-2</v>
      </c>
    </row>
    <row r="115" spans="1:20">
      <c r="A115" s="51">
        <v>45</v>
      </c>
      <c r="B115" s="90">
        <v>4.4006999999999996</v>
      </c>
      <c r="C115" s="12">
        <f t="shared" si="33"/>
        <v>10922.333333333334</v>
      </c>
      <c r="D115" s="13">
        <f t="shared" si="28"/>
        <v>1304.0252321635624</v>
      </c>
      <c r="E115" s="3">
        <f t="shared" si="30"/>
        <v>17092</v>
      </c>
      <c r="F115" s="64">
        <f t="shared" si="31"/>
        <v>11483.434644611956</v>
      </c>
      <c r="G115" s="115">
        <f t="shared" si="29"/>
        <v>0.30185062792991763</v>
      </c>
      <c r="H115" s="63">
        <f t="shared" si="34"/>
        <v>3177.1175781692264</v>
      </c>
      <c r="I115" s="63">
        <f t="shared" si="27"/>
        <v>317.71175781692261</v>
      </c>
      <c r="J115" s="63">
        <f t="shared" si="23"/>
        <v>44.561757816922636</v>
      </c>
      <c r="K115" s="12">
        <f t="shared" si="32"/>
        <v>-0.43824218307736373</v>
      </c>
      <c r="L115" s="12">
        <f t="shared" si="24"/>
        <v>0.19205621102841358</v>
      </c>
      <c r="M115" s="64">
        <f t="shared" si="35"/>
        <v>11483.434644611956</v>
      </c>
      <c r="N115" s="115">
        <f t="shared" si="36"/>
        <v>0.30185062792991763</v>
      </c>
      <c r="O115" s="63">
        <f t="shared" si="37"/>
        <v>3177.2025484876017</v>
      </c>
      <c r="P115" s="63">
        <f t="shared" si="38"/>
        <v>317.72025484876019</v>
      </c>
      <c r="Q115" s="63">
        <f t="shared" si="39"/>
        <v>44.570254848760214</v>
      </c>
      <c r="R115" s="12">
        <f t="shared" si="40"/>
        <v>-0.42974515123978563</v>
      </c>
      <c r="S115" s="47">
        <f t="shared" si="41"/>
        <v>-0.42974515123978563</v>
      </c>
      <c r="T115" s="47">
        <f t="shared" si="42"/>
        <v>-8.4970318375781062E-2</v>
      </c>
    </row>
    <row r="116" spans="1:20">
      <c r="A116" s="51">
        <v>46</v>
      </c>
      <c r="B116" s="90">
        <v>4.2337999999999996</v>
      </c>
      <c r="C116" s="12">
        <f t="shared" si="33"/>
        <v>10922.333333333334</v>
      </c>
      <c r="D116" s="13">
        <f t="shared" si="28"/>
        <v>1327.5953561913841</v>
      </c>
      <c r="E116" s="3">
        <f t="shared" si="30"/>
        <v>17401</v>
      </c>
      <c r="F116" s="64">
        <f t="shared" si="31"/>
        <v>11511.536698507643</v>
      </c>
      <c r="G116" s="115">
        <f t="shared" si="29"/>
        <v>0.30669891755494821</v>
      </c>
      <c r="H116" s="63">
        <f t="shared" si="34"/>
        <v>3187.0275736672875</v>
      </c>
      <c r="I116" s="63">
        <f t="shared" si="27"/>
        <v>318.70275736672875</v>
      </c>
      <c r="J116" s="63">
        <f t="shared" si="23"/>
        <v>45.55275736672877</v>
      </c>
      <c r="K116" s="12">
        <f t="shared" si="32"/>
        <v>-0.44724263327123026</v>
      </c>
      <c r="L116" s="12">
        <f t="shared" si="24"/>
        <v>0.20002597301538416</v>
      </c>
      <c r="M116" s="64">
        <f t="shared" si="35"/>
        <v>11511.536698507643</v>
      </c>
      <c r="N116" s="115">
        <f t="shared" si="36"/>
        <v>0.30669891755494821</v>
      </c>
      <c r="O116" s="63">
        <f t="shared" si="37"/>
        <v>3187.1116642690295</v>
      </c>
      <c r="P116" s="63">
        <f t="shared" si="38"/>
        <v>318.71116642690293</v>
      </c>
      <c r="Q116" s="63">
        <f t="shared" si="39"/>
        <v>45.561166426902957</v>
      </c>
      <c r="R116" s="12">
        <f t="shared" si="40"/>
        <v>-0.43883357309704252</v>
      </c>
      <c r="S116" s="47">
        <f t="shared" si="41"/>
        <v>-0.43883357309704252</v>
      </c>
      <c r="T116" s="47">
        <f t="shared" si="42"/>
        <v>-8.4090601741877435E-2</v>
      </c>
    </row>
    <row r="117" spans="1:20">
      <c r="A117" s="51">
        <v>47</v>
      </c>
      <c r="B117" s="90">
        <v>4.0742000000000003</v>
      </c>
      <c r="C117" s="12">
        <f>32767*$B$9/($B$95+$B$9)</f>
        <v>10922.333333333334</v>
      </c>
      <c r="D117" s="13">
        <f>$B$12*($B$9-$B$10)/(B117+$B$9)*1000</f>
        <v>1350.9455378986577</v>
      </c>
      <c r="E117" s="3">
        <f t="shared" si="30"/>
        <v>17707</v>
      </c>
      <c r="F117" s="64">
        <f t="shared" si="31"/>
        <v>11539.365916928617</v>
      </c>
      <c r="G117" s="115">
        <f t="shared" si="29"/>
        <v>0.31148124398188137</v>
      </c>
      <c r="H117" s="63">
        <f t="shared" si="34"/>
        <v>3196.9940014201657</v>
      </c>
      <c r="I117" s="63">
        <f t="shared" si="27"/>
        <v>319.69940014201654</v>
      </c>
      <c r="J117" s="63">
        <f t="shared" si="23"/>
        <v>46.549400142016566</v>
      </c>
      <c r="K117" s="12">
        <f t="shared" si="32"/>
        <v>-0.45059985798343405</v>
      </c>
      <c r="L117" s="12">
        <f t="shared" si="24"/>
        <v>0.20304023201469093</v>
      </c>
      <c r="M117" s="64">
        <f t="shared" si="35"/>
        <v>11539.365916928617</v>
      </c>
      <c r="N117" s="115">
        <f t="shared" si="36"/>
        <v>0.31148124398188137</v>
      </c>
      <c r="O117" s="63">
        <f t="shared" si="37"/>
        <v>3197.0772085963636</v>
      </c>
      <c r="P117" s="63">
        <f t="shared" si="38"/>
        <v>319.70772085963637</v>
      </c>
      <c r="Q117" s="63">
        <f t="shared" si="39"/>
        <v>46.55772085963639</v>
      </c>
      <c r="R117" s="12">
        <f t="shared" si="40"/>
        <v>-0.44227914036360971</v>
      </c>
      <c r="S117" s="47">
        <f t="shared" si="41"/>
        <v>-0.44227914036360971</v>
      </c>
      <c r="T117" s="47">
        <f t="shared" si="42"/>
        <v>-8.320717619824336E-2</v>
      </c>
    </row>
    <row r="118" spans="1:20">
      <c r="A118" s="51">
        <v>48</v>
      </c>
      <c r="B118" s="90">
        <v>3.9214000000000002</v>
      </c>
      <c r="C118" s="12">
        <f t="shared" ref="C118:C136" si="43">32767*$B$9/($B$95+$B$9)</f>
        <v>10922.333333333334</v>
      </c>
      <c r="D118" s="13">
        <f t="shared" ref="D118:D135" si="44">$B$12*($B$9-$B$10)/(B118+$B$9)*1000</f>
        <v>1374.0836639989241</v>
      </c>
      <c r="E118" s="3">
        <f t="shared" si="30"/>
        <v>18010</v>
      </c>
      <c r="F118" s="64">
        <f t="shared" si="31"/>
        <v>11566.922299874874</v>
      </c>
      <c r="G118" s="115">
        <f t="shared" si="29"/>
        <v>0.316198268755715</v>
      </c>
      <c r="H118" s="63">
        <f t="shared" si="34"/>
        <v>3207.0223621713803</v>
      </c>
      <c r="I118" s="63">
        <f t="shared" si="27"/>
        <v>320.70223621713802</v>
      </c>
      <c r="J118" s="63">
        <f t="shared" si="23"/>
        <v>47.552236217138045</v>
      </c>
      <c r="K118" s="12">
        <f t="shared" si="32"/>
        <v>-0.44776378286195495</v>
      </c>
      <c r="L118" s="12">
        <f t="shared" si="24"/>
        <v>0.20049240524284795</v>
      </c>
      <c r="M118" s="64">
        <f t="shared" si="35"/>
        <v>11566.922299874874</v>
      </c>
      <c r="N118" s="115">
        <f t="shared" si="36"/>
        <v>0.316198268755715</v>
      </c>
      <c r="O118" s="63">
        <f t="shared" si="37"/>
        <v>3207.1046827384621</v>
      </c>
      <c r="P118" s="63">
        <f t="shared" si="38"/>
        <v>320.71046827384623</v>
      </c>
      <c r="Q118" s="63">
        <f t="shared" si="39"/>
        <v>47.560468273846254</v>
      </c>
      <c r="R118" s="12">
        <f t="shared" si="40"/>
        <v>-0.43953172615374569</v>
      </c>
      <c r="S118" s="47">
        <f t="shared" si="41"/>
        <v>-0.43953172615374569</v>
      </c>
      <c r="T118" s="47">
        <f t="shared" si="42"/>
        <v>-8.2320567082092566E-2</v>
      </c>
    </row>
    <row r="119" spans="1:20">
      <c r="A119" s="51">
        <v>49</v>
      </c>
      <c r="B119" s="90">
        <v>3.7751000000000001</v>
      </c>
      <c r="C119" s="12">
        <f t="shared" si="43"/>
        <v>10922.333333333334</v>
      </c>
      <c r="D119" s="13">
        <f t="shared" si="44"/>
        <v>1396.9926268646514</v>
      </c>
      <c r="E119" s="3">
        <f t="shared" si="30"/>
        <v>18311</v>
      </c>
      <c r="F119" s="64">
        <f t="shared" si="31"/>
        <v>11594.296792504654</v>
      </c>
      <c r="G119" s="115">
        <f t="shared" si="29"/>
        <v>0.3208661189495246</v>
      </c>
      <c r="H119" s="63">
        <f t="shared" si="34"/>
        <v>3217.1513040755526</v>
      </c>
      <c r="I119" s="63">
        <f t="shared" si="27"/>
        <v>321.71513040755525</v>
      </c>
      <c r="J119" s="63">
        <f t="shared" si="23"/>
        <v>48.565130407555273</v>
      </c>
      <c r="K119" s="12">
        <f t="shared" si="32"/>
        <v>-0.434869592444727</v>
      </c>
      <c r="L119" s="12">
        <f t="shared" si="24"/>
        <v>0.18911156243304297</v>
      </c>
      <c r="M119" s="64">
        <f t="shared" si="35"/>
        <v>11594.296792504654</v>
      </c>
      <c r="N119" s="115">
        <f t="shared" si="36"/>
        <v>0.3208661189495246</v>
      </c>
      <c r="O119" s="63">
        <f t="shared" si="37"/>
        <v>3217.2327323767736</v>
      </c>
      <c r="P119" s="63">
        <f t="shared" si="38"/>
        <v>321.72327323767735</v>
      </c>
      <c r="Q119" s="63">
        <f t="shared" si="39"/>
        <v>48.57327323767737</v>
      </c>
      <c r="R119" s="12">
        <f t="shared" si="40"/>
        <v>-0.42672676232263029</v>
      </c>
      <c r="S119" s="47">
        <f t="shared" si="41"/>
        <v>-0.42672676232263029</v>
      </c>
      <c r="T119" s="47">
        <f t="shared" si="42"/>
        <v>-8.1428301220967114E-2</v>
      </c>
    </row>
    <row r="120" spans="1:20">
      <c r="A120" s="51">
        <v>50</v>
      </c>
      <c r="B120" s="90">
        <v>3.6349999999999998</v>
      </c>
      <c r="C120" s="12">
        <f t="shared" si="43"/>
        <v>10922.333333333334</v>
      </c>
      <c r="D120" s="13">
        <f t="shared" si="44"/>
        <v>1419.6583671105964</v>
      </c>
      <c r="E120" s="3">
        <f t="shared" si="30"/>
        <v>18608</v>
      </c>
      <c r="F120" s="64">
        <f t="shared" si="31"/>
        <v>11621.307504501481</v>
      </c>
      <c r="G120" s="115">
        <f t="shared" si="29"/>
        <v>0.32545441635454425</v>
      </c>
      <c r="H120" s="63">
        <f t="shared" si="34"/>
        <v>3227.3175101542529</v>
      </c>
      <c r="I120" s="63">
        <f t="shared" si="27"/>
        <v>322.73175101542529</v>
      </c>
      <c r="J120" s="63">
        <f t="shared" si="23"/>
        <v>49.581751015425311</v>
      </c>
      <c r="K120" s="12">
        <f t="shared" si="32"/>
        <v>-0.41824898457468862</v>
      </c>
      <c r="L120" s="12">
        <f t="shared" si="24"/>
        <v>0.17493221309775811</v>
      </c>
      <c r="M120" s="64">
        <f t="shared" si="35"/>
        <v>11621.307504501481</v>
      </c>
      <c r="N120" s="115">
        <f t="shared" si="36"/>
        <v>0.32545441635454425</v>
      </c>
      <c r="O120" s="63">
        <f t="shared" si="37"/>
        <v>3227.3980469574381</v>
      </c>
      <c r="P120" s="63">
        <f t="shared" si="38"/>
        <v>322.73980469574383</v>
      </c>
      <c r="Q120" s="63">
        <f t="shared" si="39"/>
        <v>49.589804695743851</v>
      </c>
      <c r="R120" s="12">
        <f t="shared" si="40"/>
        <v>-0.41019530425614903</v>
      </c>
      <c r="S120" s="47">
        <f t="shared" si="41"/>
        <v>-0.41019530425614903</v>
      </c>
      <c r="T120" s="47">
        <f t="shared" si="42"/>
        <v>-8.0536803185395911E-2</v>
      </c>
    </row>
    <row r="121" spans="1:20">
      <c r="A121" s="51">
        <v>51</v>
      </c>
      <c r="B121" s="90">
        <v>3.5011000000000001</v>
      </c>
      <c r="C121" s="12">
        <f t="shared" si="43"/>
        <v>10922.333333333334</v>
      </c>
      <c r="D121" s="13">
        <f t="shared" si="44"/>
        <v>1442.0192680947171</v>
      </c>
      <c r="E121" s="3">
        <f t="shared" si="30"/>
        <v>18901</v>
      </c>
      <c r="F121" s="64">
        <f t="shared" si="31"/>
        <v>11647.954435865351</v>
      </c>
      <c r="G121" s="115">
        <f t="shared" si="29"/>
        <v>0.32996396066396216</v>
      </c>
      <c r="H121" s="63">
        <f t="shared" si="34"/>
        <v>3237.5224742682249</v>
      </c>
      <c r="I121" s="63">
        <f t="shared" si="27"/>
        <v>323.75224742682246</v>
      </c>
      <c r="J121" s="63">
        <f t="shared" si="23"/>
        <v>50.602247426822487</v>
      </c>
      <c r="K121" s="12">
        <f t="shared" si="32"/>
        <v>-0.39775257317751311</v>
      </c>
      <c r="L121" s="12">
        <f t="shared" si="24"/>
        <v>0.15820710946933292</v>
      </c>
      <c r="M121" s="64">
        <f t="shared" si="35"/>
        <v>11647.954435865351</v>
      </c>
      <c r="N121" s="115">
        <f t="shared" si="36"/>
        <v>0.32996396066396216</v>
      </c>
      <c r="O121" s="63">
        <f t="shared" si="37"/>
        <v>3237.602120932359</v>
      </c>
      <c r="P121" s="63">
        <f t="shared" si="38"/>
        <v>323.76021209323591</v>
      </c>
      <c r="Q121" s="63">
        <f t="shared" si="39"/>
        <v>50.61021209323593</v>
      </c>
      <c r="R121" s="12">
        <f t="shared" si="40"/>
        <v>-0.38978790676407016</v>
      </c>
      <c r="S121" s="47">
        <f t="shared" si="41"/>
        <v>-0.38978790676407016</v>
      </c>
      <c r="T121" s="47">
        <f t="shared" si="42"/>
        <v>-7.9646664134429557E-2</v>
      </c>
    </row>
    <row r="122" spans="1:20">
      <c r="A122" s="51">
        <v>52</v>
      </c>
      <c r="B122" s="90">
        <v>3.3727</v>
      </c>
      <c r="C122" s="12">
        <f t="shared" si="43"/>
        <v>10922.333333333334</v>
      </c>
      <c r="D122" s="13">
        <f t="shared" si="44"/>
        <v>1464.1334336593932</v>
      </c>
      <c r="E122" s="3">
        <f t="shared" si="30"/>
        <v>19191</v>
      </c>
      <c r="F122" s="64">
        <f t="shared" si="31"/>
        <v>11674.328531754509</v>
      </c>
      <c r="G122" s="115">
        <f t="shared" si="29"/>
        <v>0.33441083958823481</v>
      </c>
      <c r="H122" s="63">
        <f t="shared" si="34"/>
        <v>3247.8026677798061</v>
      </c>
      <c r="I122" s="63">
        <f t="shared" si="27"/>
        <v>324.78026677798061</v>
      </c>
      <c r="J122" s="63">
        <f t="shared" si="23"/>
        <v>51.630266777980637</v>
      </c>
      <c r="K122" s="12">
        <f t="shared" si="32"/>
        <v>-0.36973322201936298</v>
      </c>
      <c r="L122" s="12">
        <f t="shared" si="24"/>
        <v>0.13670265546481955</v>
      </c>
      <c r="M122" s="64">
        <f t="shared" si="35"/>
        <v>11674.328531754509</v>
      </c>
      <c r="N122" s="115">
        <f t="shared" si="36"/>
        <v>0.33441083958823481</v>
      </c>
      <c r="O122" s="63">
        <f t="shared" si="37"/>
        <v>3247.8814231446859</v>
      </c>
      <c r="P122" s="63">
        <f t="shared" si="38"/>
        <v>324.78814231446859</v>
      </c>
      <c r="Q122" s="63">
        <f t="shared" si="39"/>
        <v>51.63814231446861</v>
      </c>
      <c r="R122" s="12">
        <f t="shared" si="40"/>
        <v>-0.36185768553139042</v>
      </c>
      <c r="S122" s="47">
        <f t="shared" si="41"/>
        <v>-0.36185768553139042</v>
      </c>
      <c r="T122" s="47">
        <f t="shared" si="42"/>
        <v>-7.8755364879725676E-2</v>
      </c>
    </row>
    <row r="123" spans="1:20">
      <c r="A123" s="51">
        <v>53</v>
      </c>
      <c r="B123" s="90">
        <v>3.2498</v>
      </c>
      <c r="C123" s="12">
        <f t="shared" si="43"/>
        <v>10922.333333333334</v>
      </c>
      <c r="D123" s="13">
        <f t="shared" si="44"/>
        <v>1485.9451138209413</v>
      </c>
      <c r="E123" s="3">
        <f t="shared" si="30"/>
        <v>19477</v>
      </c>
      <c r="F123" s="64">
        <f t="shared" si="31"/>
        <v>11700.338847010713</v>
      </c>
      <c r="G123" s="115">
        <f t="shared" si="29"/>
        <v>0.33878040080028521</v>
      </c>
      <c r="H123" s="63">
        <f t="shared" si="34"/>
        <v>3258.123589266133</v>
      </c>
      <c r="I123" s="63">
        <f t="shared" si="27"/>
        <v>325.81235892661329</v>
      </c>
      <c r="J123" s="63">
        <f t="shared" si="23"/>
        <v>52.662358926613308</v>
      </c>
      <c r="K123" s="12">
        <f t="shared" si="32"/>
        <v>-0.33764107338669191</v>
      </c>
      <c r="L123" s="12">
        <f t="shared" si="24"/>
        <v>0.11400149443771747</v>
      </c>
      <c r="M123" s="64">
        <f t="shared" si="35"/>
        <v>11700.338847010713</v>
      </c>
      <c r="N123" s="115">
        <f t="shared" si="36"/>
        <v>0.33878040080028521</v>
      </c>
      <c r="O123" s="63">
        <f t="shared" si="37"/>
        <v>3258.2014557471948</v>
      </c>
      <c r="P123" s="63">
        <f t="shared" si="38"/>
        <v>325.8201455747195</v>
      </c>
      <c r="Q123" s="63">
        <f t="shared" si="39"/>
        <v>52.670145574719527</v>
      </c>
      <c r="R123" s="12">
        <f t="shared" si="40"/>
        <v>-0.32985442528047315</v>
      </c>
      <c r="S123" s="47">
        <f t="shared" si="41"/>
        <v>-0.32985442528047315</v>
      </c>
      <c r="T123" s="47">
        <f t="shared" si="42"/>
        <v>-7.7866481062187631E-2</v>
      </c>
    </row>
    <row r="124" spans="1:20">
      <c r="A124" s="51">
        <v>54</v>
      </c>
      <c r="B124" s="90">
        <v>3.1318999999999999</v>
      </c>
      <c r="C124" s="12">
        <f t="shared" si="43"/>
        <v>10922.333333333334</v>
      </c>
      <c r="D124" s="13">
        <f t="shared" si="44"/>
        <v>1507.4890247051735</v>
      </c>
      <c r="E124" s="3">
        <f t="shared" si="30"/>
        <v>19759</v>
      </c>
      <c r="F124" s="64">
        <f t="shared" si="31"/>
        <v>11725.98538163396</v>
      </c>
      <c r="G124" s="115">
        <f t="shared" si="29"/>
        <v>0.34307339439325252</v>
      </c>
      <c r="H124" s="63">
        <f t="shared" si="34"/>
        <v>3268.4845743100309</v>
      </c>
      <c r="I124" s="63">
        <f t="shared" si="27"/>
        <v>326.84845743100311</v>
      </c>
      <c r="J124" s="63">
        <f t="shared" si="23"/>
        <v>53.698457431003135</v>
      </c>
      <c r="K124" s="12">
        <f t="shared" si="32"/>
        <v>-0.30154256899686516</v>
      </c>
      <c r="L124" s="12">
        <f t="shared" si="24"/>
        <v>9.0927920917229177E-2</v>
      </c>
      <c r="M124" s="64">
        <f t="shared" si="35"/>
        <v>11725.98538163396</v>
      </c>
      <c r="N124" s="115">
        <f t="shared" si="36"/>
        <v>0.34307339439325252</v>
      </c>
      <c r="O124" s="63">
        <f t="shared" si="37"/>
        <v>3268.5615548600435</v>
      </c>
      <c r="P124" s="63">
        <f t="shared" si="38"/>
        <v>326.85615548600435</v>
      </c>
      <c r="Q124" s="63">
        <f t="shared" si="39"/>
        <v>53.706155486004377</v>
      </c>
      <c r="R124" s="12">
        <f t="shared" si="40"/>
        <v>-0.29384451399562295</v>
      </c>
      <c r="S124" s="47">
        <f t="shared" si="41"/>
        <v>-0.29384451399562295</v>
      </c>
      <c r="T124" s="47">
        <f t="shared" si="42"/>
        <v>-7.69805500124221E-2</v>
      </c>
    </row>
    <row r="125" spans="1:20">
      <c r="A125" s="51">
        <v>55</v>
      </c>
      <c r="B125" s="90">
        <v>3.0188999999999999</v>
      </c>
      <c r="C125" s="12">
        <f t="shared" si="43"/>
        <v>10922.333333333334</v>
      </c>
      <c r="D125" s="13">
        <f t="shared" si="44"/>
        <v>1528.7321203656363</v>
      </c>
      <c r="E125" s="3">
        <f t="shared" si="30"/>
        <v>20037</v>
      </c>
      <c r="F125" s="64">
        <f t="shared" si="31"/>
        <v>11751.268135624256</v>
      </c>
      <c r="G125" s="115">
        <f t="shared" si="29"/>
        <v>0.34729055350351379</v>
      </c>
      <c r="H125" s="63">
        <f t="shared" si="34"/>
        <v>3278.8843187029397</v>
      </c>
      <c r="I125" s="63">
        <f t="shared" si="27"/>
        <v>327.88843187029397</v>
      </c>
      <c r="J125" s="63">
        <f t="shared" si="23"/>
        <v>54.738431870293994</v>
      </c>
      <c r="K125" s="12">
        <f t="shared" si="32"/>
        <v>-0.2615681297060064</v>
      </c>
      <c r="L125" s="12">
        <f t="shared" si="24"/>
        <v>6.841788647789819E-2</v>
      </c>
      <c r="M125" s="64">
        <f t="shared" si="35"/>
        <v>11751.268135624256</v>
      </c>
      <c r="N125" s="115">
        <f t="shared" si="36"/>
        <v>0.34729055350351379</v>
      </c>
      <c r="O125" s="63">
        <f t="shared" si="37"/>
        <v>3278.9604167942944</v>
      </c>
      <c r="P125" s="63">
        <f t="shared" si="38"/>
        <v>327.89604167942946</v>
      </c>
      <c r="Q125" s="63">
        <f t="shared" si="39"/>
        <v>54.746041679429482</v>
      </c>
      <c r="R125" s="12">
        <f t="shared" si="40"/>
        <v>-0.25395832057051848</v>
      </c>
      <c r="S125" s="47">
        <f t="shared" si="41"/>
        <v>-0.25395832057051848</v>
      </c>
      <c r="T125" s="47">
        <f t="shared" si="42"/>
        <v>-7.6098091354879216E-2</v>
      </c>
    </row>
    <row r="126" spans="1:20">
      <c r="A126" s="51">
        <v>56</v>
      </c>
      <c r="B126" s="90">
        <v>2.9108000000000001</v>
      </c>
      <c r="C126" s="12">
        <f t="shared" si="43"/>
        <v>10922.333333333334</v>
      </c>
      <c r="D126" s="13">
        <f t="shared" si="44"/>
        <v>1549.6220356980332</v>
      </c>
      <c r="E126" s="3">
        <f t="shared" si="30"/>
        <v>20311</v>
      </c>
      <c r="F126" s="64">
        <f t="shared" si="31"/>
        <v>11776.187108981598</v>
      </c>
      <c r="G126" s="115">
        <f t="shared" si="29"/>
        <v>0.35143259464571003</v>
      </c>
      <c r="H126" s="63">
        <f>$K$3*G126^3+$K$4*G126^2+$K$5*G126^1+$K$6</f>
        <v>3289.3209248721564</v>
      </c>
      <c r="I126" s="63">
        <f t="shared" si="27"/>
        <v>328.93209248721564</v>
      </c>
      <c r="J126" s="63">
        <f t="shared" si="23"/>
        <v>55.782092487215664</v>
      </c>
      <c r="K126" s="12">
        <f t="shared" si="32"/>
        <v>-0.21790751278433618</v>
      </c>
      <c r="L126" s="12">
        <f t="shared" si="24"/>
        <v>4.7483684127855634E-2</v>
      </c>
      <c r="M126" s="64">
        <f t="shared" si="35"/>
        <v>11776.187108981598</v>
      </c>
      <c r="N126" s="115">
        <f t="shared" si="36"/>
        <v>0.35143259464571003</v>
      </c>
      <c r="O126" s="63">
        <f t="shared" si="37"/>
        <v>3289.3961444797451</v>
      </c>
      <c r="P126" s="63">
        <f t="shared" si="38"/>
        <v>328.93961444797452</v>
      </c>
      <c r="Q126" s="63">
        <f t="shared" si="39"/>
        <v>55.789614447974543</v>
      </c>
      <c r="R126" s="12">
        <f t="shared" si="40"/>
        <v>-0.21038555202545695</v>
      </c>
      <c r="S126" s="47">
        <f t="shared" si="41"/>
        <v>-0.21038555202545695</v>
      </c>
      <c r="T126" s="47">
        <f t="shared" si="42"/>
        <v>-7.5219607588792314E-2</v>
      </c>
    </row>
    <row r="127" spans="1:20">
      <c r="A127" s="51">
        <v>57</v>
      </c>
      <c r="B127" s="90">
        <v>2.8071000000000002</v>
      </c>
      <c r="C127" s="12">
        <f t="shared" si="43"/>
        <v>10922.333333333334</v>
      </c>
      <c r="D127" s="13">
        <f t="shared" si="44"/>
        <v>1570.2053259212769</v>
      </c>
      <c r="E127" s="3">
        <f t="shared" si="30"/>
        <v>20581</v>
      </c>
      <c r="F127" s="64">
        <f t="shared" si="31"/>
        <v>11800.742301705985</v>
      </c>
      <c r="G127" s="115">
        <f t="shared" si="29"/>
        <v>0.35550021803796972</v>
      </c>
      <c r="H127" s="63">
        <f>$K$3*G127^3+$K$4*G127^2+$K$5*G127^1+$K$6</f>
        <v>3299.791945889112</v>
      </c>
      <c r="I127" s="63">
        <f t="shared" si="27"/>
        <v>329.97919458891118</v>
      </c>
      <c r="J127" s="63">
        <f t="shared" si="23"/>
        <v>56.829194588911207</v>
      </c>
      <c r="K127" s="12">
        <f t="shared" si="32"/>
        <v>-0.17080541108879288</v>
      </c>
      <c r="L127" s="12">
        <f t="shared" si="24"/>
        <v>2.9174488457211531E-2</v>
      </c>
      <c r="M127" s="64">
        <f t="shared" si="35"/>
        <v>11800.742301705985</v>
      </c>
      <c r="N127" s="115">
        <f t="shared" si="36"/>
        <v>0.35550021803796972</v>
      </c>
      <c r="O127" s="63">
        <f t="shared" si="37"/>
        <v>3299.8662914737661</v>
      </c>
      <c r="P127" s="63">
        <f t="shared" si="38"/>
        <v>329.98662914737662</v>
      </c>
      <c r="Q127" s="63">
        <f t="shared" si="39"/>
        <v>56.836629147376641</v>
      </c>
      <c r="R127" s="12">
        <f t="shared" si="40"/>
        <v>-0.16337085262335904</v>
      </c>
      <c r="S127" s="47">
        <f t="shared" si="41"/>
        <v>-0.16337085262335904</v>
      </c>
      <c r="T127" s="47">
        <f t="shared" si="42"/>
        <v>-7.4345584654338381E-2</v>
      </c>
    </row>
    <row r="128" spans="1:20">
      <c r="A128" s="51">
        <v>58</v>
      </c>
      <c r="B128" s="90">
        <v>2.7075999999999998</v>
      </c>
      <c r="C128" s="12">
        <f t="shared" si="43"/>
        <v>10922.333333333334</v>
      </c>
      <c r="D128" s="13">
        <f t="shared" si="44"/>
        <v>1590.4756344387361</v>
      </c>
      <c r="E128" s="3">
        <f t="shared" si="30"/>
        <v>20847</v>
      </c>
      <c r="F128" s="64">
        <f t="shared" si="31"/>
        <v>11824.933713797418</v>
      </c>
      <c r="G128" s="115">
        <f t="shared" si="29"/>
        <v>0.35949410791762143</v>
      </c>
      <c r="H128" s="63">
        <f t="shared" ref="H128:H149" si="45">$K$3*G128^3+$K$4*G128^2+$K$5*G128^1+$K$6</f>
        <v>3310.2944271837123</v>
      </c>
      <c r="I128" s="63">
        <f t="shared" si="27"/>
        <v>331.02944271837123</v>
      </c>
      <c r="J128" s="63">
        <f t="shared" si="23"/>
        <v>57.879442718371251</v>
      </c>
      <c r="K128" s="12">
        <f t="shared" si="32"/>
        <v>-0.12055728162874857</v>
      </c>
      <c r="L128" s="12">
        <f t="shared" si="24"/>
        <v>1.4534058153713397E-2</v>
      </c>
      <c r="M128" s="64">
        <f t="shared" si="35"/>
        <v>11824.933713797418</v>
      </c>
      <c r="N128" s="115">
        <f t="shared" si="36"/>
        <v>0.35949410791762143</v>
      </c>
      <c r="O128" s="63">
        <f t="shared" si="37"/>
        <v>3310.3679036761855</v>
      </c>
      <c r="P128" s="63">
        <f t="shared" si="38"/>
        <v>331.03679036761855</v>
      </c>
      <c r="Q128" s="63">
        <f t="shared" si="39"/>
        <v>57.886790367618573</v>
      </c>
      <c r="R128" s="12">
        <f t="shared" si="40"/>
        <v>-0.11320963238142667</v>
      </c>
      <c r="S128" s="47">
        <f t="shared" si="41"/>
        <v>-0.11320963238142667</v>
      </c>
      <c r="T128" s="47">
        <f t="shared" si="42"/>
        <v>-7.3476492473218968E-2</v>
      </c>
    </row>
    <row r="129" spans="1:20">
      <c r="A129" s="51">
        <v>59</v>
      </c>
      <c r="B129" s="90">
        <v>2.6122000000000001</v>
      </c>
      <c r="C129" s="12">
        <f t="shared" si="43"/>
        <v>10922.333333333334</v>
      </c>
      <c r="D129" s="13">
        <f t="shared" si="44"/>
        <v>1610.4082919523923</v>
      </c>
      <c r="E129" s="3">
        <f t="shared" si="30"/>
        <v>21108</v>
      </c>
      <c r="F129" s="64">
        <f t="shared" si="31"/>
        <v>11848.670400097659</v>
      </c>
      <c r="G129" s="115">
        <f t="shared" si="29"/>
        <v>0.36339999232546211</v>
      </c>
      <c r="H129" s="63">
        <f t="shared" si="45"/>
        <v>3320.7843963568139</v>
      </c>
      <c r="I129" s="63">
        <f t="shared" si="27"/>
        <v>332.07843963568138</v>
      </c>
      <c r="J129" s="63">
        <f t="shared" si="23"/>
        <v>58.9284396356814</v>
      </c>
      <c r="K129" s="12">
        <f t="shared" si="32"/>
        <v>-7.1560364318600023E-2</v>
      </c>
      <c r="L129" s="12">
        <f t="shared" si="24"/>
        <v>5.120885741410763E-3</v>
      </c>
      <c r="M129" s="64">
        <f t="shared" si="35"/>
        <v>11848.670400097659</v>
      </c>
      <c r="N129" s="115">
        <f t="shared" si="36"/>
        <v>0.36339999232546211</v>
      </c>
      <c r="O129" s="63">
        <f t="shared" si="37"/>
        <v>3320.8570124532607</v>
      </c>
      <c r="P129" s="63">
        <f t="shared" si="38"/>
        <v>332.08570124532605</v>
      </c>
      <c r="Q129" s="63">
        <f t="shared" si="39"/>
        <v>58.935701245326072</v>
      </c>
      <c r="R129" s="12">
        <f t="shared" si="40"/>
        <v>-6.429875467392776E-2</v>
      </c>
      <c r="S129" s="47">
        <f t="shared" si="41"/>
        <v>-6.429875467392776E-2</v>
      </c>
      <c r="T129" s="47">
        <f t="shared" si="42"/>
        <v>-7.2616096446722622E-2</v>
      </c>
    </row>
    <row r="130" spans="1:20">
      <c r="A130" s="51">
        <v>60</v>
      </c>
      <c r="B130" s="90">
        <v>2.5206</v>
      </c>
      <c r="C130" s="12">
        <f t="shared" si="43"/>
        <v>10922.333333333334</v>
      </c>
      <c r="D130" s="13">
        <f t="shared" si="44"/>
        <v>1630.0228705156505</v>
      </c>
      <c r="E130" s="3">
        <f t="shared" si="30"/>
        <v>21365</v>
      </c>
      <c r="F130" s="64">
        <f t="shared" si="31"/>
        <v>11872.043305764946</v>
      </c>
      <c r="G130" s="115">
        <f t="shared" si="29"/>
        <v>0.36723356110108513</v>
      </c>
      <c r="H130" s="63">
        <f t="shared" si="45"/>
        <v>3331.2971126655157</v>
      </c>
      <c r="I130" s="63">
        <f t="shared" si="27"/>
        <v>333.12971126655157</v>
      </c>
      <c r="J130" s="63">
        <f t="shared" si="23"/>
        <v>59.97971126655159</v>
      </c>
      <c r="K130" s="12">
        <f t="shared" si="32"/>
        <v>-2.0288733448410312E-2</v>
      </c>
      <c r="L130" s="12">
        <f t="shared" si="24"/>
        <v>4.1163270494064339E-4</v>
      </c>
      <c r="M130" s="64">
        <f t="shared" si="35"/>
        <v>11872.043305764946</v>
      </c>
      <c r="N130" s="115">
        <f t="shared" si="36"/>
        <v>0.36723356110108513</v>
      </c>
      <c r="O130" s="63">
        <f t="shared" si="37"/>
        <v>3331.3688742467375</v>
      </c>
      <c r="P130" s="63">
        <f t="shared" si="38"/>
        <v>333.13688742467377</v>
      </c>
      <c r="Q130" s="63">
        <f t="shared" si="39"/>
        <v>59.986887424673796</v>
      </c>
      <c r="R130" s="12">
        <f t="shared" si="40"/>
        <v>-1.3112575326204023E-2</v>
      </c>
      <c r="S130" s="47">
        <f t="shared" si="41"/>
        <v>-1.3112575326204023E-2</v>
      </c>
      <c r="T130" s="47">
        <f t="shared" si="42"/>
        <v>-7.1761581222062887E-2</v>
      </c>
    </row>
    <row r="131" spans="1:20">
      <c r="A131" s="51">
        <v>61</v>
      </c>
      <c r="B131" s="90">
        <v>2.4327000000000001</v>
      </c>
      <c r="C131" s="12">
        <f t="shared" si="43"/>
        <v>10922.333333333334</v>
      </c>
      <c r="D131" s="13">
        <f t="shared" si="44"/>
        <v>1649.2997161193107</v>
      </c>
      <c r="E131" s="3">
        <f t="shared" si="30"/>
        <v>21618</v>
      </c>
      <c r="F131" s="64">
        <f t="shared" si="31"/>
        <v>11895.05243079928</v>
      </c>
      <c r="G131" s="115">
        <f t="shared" si="29"/>
        <v>0.37099544942412849</v>
      </c>
      <c r="H131" s="63">
        <f t="shared" si="45"/>
        <v>3341.8283121059339</v>
      </c>
      <c r="I131" s="63">
        <f t="shared" si="27"/>
        <v>334.18283121059341</v>
      </c>
      <c r="J131" s="63">
        <f t="shared" si="23"/>
        <v>61.032831210593429</v>
      </c>
      <c r="K131" s="12">
        <f t="shared" si="32"/>
        <v>3.283121059342875E-2</v>
      </c>
      <c r="L131" s="12">
        <f t="shared" si="24"/>
        <v>1.0778883890300681E-3</v>
      </c>
      <c r="M131" s="64">
        <f t="shared" si="35"/>
        <v>11895.05243079928</v>
      </c>
      <c r="N131" s="115">
        <f t="shared" si="36"/>
        <v>0.37099544942412849</v>
      </c>
      <c r="O131" s="63">
        <f t="shared" si="37"/>
        <v>3341.8992254753794</v>
      </c>
      <c r="P131" s="63">
        <f t="shared" si="38"/>
        <v>334.18992254753795</v>
      </c>
      <c r="Q131" s="63">
        <f t="shared" si="39"/>
        <v>61.039922547537969</v>
      </c>
      <c r="R131" s="12">
        <f t="shared" si="40"/>
        <v>3.9922547537969422E-2</v>
      </c>
      <c r="S131" s="47">
        <f t="shared" si="41"/>
        <v>3.9922547537969422E-2</v>
      </c>
      <c r="T131" s="47">
        <f t="shared" si="42"/>
        <v>-7.0913369445406715E-2</v>
      </c>
    </row>
    <row r="132" spans="1:20">
      <c r="A132" s="51">
        <v>62</v>
      </c>
      <c r="B132" s="90">
        <v>2.3483999999999998</v>
      </c>
      <c r="C132" s="12">
        <f t="shared" si="43"/>
        <v>10922.333333333334</v>
      </c>
      <c r="D132" s="13">
        <f t="shared" si="44"/>
        <v>1668.2202928528659</v>
      </c>
      <c r="E132" s="3">
        <f t="shared" si="30"/>
        <v>21866</v>
      </c>
      <c r="F132" s="64">
        <f t="shared" si="31"/>
        <v>11917.606830042419</v>
      </c>
      <c r="G132" s="115">
        <f t="shared" si="29"/>
        <v>0.37467147802142881</v>
      </c>
      <c r="H132" s="63">
        <f t="shared" si="45"/>
        <v>3352.3306611895041</v>
      </c>
      <c r="I132" s="63">
        <f t="shared" si="27"/>
        <v>335.23306611895043</v>
      </c>
      <c r="J132" s="63">
        <f t="shared" si="23"/>
        <v>62.083066118950455</v>
      </c>
      <c r="K132" s="12">
        <f t="shared" si="32"/>
        <v>8.3066118950455348E-2</v>
      </c>
      <c r="L132" s="12">
        <f t="shared" si="24"/>
        <v>6.8999801174911973E-3</v>
      </c>
      <c r="M132" s="64">
        <f t="shared" si="35"/>
        <v>11917.606830042419</v>
      </c>
      <c r="N132" s="115">
        <f t="shared" si="36"/>
        <v>0.37467147802142881</v>
      </c>
      <c r="O132" s="63">
        <f t="shared" si="37"/>
        <v>3352.4007364520053</v>
      </c>
      <c r="P132" s="63">
        <f t="shared" si="38"/>
        <v>335.24007364520054</v>
      </c>
      <c r="Q132" s="63">
        <f t="shared" si="39"/>
        <v>62.090073645200562</v>
      </c>
      <c r="R132" s="12">
        <f t="shared" si="40"/>
        <v>9.0073645200561714E-2</v>
      </c>
      <c r="S132" s="47">
        <f t="shared" si="41"/>
        <v>9.0073645200561714E-2</v>
      </c>
      <c r="T132" s="47">
        <f t="shared" si="42"/>
        <v>-7.0075262501063662E-2</v>
      </c>
    </row>
    <row r="133" spans="1:20">
      <c r="A133" s="51">
        <v>63</v>
      </c>
      <c r="B133" s="90">
        <v>2.2673000000000001</v>
      </c>
      <c r="C133" s="12">
        <f t="shared" si="43"/>
        <v>10922.333333333334</v>
      </c>
      <c r="D133" s="13">
        <f t="shared" si="44"/>
        <v>1686.8369270568162</v>
      </c>
      <c r="E133" s="3">
        <f t="shared" si="30"/>
        <v>22110</v>
      </c>
      <c r="F133" s="64">
        <f t="shared" si="31"/>
        <v>11939.797448652607</v>
      </c>
      <c r="G133" s="115">
        <f t="shared" si="29"/>
        <v>0.37827714251968747</v>
      </c>
      <c r="H133" s="63">
        <f t="shared" si="45"/>
        <v>3362.840470944052</v>
      </c>
      <c r="I133" s="63">
        <f t="shared" si="27"/>
        <v>336.2840470944052</v>
      </c>
      <c r="J133" s="63">
        <f t="shared" si="23"/>
        <v>63.134047094405219</v>
      </c>
      <c r="K133" s="12">
        <f t="shared" si="32"/>
        <v>0.13404709440521856</v>
      </c>
      <c r="L133" s="12">
        <f t="shared" si="24"/>
        <v>1.7968623518481577E-2</v>
      </c>
      <c r="M133" s="64">
        <f t="shared" si="35"/>
        <v>11939.797448652607</v>
      </c>
      <c r="N133" s="115">
        <f t="shared" si="36"/>
        <v>0.37827714251968747</v>
      </c>
      <c r="O133" s="63">
        <f t="shared" si="37"/>
        <v>3362.9097152584141</v>
      </c>
      <c r="P133" s="63">
        <f t="shared" si="38"/>
        <v>336.29097152584143</v>
      </c>
      <c r="Q133" s="63">
        <f t="shared" si="39"/>
        <v>63.140971525841451</v>
      </c>
      <c r="R133" s="12">
        <f t="shared" si="40"/>
        <v>0.14097152584145078</v>
      </c>
      <c r="S133" s="47">
        <f t="shared" si="41"/>
        <v>0.14097152584145078</v>
      </c>
      <c r="T133" s="47">
        <f t="shared" si="42"/>
        <v>-6.9244314362322257E-2</v>
      </c>
    </row>
    <row r="134" spans="1:20">
      <c r="A134" s="51">
        <v>64</v>
      </c>
      <c r="B134" s="90">
        <v>2.1894999999999998</v>
      </c>
      <c r="C134" s="12">
        <f t="shared" si="43"/>
        <v>10922.333333333334</v>
      </c>
      <c r="D134" s="13">
        <f t="shared" si="44"/>
        <v>1705.0907573544753</v>
      </c>
      <c r="E134" s="3">
        <f t="shared" si="30"/>
        <v>22349</v>
      </c>
      <c r="F134" s="64">
        <f t="shared" si="31"/>
        <v>11961.533341471602</v>
      </c>
      <c r="G134" s="115">
        <f t="shared" si="29"/>
        <v>0.38179832082260351</v>
      </c>
      <c r="H134" s="63">
        <f t="shared" si="45"/>
        <v>3373.3083307016968</v>
      </c>
      <c r="I134" s="63">
        <f t="shared" si="27"/>
        <v>337.33083307016966</v>
      </c>
      <c r="J134" s="63">
        <f t="shared" si="23"/>
        <v>64.180833070169683</v>
      </c>
      <c r="K134" s="12">
        <f t="shared" si="32"/>
        <v>0.1808330701696832</v>
      </c>
      <c r="L134" s="12">
        <f t="shared" si="24"/>
        <v>3.270059926699357E-2</v>
      </c>
      <c r="M134" s="64">
        <f t="shared" si="35"/>
        <v>11961.533341471602</v>
      </c>
      <c r="N134" s="115">
        <f t="shared" si="36"/>
        <v>0.38179832082260351</v>
      </c>
      <c r="O134" s="63">
        <f t="shared" si="37"/>
        <v>3373.3767550499842</v>
      </c>
      <c r="P134" s="63">
        <f t="shared" si="38"/>
        <v>337.3376755049984</v>
      </c>
      <c r="Q134" s="63">
        <f t="shared" si="39"/>
        <v>64.187675504998424</v>
      </c>
      <c r="R134" s="12">
        <f t="shared" si="40"/>
        <v>0.187675504998424</v>
      </c>
      <c r="S134" s="47">
        <f t="shared" si="41"/>
        <v>0.187675504998424</v>
      </c>
      <c r="T134" s="47">
        <f t="shared" si="42"/>
        <v>-6.8424348287408066E-2</v>
      </c>
    </row>
    <row r="135" spans="1:20">
      <c r="A135" s="51">
        <v>65</v>
      </c>
      <c r="B135" s="90">
        <v>2.1147999999999998</v>
      </c>
      <c r="C135" s="12">
        <f t="shared" si="43"/>
        <v>10922.333333333334</v>
      </c>
      <c r="D135" s="13">
        <f t="shared" si="44"/>
        <v>1722.9929161747345</v>
      </c>
      <c r="E135" s="3">
        <f t="shared" si="30"/>
        <v>22584</v>
      </c>
      <c r="F135" s="64">
        <f t="shared" si="31"/>
        <v>11982.905453657642</v>
      </c>
      <c r="G135" s="115">
        <f t="shared" si="29"/>
        <v>0.38525038481108942</v>
      </c>
      <c r="H135" s="63">
        <f t="shared" si="45"/>
        <v>3383.7714397945256</v>
      </c>
      <c r="I135" s="63">
        <f t="shared" si="27"/>
        <v>338.37714397945257</v>
      </c>
      <c r="J135" s="63">
        <f t="shared" si="23"/>
        <v>65.227143979452592</v>
      </c>
      <c r="K135" s="12">
        <f t="shared" si="32"/>
        <v>0.22714397945259179</v>
      </c>
      <c r="L135" s="12">
        <f t="shared" si="24"/>
        <v>5.1594387401559444E-2</v>
      </c>
      <c r="M135" s="64">
        <f t="shared" si="35"/>
        <v>11982.905453657642</v>
      </c>
      <c r="N135" s="115">
        <f t="shared" si="36"/>
        <v>0.38525038481108942</v>
      </c>
      <c r="O135" s="63">
        <f t="shared" si="37"/>
        <v>3383.8390521313827</v>
      </c>
      <c r="P135" s="63">
        <f t="shared" si="38"/>
        <v>338.38390521313829</v>
      </c>
      <c r="Q135" s="63">
        <f t="shared" si="39"/>
        <v>65.233905213138314</v>
      </c>
      <c r="R135" s="12">
        <f t="shared" si="40"/>
        <v>0.23390521313831414</v>
      </c>
      <c r="S135" s="47">
        <f t="shared" si="41"/>
        <v>0.23390521313831414</v>
      </c>
      <c r="T135" s="47">
        <f t="shared" si="42"/>
        <v>-6.7612336857223454E-2</v>
      </c>
    </row>
    <row r="136" spans="1:20">
      <c r="A136" s="51">
        <v>66</v>
      </c>
      <c r="B136" s="90">
        <v>2.0426000000000002</v>
      </c>
      <c r="C136" s="12">
        <f t="shared" si="43"/>
        <v>10922.333333333334</v>
      </c>
      <c r="D136" s="13">
        <f>$B$12*($B$9-$B$10)/(B136+$B$9)*1000</f>
        <v>1740.6568596825036</v>
      </c>
      <c r="E136" s="3">
        <f>ROUND($B$11*($B$9-$B$10)/(($B$9+B136)*$B$13),0)</f>
        <v>22815</v>
      </c>
      <c r="F136" s="64">
        <f t="shared" si="31"/>
        <v>12003.913785210729</v>
      </c>
      <c r="G136" s="115">
        <f t="shared" si="29"/>
        <v>0.38863389303486584</v>
      </c>
      <c r="H136" s="63">
        <f t="shared" si="45"/>
        <v>3394.2240524528925</v>
      </c>
      <c r="I136" s="63">
        <f t="shared" si="27"/>
        <v>339.42240524528927</v>
      </c>
      <c r="J136" s="63">
        <f t="shared" si="23"/>
        <v>66.272405245289292</v>
      </c>
      <c r="K136" s="12">
        <f t="shared" si="32"/>
        <v>0.272405245289292</v>
      </c>
      <c r="L136" s="12">
        <f t="shared" si="24"/>
        <v>7.420461766111934E-2</v>
      </c>
      <c r="M136" s="64">
        <f t="shared" si="35"/>
        <v>12003.913785210729</v>
      </c>
      <c r="N136" s="115">
        <f t="shared" si="36"/>
        <v>0.38863389303486584</v>
      </c>
      <c r="O136" s="63">
        <f t="shared" si="37"/>
        <v>3394.2908610861114</v>
      </c>
      <c r="P136" s="63">
        <f t="shared" si="38"/>
        <v>339.42908610861116</v>
      </c>
      <c r="Q136" s="63">
        <f t="shared" si="39"/>
        <v>66.279086108611182</v>
      </c>
      <c r="R136" s="12">
        <f t="shared" si="40"/>
        <v>0.27908610861118177</v>
      </c>
      <c r="S136" s="47">
        <f t="shared" si="41"/>
        <v>0.27908610861118177</v>
      </c>
      <c r="T136" s="47">
        <f t="shared" si="42"/>
        <v>-6.6808633218897739E-2</v>
      </c>
    </row>
    <row r="137" spans="1:20">
      <c r="A137" s="51">
        <v>67</v>
      </c>
      <c r="B137" s="90">
        <v>1.9733000000000001</v>
      </c>
      <c r="C137" s="12">
        <f>32767*$B$9/($B$95+$B$9)</f>
        <v>10922.333333333334</v>
      </c>
      <c r="D137" s="13">
        <f t="shared" ref="D137:D156" si="46">$B$12*($B$9-$B$10)/(B137+$B$9)*1000</f>
        <v>1757.9553439547992</v>
      </c>
      <c r="E137" s="3">
        <f>ROUND($B$11*($B$9-$B$10)/(($B$9+B137)*$B$13),0)</f>
        <v>23042</v>
      </c>
      <c r="F137" s="64">
        <f t="shared" si="31"/>
        <v>12024.558336130862</v>
      </c>
      <c r="G137" s="115">
        <f t="shared" si="29"/>
        <v>0.39194939064306922</v>
      </c>
      <c r="H137" s="63">
        <f t="shared" si="45"/>
        <v>3404.6602154539114</v>
      </c>
      <c r="I137" s="63">
        <f t="shared" si="27"/>
        <v>340.46602154539113</v>
      </c>
      <c r="J137" s="63">
        <f t="shared" si="23"/>
        <v>67.316021545391152</v>
      </c>
      <c r="K137" s="12">
        <f t="shared" si="32"/>
        <v>0.3160215453911519</v>
      </c>
      <c r="L137" s="12">
        <f t="shared" si="24"/>
        <v>9.9869617151411877E-2</v>
      </c>
      <c r="M137" s="64">
        <f t="shared" si="35"/>
        <v>12024.558336130862</v>
      </c>
      <c r="N137" s="115">
        <f t="shared" si="36"/>
        <v>0.39194939064306922</v>
      </c>
      <c r="O137" s="63">
        <f t="shared" si="37"/>
        <v>3404.7262290326762</v>
      </c>
      <c r="P137" s="63">
        <f t="shared" si="38"/>
        <v>340.47262290326762</v>
      </c>
      <c r="Q137" s="63">
        <f t="shared" si="39"/>
        <v>67.322622903267643</v>
      </c>
      <c r="R137" s="12">
        <f t="shared" si="40"/>
        <v>0.32262290326764287</v>
      </c>
      <c r="S137" s="47">
        <f t="shared" si="41"/>
        <v>0.32262290326764287</v>
      </c>
      <c r="T137" s="47">
        <f t="shared" si="42"/>
        <v>-6.6013578764909653E-2</v>
      </c>
    </row>
    <row r="138" spans="1:20">
      <c r="A138" s="51">
        <v>68</v>
      </c>
      <c r="B138" s="90">
        <v>1.9067000000000001</v>
      </c>
      <c r="C138" s="12">
        <f t="shared" ref="C138:C158" si="47">32767*$B$9/($B$95+$B$9)</f>
        <v>10922.333333333334</v>
      </c>
      <c r="D138" s="13">
        <f t="shared" si="46"/>
        <v>1774.9069743871894</v>
      </c>
      <c r="E138" s="3">
        <f t="shared" ref="E138:E157" si="48">ROUND($B$11*($B$9-$B$10)/(($B$9+B138)*$B$13),0)</f>
        <v>23264</v>
      </c>
      <c r="F138" s="64">
        <f t="shared" si="31"/>
        <v>12044.748161259804</v>
      </c>
      <c r="G138" s="115">
        <f t="shared" si="29"/>
        <v>0.39518286448523104</v>
      </c>
      <c r="H138" s="63">
        <f t="shared" si="45"/>
        <v>3415.0267337984433</v>
      </c>
      <c r="I138" s="63">
        <f t="shared" si="27"/>
        <v>341.50267337984434</v>
      </c>
      <c r="J138" s="63">
        <f t="shared" si="23"/>
        <v>68.352673379844362</v>
      </c>
      <c r="K138" s="12">
        <f t="shared" si="32"/>
        <v>0.35267337984436153</v>
      </c>
      <c r="L138" s="12">
        <f t="shared" si="24"/>
        <v>0.12437851285084531</v>
      </c>
      <c r="M138" s="64">
        <f t="shared" si="35"/>
        <v>12044.748161259804</v>
      </c>
      <c r="N138" s="115">
        <f t="shared" si="36"/>
        <v>0.39518286448523104</v>
      </c>
      <c r="O138" s="63">
        <f t="shared" si="37"/>
        <v>3415.0919648379909</v>
      </c>
      <c r="P138" s="63">
        <f t="shared" si="38"/>
        <v>341.50919648379909</v>
      </c>
      <c r="Q138" s="63">
        <f t="shared" si="39"/>
        <v>68.35919648379911</v>
      </c>
      <c r="R138" s="12">
        <f t="shared" si="40"/>
        <v>0.35919648379910996</v>
      </c>
      <c r="S138" s="47">
        <f t="shared" si="41"/>
        <v>0.35919648379910996</v>
      </c>
      <c r="T138" s="47">
        <f t="shared" si="42"/>
        <v>-6.5231039547484215E-2</v>
      </c>
    </row>
    <row r="139" spans="1:20">
      <c r="A139" s="51">
        <v>69</v>
      </c>
      <c r="B139" s="90">
        <v>1.8426</v>
      </c>
      <c r="C139" s="12">
        <f t="shared" si="47"/>
        <v>10922.333333333334</v>
      </c>
      <c r="D139" s="13">
        <f t="shared" si="46"/>
        <v>1791.5339198550259</v>
      </c>
      <c r="E139" s="3">
        <f t="shared" si="48"/>
        <v>23482</v>
      </c>
      <c r="F139" s="64">
        <f t="shared" si="31"/>
        <v>12064.574205755791</v>
      </c>
      <c r="G139" s="115">
        <f t="shared" si="29"/>
        <v>0.39834945710863628</v>
      </c>
      <c r="H139" s="63">
        <f t="shared" si="45"/>
        <v>3425.3629315764438</v>
      </c>
      <c r="I139" s="63">
        <f t="shared" si="27"/>
        <v>342.53629315764437</v>
      </c>
      <c r="J139" s="63">
        <f t="shared" si="23"/>
        <v>69.386293157644388</v>
      </c>
      <c r="K139" s="12">
        <f t="shared" si="32"/>
        <v>0.38629315764438843</v>
      </c>
      <c r="L139" s="12">
        <f t="shared" si="24"/>
        <v>0.14922240364287234</v>
      </c>
      <c r="M139" s="64">
        <f t="shared" si="35"/>
        <v>12064.574205755791</v>
      </c>
      <c r="N139" s="115">
        <f t="shared" si="36"/>
        <v>0.39834945710863628</v>
      </c>
      <c r="O139" s="63">
        <f t="shared" si="37"/>
        <v>3425.4273894180569</v>
      </c>
      <c r="P139" s="63">
        <f t="shared" si="38"/>
        <v>342.54273894180568</v>
      </c>
      <c r="Q139" s="63">
        <f t="shared" si="39"/>
        <v>69.392738941805703</v>
      </c>
      <c r="R139" s="12">
        <f t="shared" si="40"/>
        <v>0.39273894180570323</v>
      </c>
      <c r="S139" s="47">
        <f t="shared" si="41"/>
        <v>0.39273894180570323</v>
      </c>
      <c r="T139" s="47">
        <f t="shared" si="42"/>
        <v>-6.4457841613148048E-2</v>
      </c>
    </row>
    <row r="140" spans="1:20">
      <c r="A140" s="51">
        <v>70</v>
      </c>
      <c r="B140" s="90">
        <v>1.7809999999999999</v>
      </c>
      <c r="C140" s="12">
        <f t="shared" si="47"/>
        <v>10922.333333333334</v>
      </c>
      <c r="D140" s="13">
        <f t="shared" si="46"/>
        <v>1807.8085828048961</v>
      </c>
      <c r="E140" s="3">
        <f t="shared" si="48"/>
        <v>23695</v>
      </c>
      <c r="F140" s="64">
        <f t="shared" si="31"/>
        <v>12083.945524460585</v>
      </c>
      <c r="G140" s="115">
        <f t="shared" si="29"/>
        <v>0.40143520422989026</v>
      </c>
      <c r="H140" s="63">
        <f t="shared" si="45"/>
        <v>3435.6138976975126</v>
      </c>
      <c r="I140" s="63">
        <f t="shared" si="27"/>
        <v>343.56138976975126</v>
      </c>
      <c r="J140" s="63">
        <f t="shared" si="23"/>
        <v>70.411389769751281</v>
      </c>
      <c r="K140" s="12">
        <f t="shared" si="32"/>
        <v>0.41138976975128116</v>
      </c>
      <c r="L140" s="12">
        <f t="shared" si="24"/>
        <v>0.16924154265601213</v>
      </c>
      <c r="M140" s="64">
        <f t="shared" si="35"/>
        <v>12083.945524460585</v>
      </c>
      <c r="N140" s="115">
        <f t="shared" si="36"/>
        <v>0.40143520422989026</v>
      </c>
      <c r="O140" s="63">
        <f t="shared" si="37"/>
        <v>3435.6775955672965</v>
      </c>
      <c r="P140" s="63">
        <f t="shared" si="38"/>
        <v>343.56775955672964</v>
      </c>
      <c r="Q140" s="63">
        <f t="shared" si="39"/>
        <v>70.417759556729663</v>
      </c>
      <c r="R140" s="12">
        <f t="shared" si="40"/>
        <v>0.41775955672966347</v>
      </c>
      <c r="S140" s="47">
        <f t="shared" si="41"/>
        <v>0.41775955672966347</v>
      </c>
      <c r="T140" s="47">
        <f t="shared" si="42"/>
        <v>-6.369786978382308E-2</v>
      </c>
    </row>
    <row r="141" spans="1:20">
      <c r="A141" s="51">
        <v>71</v>
      </c>
      <c r="B141" s="90">
        <v>1.7222999999999999</v>
      </c>
      <c r="C141" s="12">
        <f t="shared" si="47"/>
        <v>10922.333333333334</v>
      </c>
      <c r="D141" s="13">
        <f t="shared" si="46"/>
        <v>1823.594603037651</v>
      </c>
      <c r="E141" s="3">
        <f t="shared" si="48"/>
        <v>23902</v>
      </c>
      <c r="F141" s="64">
        <f t="shared" si="31"/>
        <v>12102.771172215947</v>
      </c>
      <c r="G141" s="115">
        <f t="shared" si="29"/>
        <v>0.40442627750565768</v>
      </c>
      <c r="H141" s="63">
        <f t="shared" si="45"/>
        <v>3445.7217912099386</v>
      </c>
      <c r="I141" s="63">
        <f t="shared" si="27"/>
        <v>344.57217912099384</v>
      </c>
      <c r="J141" s="63">
        <f t="shared" si="23"/>
        <v>71.42217912099386</v>
      </c>
      <c r="K141" s="12">
        <f t="shared" si="32"/>
        <v>0.42217912099386012</v>
      </c>
      <c r="L141" s="12">
        <f t="shared" si="24"/>
        <v>0.17823521020314839</v>
      </c>
      <c r="M141" s="64">
        <f t="shared" si="35"/>
        <v>12102.771172215947</v>
      </c>
      <c r="N141" s="115">
        <f t="shared" si="36"/>
        <v>0.40442627750565768</v>
      </c>
      <c r="O141" s="63">
        <f t="shared" si="37"/>
        <v>3445.784746289185</v>
      </c>
      <c r="P141" s="63">
        <f t="shared" si="38"/>
        <v>344.57847462891851</v>
      </c>
      <c r="Q141" s="63">
        <f t="shared" si="39"/>
        <v>71.428474628918536</v>
      </c>
      <c r="R141" s="12">
        <f t="shared" si="40"/>
        <v>0.42847462891853638</v>
      </c>
      <c r="S141" s="47">
        <f t="shared" si="41"/>
        <v>0.42847462891853638</v>
      </c>
      <c r="T141" s="47">
        <f t="shared" si="42"/>
        <v>-6.295507924676258E-2</v>
      </c>
    </row>
    <row r="142" spans="1:20">
      <c r="A142" s="51">
        <v>72</v>
      </c>
      <c r="B142" s="90">
        <v>1.6658999999999999</v>
      </c>
      <c r="C142" s="12">
        <f t="shared" si="47"/>
        <v>10922.333333333334</v>
      </c>
      <c r="D142" s="13">
        <f t="shared" si="46"/>
        <v>1839.0239877585925</v>
      </c>
      <c r="E142" s="3">
        <f t="shared" si="48"/>
        <v>24104</v>
      </c>
      <c r="F142" s="64">
        <f t="shared" si="31"/>
        <v>12121.142094180119</v>
      </c>
      <c r="G142" s="115">
        <f t="shared" si="29"/>
        <v>0.4073377647460068</v>
      </c>
      <c r="H142" s="63">
        <f t="shared" si="45"/>
        <v>3455.7256953722253</v>
      </c>
      <c r="I142" s="63">
        <f t="shared" si="27"/>
        <v>345.57256953722253</v>
      </c>
      <c r="J142" s="63">
        <f t="shared" si="23"/>
        <v>72.422569537222557</v>
      </c>
      <c r="K142" s="12">
        <f t="shared" si="32"/>
        <v>0.4225695372225573</v>
      </c>
      <c r="L142" s="12">
        <f t="shared" si="24"/>
        <v>0.17856501378848624</v>
      </c>
      <c r="M142" s="64">
        <f t="shared" si="35"/>
        <v>12121.142094180119</v>
      </c>
      <c r="N142" s="115">
        <f t="shared" si="36"/>
        <v>0.4073377647460068</v>
      </c>
      <c r="O142" s="63">
        <f t="shared" si="37"/>
        <v>3455.7879216256392</v>
      </c>
      <c r="P142" s="63">
        <f t="shared" si="38"/>
        <v>345.5787921625639</v>
      </c>
      <c r="Q142" s="63">
        <f t="shared" si="39"/>
        <v>72.428792162563923</v>
      </c>
      <c r="R142" s="12">
        <f t="shared" si="40"/>
        <v>0.42879216256392283</v>
      </c>
      <c r="S142" s="47">
        <f t="shared" si="41"/>
        <v>0.42879216256392283</v>
      </c>
      <c r="T142" s="47">
        <f t="shared" si="42"/>
        <v>-6.2226253413655286E-2</v>
      </c>
    </row>
    <row r="143" spans="1:20">
      <c r="A143" s="51">
        <v>73</v>
      </c>
      <c r="B143" s="90">
        <v>1.6115999999999999</v>
      </c>
      <c r="C143" s="12">
        <f t="shared" si="47"/>
        <v>10922.333333333334</v>
      </c>
      <c r="D143" s="13">
        <f t="shared" si="46"/>
        <v>1854.1275939258276</v>
      </c>
      <c r="E143" s="3">
        <f t="shared" si="48"/>
        <v>24302</v>
      </c>
      <c r="F143" s="64">
        <f t="shared" si="31"/>
        <v>12139.149235511337</v>
      </c>
      <c r="G143" s="115">
        <f t="shared" si="29"/>
        <v>0.41018459067506602</v>
      </c>
      <c r="H143" s="63">
        <f t="shared" si="45"/>
        <v>3465.6674415808693</v>
      </c>
      <c r="I143" s="63">
        <f t="shared" si="27"/>
        <v>346.56674415808692</v>
      </c>
      <c r="J143" s="63">
        <f t="shared" si="23"/>
        <v>73.416744158086942</v>
      </c>
      <c r="K143" s="12">
        <f t="shared" si="32"/>
        <v>0.41674415808694221</v>
      </c>
      <c r="L143" s="12">
        <f t="shared" si="24"/>
        <v>0.17367569329959429</v>
      </c>
      <c r="M143" s="64">
        <f t="shared" si="35"/>
        <v>12139.149235511337</v>
      </c>
      <c r="N143" s="115">
        <f t="shared" si="36"/>
        <v>0.41018459067506602</v>
      </c>
      <c r="O143" s="63">
        <f t="shared" si="37"/>
        <v>3465.7289496644266</v>
      </c>
      <c r="P143" s="63">
        <f t="shared" si="38"/>
        <v>346.57289496644268</v>
      </c>
      <c r="Q143" s="63">
        <f t="shared" si="39"/>
        <v>73.422894966442698</v>
      </c>
      <c r="R143" s="12">
        <f t="shared" si="40"/>
        <v>0.42289496644269775</v>
      </c>
      <c r="S143" s="47">
        <f t="shared" si="41"/>
        <v>0.42289496644269775</v>
      </c>
      <c r="T143" s="47">
        <f t="shared" si="42"/>
        <v>-6.1508083557555437E-2</v>
      </c>
    </row>
    <row r="144" spans="1:20">
      <c r="A144" s="51">
        <v>74</v>
      </c>
      <c r="B144" s="90">
        <v>1.5593999999999999</v>
      </c>
      <c r="C144" s="12">
        <f t="shared" si="47"/>
        <v>10922.333333333334</v>
      </c>
      <c r="D144" s="13">
        <f t="shared" si="46"/>
        <v>1868.8828246485959</v>
      </c>
      <c r="E144" s="3">
        <f t="shared" si="48"/>
        <v>24496</v>
      </c>
      <c r="F144" s="64">
        <f t="shared" si="31"/>
        <v>12156.792596209601</v>
      </c>
      <c r="G144" s="115">
        <f t="shared" si="29"/>
        <v>0.4129672002887812</v>
      </c>
      <c r="H144" s="63">
        <f t="shared" si="45"/>
        <v>3475.5403244774348</v>
      </c>
      <c r="I144" s="63">
        <f t="shared" si="27"/>
        <v>347.55403244774345</v>
      </c>
      <c r="J144" s="63">
        <f t="shared" si="23"/>
        <v>74.404032447743475</v>
      </c>
      <c r="K144" s="12">
        <f t="shared" si="32"/>
        <v>0.40403244774347513</v>
      </c>
      <c r="L144" s="12">
        <f t="shared" si="24"/>
        <v>0.16324221882958395</v>
      </c>
      <c r="M144" s="64">
        <f t="shared" si="35"/>
        <v>12156.792596209601</v>
      </c>
      <c r="N144" s="115">
        <f t="shared" si="36"/>
        <v>0.4129672002887812</v>
      </c>
      <c r="O144" s="63">
        <f t="shared" si="37"/>
        <v>3475.601125307553</v>
      </c>
      <c r="P144" s="63">
        <f t="shared" si="38"/>
        <v>347.5601125307553</v>
      </c>
      <c r="Q144" s="63">
        <f t="shared" si="39"/>
        <v>74.410112530755327</v>
      </c>
      <c r="R144" s="12">
        <f t="shared" si="40"/>
        <v>0.4101125307553275</v>
      </c>
      <c r="S144" s="47">
        <f t="shared" si="41"/>
        <v>0.4101125307553275</v>
      </c>
      <c r="T144" s="47">
        <f t="shared" si="42"/>
        <v>-6.0800830118523663E-2</v>
      </c>
    </row>
    <row r="145" spans="1:20">
      <c r="A145" s="51">
        <v>75</v>
      </c>
      <c r="B145" s="90">
        <v>1.5091000000000001</v>
      </c>
      <c r="C145" s="12">
        <f t="shared" si="47"/>
        <v>10922.333333333334</v>
      </c>
      <c r="D145" s="13">
        <f t="shared" si="46"/>
        <v>1883.3248836244643</v>
      </c>
      <c r="E145" s="3">
        <f t="shared" si="48"/>
        <v>24685</v>
      </c>
      <c r="F145" s="64">
        <f t="shared" ref="F145:F157" si="49">$E145+($C145-$E145)*(32767-$F$2)/(32767-$C145)</f>
        <v>12173.981231116673</v>
      </c>
      <c r="G145" s="115">
        <f t="shared" si="29"/>
        <v>0.4156717339571942</v>
      </c>
      <c r="H145" s="63">
        <f t="shared" si="45"/>
        <v>3485.2857028409462</v>
      </c>
      <c r="I145" s="63">
        <f t="shared" si="27"/>
        <v>348.5285702840946</v>
      </c>
      <c r="J145" s="63">
        <f t="shared" si="23"/>
        <v>75.378570284094621</v>
      </c>
      <c r="K145" s="12">
        <f t="shared" ref="K145:K170" si="50">(J145-A145)</f>
        <v>0.37857028409462146</v>
      </c>
      <c r="L145" s="12">
        <f t="shared" si="24"/>
        <v>0.14331545999948239</v>
      </c>
      <c r="M145" s="64">
        <f t="shared" si="35"/>
        <v>12173.981231116673</v>
      </c>
      <c r="N145" s="115">
        <f t="shared" si="36"/>
        <v>0.4156717339571942</v>
      </c>
      <c r="O145" s="63">
        <f t="shared" si="37"/>
        <v>3485.3458112579501</v>
      </c>
      <c r="P145" s="63">
        <f t="shared" si="38"/>
        <v>348.534581125795</v>
      </c>
      <c r="Q145" s="63">
        <f t="shared" si="39"/>
        <v>75.384581125795023</v>
      </c>
      <c r="R145" s="12">
        <f t="shared" si="40"/>
        <v>0.38458112579502313</v>
      </c>
      <c r="S145" s="47">
        <f t="shared" si="41"/>
        <v>0.38458112579502313</v>
      </c>
      <c r="T145" s="47">
        <f t="shared" si="42"/>
        <v>-6.0108417004016701E-2</v>
      </c>
    </row>
    <row r="146" spans="1:20">
      <c r="A146" s="51">
        <v>76</v>
      </c>
      <c r="B146" s="90">
        <v>1.4605999999999999</v>
      </c>
      <c r="C146" s="12">
        <f t="shared" si="47"/>
        <v>10922.333333333334</v>
      </c>
      <c r="D146" s="13">
        <f t="shared" si="46"/>
        <v>1897.463083924094</v>
      </c>
      <c r="E146" s="3">
        <f t="shared" si="48"/>
        <v>24870</v>
      </c>
      <c r="F146" s="64">
        <f t="shared" si="49"/>
        <v>12190.80608539079</v>
      </c>
      <c r="G146" s="115">
        <f t="shared" si="29"/>
        <v>0.41831297159371245</v>
      </c>
      <c r="H146" s="63">
        <f t="shared" si="45"/>
        <v>3494.9473885117891</v>
      </c>
      <c r="I146" s="63">
        <f t="shared" si="27"/>
        <v>349.49473885117891</v>
      </c>
      <c r="J146" s="63">
        <f t="shared" si="23"/>
        <v>76.344738851178931</v>
      </c>
      <c r="K146" s="12">
        <f t="shared" si="50"/>
        <v>0.34473885117893133</v>
      </c>
      <c r="L146" s="12">
        <f t="shared" si="24"/>
        <v>0.11884487551216937</v>
      </c>
      <c r="M146" s="64">
        <f t="shared" si="35"/>
        <v>12190.80608539079</v>
      </c>
      <c r="N146" s="115">
        <f t="shared" si="36"/>
        <v>0.41831297159371245</v>
      </c>
      <c r="O146" s="63">
        <f t="shared" si="37"/>
        <v>3495.006815960699</v>
      </c>
      <c r="P146" s="63">
        <f t="shared" si="38"/>
        <v>349.50068159606991</v>
      </c>
      <c r="Q146" s="63">
        <f t="shared" si="39"/>
        <v>76.350681596069933</v>
      </c>
      <c r="R146" s="12">
        <f t="shared" si="40"/>
        <v>0.35068159606993277</v>
      </c>
      <c r="S146" s="47">
        <f t="shared" si="41"/>
        <v>0.35068159606993277</v>
      </c>
      <c r="T146" s="47">
        <f t="shared" si="42"/>
        <v>-5.9427448910014391E-2</v>
      </c>
    </row>
    <row r="147" spans="1:20">
      <c r="A147" s="51">
        <v>77</v>
      </c>
      <c r="B147" s="90">
        <v>1.4138999999999999</v>
      </c>
      <c r="C147" s="12">
        <f t="shared" si="47"/>
        <v>10922.333333333334</v>
      </c>
      <c r="D147" s="13">
        <f t="shared" si="46"/>
        <v>1911.2786292271476</v>
      </c>
      <c r="E147" s="3">
        <f t="shared" si="48"/>
        <v>25052</v>
      </c>
      <c r="F147" s="64">
        <f t="shared" si="49"/>
        <v>12207.358104190193</v>
      </c>
      <c r="G147" s="115">
        <f t="shared" si="29"/>
        <v>0.42090555075108133</v>
      </c>
      <c r="H147" s="63">
        <f t="shared" si="45"/>
        <v>3504.5718387502839</v>
      </c>
      <c r="I147" s="63">
        <f t="shared" si="27"/>
        <v>350.45718387502836</v>
      </c>
      <c r="J147" s="63">
        <f t="shared" si="23"/>
        <v>77.307183875028386</v>
      </c>
      <c r="K147" s="12">
        <f t="shared" si="50"/>
        <v>0.30718387502838596</v>
      </c>
      <c r="L147" s="12">
        <f t="shared" si="24"/>
        <v>9.4361933077455037E-2</v>
      </c>
      <c r="M147" s="64">
        <f t="shared" si="35"/>
        <v>12207.358104190193</v>
      </c>
      <c r="N147" s="115">
        <f t="shared" si="36"/>
        <v>0.42090555075108133</v>
      </c>
      <c r="O147" s="63">
        <f t="shared" si="37"/>
        <v>3504.6305932029391</v>
      </c>
      <c r="P147" s="63">
        <f t="shared" si="38"/>
        <v>350.46305932029389</v>
      </c>
      <c r="Q147" s="63">
        <f t="shared" si="39"/>
        <v>77.313059320293917</v>
      </c>
      <c r="R147" s="12">
        <f t="shared" si="40"/>
        <v>0.3130593202939167</v>
      </c>
      <c r="S147" s="47">
        <f t="shared" si="41"/>
        <v>0.3130593202939167</v>
      </c>
      <c r="T147" s="47">
        <f t="shared" si="42"/>
        <v>-5.8754452655307432E-2</v>
      </c>
    </row>
    <row r="148" spans="1:20">
      <c r="A148" s="51">
        <v>78</v>
      </c>
      <c r="B148" s="90">
        <v>1.3689</v>
      </c>
      <c r="C148" s="12">
        <f t="shared" si="47"/>
        <v>10922.333333333334</v>
      </c>
      <c r="D148" s="13">
        <f t="shared" si="46"/>
        <v>1924.7829295482736</v>
      </c>
      <c r="E148" s="3">
        <f t="shared" si="48"/>
        <v>25229</v>
      </c>
      <c r="F148" s="64">
        <f t="shared" si="49"/>
        <v>12223.455397198401</v>
      </c>
      <c r="G148" s="115">
        <f t="shared" si="29"/>
        <v>0.42342137965936222</v>
      </c>
      <c r="H148" s="63">
        <f t="shared" si="45"/>
        <v>3514.0465368371888</v>
      </c>
      <c r="I148" s="63">
        <f t="shared" si="27"/>
        <v>351.40465368371889</v>
      </c>
      <c r="J148" s="63">
        <f t="shared" si="23"/>
        <v>78.254653683718914</v>
      </c>
      <c r="K148" s="12">
        <f t="shared" si="50"/>
        <v>0.25465368371891373</v>
      </c>
      <c r="L148" s="12">
        <f t="shared" si="24"/>
        <v>6.4848498631612544E-2</v>
      </c>
      <c r="M148" s="64">
        <f t="shared" si="35"/>
        <v>12223.455397198401</v>
      </c>
      <c r="N148" s="115">
        <f t="shared" si="36"/>
        <v>0.42342137965936222</v>
      </c>
      <c r="O148" s="63">
        <f t="shared" si="37"/>
        <v>3514.1046338862079</v>
      </c>
      <c r="P148" s="63">
        <f t="shared" si="38"/>
        <v>351.41046338862077</v>
      </c>
      <c r="Q148" s="63">
        <f t="shared" si="39"/>
        <v>78.260463388620792</v>
      </c>
      <c r="R148" s="12">
        <f t="shared" si="40"/>
        <v>0.2604633886207921</v>
      </c>
      <c r="S148" s="47">
        <f t="shared" si="41"/>
        <v>0.2604633886207921</v>
      </c>
      <c r="T148" s="47">
        <f t="shared" si="42"/>
        <v>-5.8097049018783764E-2</v>
      </c>
    </row>
    <row r="149" spans="1:20">
      <c r="A149" s="51">
        <v>79</v>
      </c>
      <c r="B149" s="90">
        <v>1.3254999999999999</v>
      </c>
      <c r="C149" s="12">
        <f t="shared" si="47"/>
        <v>10922.333333333334</v>
      </c>
      <c r="D149" s="13">
        <f t="shared" si="46"/>
        <v>1937.9890917714015</v>
      </c>
      <c r="E149" s="3">
        <f t="shared" si="48"/>
        <v>25402</v>
      </c>
      <c r="F149" s="64">
        <f t="shared" si="49"/>
        <v>12239.188909573657</v>
      </c>
      <c r="G149" s="115">
        <f t="shared" si="29"/>
        <v>0.42587510547554025</v>
      </c>
      <c r="H149" s="63">
        <f t="shared" si="45"/>
        <v>3523.4173139337672</v>
      </c>
      <c r="I149" s="63">
        <f t="shared" si="27"/>
        <v>352.34173139337673</v>
      </c>
      <c r="J149" s="63">
        <f t="shared" si="23"/>
        <v>79.191731393376756</v>
      </c>
      <c r="K149" s="12">
        <f t="shared" si="50"/>
        <v>0.19173139337675593</v>
      </c>
      <c r="L149" s="12">
        <f t="shared" si="24"/>
        <v>3.6760927206192326E-2</v>
      </c>
      <c r="M149" s="64">
        <f t="shared" si="35"/>
        <v>12239.188909573657</v>
      </c>
      <c r="N149" s="115">
        <f t="shared" si="36"/>
        <v>0.42587510547554025</v>
      </c>
      <c r="O149" s="63">
        <f t="shared" si="37"/>
        <v>3523.4747656991144</v>
      </c>
      <c r="P149" s="63">
        <f t="shared" si="38"/>
        <v>352.34747656991146</v>
      </c>
      <c r="Q149" s="63">
        <f t="shared" si="39"/>
        <v>79.197476569911487</v>
      </c>
      <c r="R149" s="12">
        <f t="shared" si="40"/>
        <v>0.19747656991148688</v>
      </c>
      <c r="S149" s="47">
        <f t="shared" si="41"/>
        <v>0.19747656991148688</v>
      </c>
      <c r="T149" s="47">
        <f t="shared" si="42"/>
        <v>-5.7451765347309447E-2</v>
      </c>
    </row>
    <row r="150" spans="1:20">
      <c r="A150" s="51">
        <v>80</v>
      </c>
      <c r="B150" s="90">
        <v>1.2838000000000001</v>
      </c>
      <c r="C150" s="12">
        <f t="shared" si="47"/>
        <v>10922.333333333334</v>
      </c>
      <c r="D150" s="13">
        <f t="shared" si="46"/>
        <v>1950.8498042585697</v>
      </c>
      <c r="E150" s="3">
        <f t="shared" si="48"/>
        <v>25570</v>
      </c>
      <c r="F150" s="64">
        <f t="shared" si="49"/>
        <v>12254.467696157721</v>
      </c>
      <c r="G150" s="115">
        <f t="shared" si="29"/>
        <v>0.42825296456329848</v>
      </c>
      <c r="H150" s="63">
        <f>$K$3*G150^3+$K$4*G150^2+$K$5*G150^1+$K$6</f>
        <v>3532.6223707449108</v>
      </c>
      <c r="I150" s="63">
        <f t="shared" si="27"/>
        <v>353.26223707449105</v>
      </c>
      <c r="J150" s="63">
        <f t="shared" si="23"/>
        <v>80.112237074491077</v>
      </c>
      <c r="K150" s="12">
        <f t="shared" si="50"/>
        <v>0.11223707449107678</v>
      </c>
      <c r="L150" s="12">
        <f t="shared" si="24"/>
        <v>1.2597160890315519E-2</v>
      </c>
      <c r="M150" s="64">
        <f t="shared" si="35"/>
        <v>12254.467696157721</v>
      </c>
      <c r="N150" s="115">
        <f t="shared" si="36"/>
        <v>0.42825296456329848</v>
      </c>
      <c r="O150" s="63">
        <f t="shared" si="37"/>
        <v>3532.6791933084869</v>
      </c>
      <c r="P150" s="63">
        <f t="shared" si="38"/>
        <v>353.26791933084871</v>
      </c>
      <c r="Q150" s="63">
        <f t="shared" si="39"/>
        <v>80.117919330848736</v>
      </c>
      <c r="R150" s="12">
        <f t="shared" si="40"/>
        <v>0.11791933084873563</v>
      </c>
      <c r="S150" s="47">
        <f t="shared" si="41"/>
        <v>0.11791933084873563</v>
      </c>
      <c r="T150" s="47">
        <f t="shared" si="42"/>
        <v>-5.6822563576588436E-2</v>
      </c>
    </row>
    <row r="151" spans="1:20">
      <c r="A151" s="51">
        <v>81</v>
      </c>
      <c r="B151" s="90">
        <v>1.2436</v>
      </c>
      <c r="C151" s="12">
        <f t="shared" si="47"/>
        <v>10922.333333333334</v>
      </c>
      <c r="D151" s="13">
        <f t="shared" si="46"/>
        <v>1963.4105323851627</v>
      </c>
      <c r="E151" s="3">
        <f t="shared" si="48"/>
        <v>25735</v>
      </c>
      <c r="F151" s="64">
        <f t="shared" si="49"/>
        <v>12269.473647267068</v>
      </c>
      <c r="G151" s="115">
        <f t="shared" si="29"/>
        <v>0.43058362914292397</v>
      </c>
      <c r="H151" s="63">
        <f t="shared" ref="H151:H170" si="51">$K$3*G151^3+$K$4*G151^2+$K$5*G151^1+$K$6</f>
        <v>3541.7646478411343</v>
      </c>
      <c r="I151" s="63">
        <f t="shared" si="27"/>
        <v>354.17646478411342</v>
      </c>
      <c r="J151" s="63">
        <f t="shared" si="23"/>
        <v>81.026464784113443</v>
      </c>
      <c r="K151" s="12">
        <f t="shared" si="50"/>
        <v>2.6464784113443329E-2</v>
      </c>
      <c r="L151" s="12">
        <f t="shared" si="24"/>
        <v>7.0038479817116238E-4</v>
      </c>
      <c r="M151" s="64">
        <f t="shared" si="35"/>
        <v>12269.473647267068</v>
      </c>
      <c r="N151" s="115">
        <f t="shared" si="36"/>
        <v>0.43058362914292397</v>
      </c>
      <c r="O151" s="63">
        <f t="shared" si="37"/>
        <v>3541.8208499955804</v>
      </c>
      <c r="P151" s="63">
        <f t="shared" si="38"/>
        <v>354.18208499955801</v>
      </c>
      <c r="Q151" s="63">
        <f t="shared" si="39"/>
        <v>81.032084999558037</v>
      </c>
      <c r="R151" s="12">
        <f t="shared" si="40"/>
        <v>3.2084999558037453E-2</v>
      </c>
      <c r="S151" s="47">
        <f t="shared" si="41"/>
        <v>3.2084999558037453E-2</v>
      </c>
      <c r="T151" s="47">
        <f t="shared" si="42"/>
        <v>-5.6202154445941233E-2</v>
      </c>
    </row>
    <row r="152" spans="1:20">
      <c r="A152" s="51">
        <v>82</v>
      </c>
      <c r="B152" s="90">
        <v>1.2048000000000001</v>
      </c>
      <c r="C152" s="12">
        <f t="shared" si="47"/>
        <v>10922.333333333334</v>
      </c>
      <c r="D152" s="13">
        <f t="shared" si="46"/>
        <v>1975.6881768953067</v>
      </c>
      <c r="E152" s="3">
        <f t="shared" si="48"/>
        <v>25896</v>
      </c>
      <c r="F152" s="64">
        <f t="shared" si="49"/>
        <v>12284.115817743461</v>
      </c>
      <c r="G152" s="115">
        <f t="shared" si="29"/>
        <v>0.43285328541062534</v>
      </c>
      <c r="H152" s="63">
        <f t="shared" si="51"/>
        <v>3550.7830617979585</v>
      </c>
      <c r="I152" s="63">
        <f t="shared" si="27"/>
        <v>355.07830617979585</v>
      </c>
      <c r="J152" s="63">
        <f t="shared" si="23"/>
        <v>81.928306179795868</v>
      </c>
      <c r="K152" s="12">
        <f t="shared" si="50"/>
        <v>-7.1693820204131953E-2</v>
      </c>
      <c r="L152" s="12">
        <f t="shared" si="24"/>
        <v>5.1400038554623986E-3</v>
      </c>
      <c r="M152" s="64">
        <f t="shared" si="35"/>
        <v>12284.115817743461</v>
      </c>
      <c r="N152" s="115">
        <f t="shared" si="36"/>
        <v>0.43285328541062534</v>
      </c>
      <c r="O152" s="63">
        <f t="shared" si="37"/>
        <v>3550.8386562680644</v>
      </c>
      <c r="P152" s="63">
        <f t="shared" si="38"/>
        <v>355.08386562680641</v>
      </c>
      <c r="Q152" s="63">
        <f t="shared" si="39"/>
        <v>81.933865626806437</v>
      </c>
      <c r="R152" s="12">
        <f t="shared" si="40"/>
        <v>-6.6134373193563079E-2</v>
      </c>
      <c r="S152" s="47">
        <f t="shared" si="41"/>
        <v>-6.6134373193563079E-2</v>
      </c>
      <c r="T152" s="47">
        <f t="shared" si="42"/>
        <v>-5.5594470105688742E-2</v>
      </c>
    </row>
    <row r="153" spans="1:20">
      <c r="A153" s="51">
        <v>83</v>
      </c>
      <c r="B153" s="90">
        <v>1.1674</v>
      </c>
      <c r="C153" s="12">
        <f t="shared" si="47"/>
        <v>10922.333333333334</v>
      </c>
      <c r="D153" s="13">
        <f t="shared" si="46"/>
        <v>1987.6690339527195</v>
      </c>
      <c r="E153" s="3">
        <f t="shared" si="48"/>
        <v>26053</v>
      </c>
      <c r="F153" s="64">
        <f t="shared" si="49"/>
        <v>12298.394207586902</v>
      </c>
      <c r="G153" s="115">
        <f t="shared" si="29"/>
        <v>0.43506227777426637</v>
      </c>
      <c r="H153" s="63">
        <f t="shared" si="51"/>
        <v>3559.6710717578735</v>
      </c>
      <c r="I153" s="63">
        <f t="shared" si="27"/>
        <v>355.96710717578736</v>
      </c>
      <c r="J153" s="63">
        <f t="shared" si="23"/>
        <v>82.817107175787385</v>
      </c>
      <c r="K153" s="12">
        <f t="shared" si="50"/>
        <v>-0.18289282421261532</v>
      </c>
      <c r="L153" s="12">
        <f t="shared" si="24"/>
        <v>3.344978514846661E-2</v>
      </c>
      <c r="M153" s="64">
        <f t="shared" si="35"/>
        <v>12298.394207586902</v>
      </c>
      <c r="N153" s="115">
        <f t="shared" si="36"/>
        <v>0.43506227777426637</v>
      </c>
      <c r="O153" s="63">
        <f t="shared" si="37"/>
        <v>3559.726071455827</v>
      </c>
      <c r="P153" s="63">
        <f t="shared" si="38"/>
        <v>355.97260714558269</v>
      </c>
      <c r="Q153" s="63">
        <f t="shared" si="39"/>
        <v>82.822607145582708</v>
      </c>
      <c r="R153" s="12">
        <f t="shared" si="40"/>
        <v>-0.1773928544172918</v>
      </c>
      <c r="S153" s="47">
        <f t="shared" si="41"/>
        <v>-0.1773928544172918</v>
      </c>
      <c r="T153" s="47">
        <f t="shared" si="42"/>
        <v>-5.4999697953235227E-2</v>
      </c>
    </row>
    <row r="154" spans="1:20">
      <c r="A154" s="51">
        <v>84</v>
      </c>
      <c r="B154" s="90">
        <v>1.1314</v>
      </c>
      <c r="C154" s="12">
        <f t="shared" si="47"/>
        <v>10922.333333333334</v>
      </c>
      <c r="D154" s="13">
        <f t="shared" si="46"/>
        <v>1999.3394657011449</v>
      </c>
      <c r="E154" s="3">
        <f t="shared" si="48"/>
        <v>26206</v>
      </c>
      <c r="F154" s="64">
        <f t="shared" si="49"/>
        <v>12312.308816797387</v>
      </c>
      <c r="G154" s="115">
        <f t="shared" si="29"/>
        <v>0.43721094047750786</v>
      </c>
      <c r="H154" s="63">
        <f t="shared" si="51"/>
        <v>3568.4222076474043</v>
      </c>
      <c r="I154" s="63">
        <f t="shared" si="27"/>
        <v>356.84222076474043</v>
      </c>
      <c r="J154" s="63">
        <f t="shared" si="23"/>
        <v>83.692220764740455</v>
      </c>
      <c r="K154" s="12">
        <f t="shared" si="50"/>
        <v>-0.3077792352595452</v>
      </c>
      <c r="L154" s="12">
        <f t="shared" si="24"/>
        <v>9.4728057656950471E-2</v>
      </c>
      <c r="M154" s="64">
        <f t="shared" si="35"/>
        <v>12312.308816797387</v>
      </c>
      <c r="N154" s="115">
        <f t="shared" si="36"/>
        <v>0.43721094047750786</v>
      </c>
      <c r="O154" s="63">
        <f t="shared" si="37"/>
        <v>3568.4766256659304</v>
      </c>
      <c r="P154" s="63">
        <f t="shared" si="38"/>
        <v>356.84766256659304</v>
      </c>
      <c r="Q154" s="63">
        <f t="shared" si="39"/>
        <v>83.697662566593067</v>
      </c>
      <c r="R154" s="12">
        <f t="shared" si="40"/>
        <v>-0.30233743340693309</v>
      </c>
      <c r="S154" s="47">
        <f t="shared" si="41"/>
        <v>-0.30233743340693309</v>
      </c>
      <c r="T154" s="47">
        <f t="shared" si="42"/>
        <v>-5.4418018526121159E-2</v>
      </c>
    </row>
    <row r="155" spans="1:20">
      <c r="A155" s="51">
        <v>85</v>
      </c>
      <c r="B155" s="90">
        <v>1.0966</v>
      </c>
      <c r="C155" s="12">
        <f t="shared" si="47"/>
        <v>10922.333333333334</v>
      </c>
      <c r="D155" s="13">
        <f t="shared" si="46"/>
        <v>2010.7518944985729</v>
      </c>
      <c r="E155" s="3">
        <f t="shared" si="48"/>
        <v>26355</v>
      </c>
      <c r="F155" s="64">
        <f t="shared" si="49"/>
        <v>12325.85964537492</v>
      </c>
      <c r="G155" s="115">
        <f t="shared" si="29"/>
        <v>0.43929959772923982</v>
      </c>
      <c r="H155" s="63">
        <f t="shared" si="51"/>
        <v>3577.0300789802518</v>
      </c>
      <c r="I155" s="63">
        <f t="shared" si="27"/>
        <v>357.70300789802519</v>
      </c>
      <c r="J155" s="63">
        <f t="shared" si="23"/>
        <v>84.553007898025214</v>
      </c>
      <c r="K155" s="12">
        <f t="shared" si="50"/>
        <v>-0.44699210197478578</v>
      </c>
      <c r="L155" s="12">
        <f t="shared" si="24"/>
        <v>0.19980193922783729</v>
      </c>
      <c r="M155" s="64">
        <f t="shared" si="35"/>
        <v>12325.85964537492</v>
      </c>
      <c r="N155" s="115">
        <f t="shared" si="36"/>
        <v>0.43929959772923982</v>
      </c>
      <c r="O155" s="63">
        <f t="shared" si="37"/>
        <v>3577.0839285859411</v>
      </c>
      <c r="P155" s="63">
        <f t="shared" si="38"/>
        <v>357.7083928585941</v>
      </c>
      <c r="Q155" s="63">
        <f t="shared" si="39"/>
        <v>84.558392858594118</v>
      </c>
      <c r="R155" s="12">
        <f t="shared" si="40"/>
        <v>-0.44160714140588198</v>
      </c>
      <c r="S155" s="47">
        <f t="shared" si="41"/>
        <v>-0.44160714140588198</v>
      </c>
      <c r="T155" s="47">
        <f t="shared" si="42"/>
        <v>-5.3849605689038071E-2</v>
      </c>
    </row>
    <row r="156" spans="1:20">
      <c r="A156" s="51">
        <v>86</v>
      </c>
      <c r="B156" s="90">
        <v>1.0630999999999999</v>
      </c>
      <c r="C156" s="12">
        <f t="shared" si="47"/>
        <v>10922.333333333334</v>
      </c>
      <c r="D156" s="13">
        <f t="shared" si="46"/>
        <v>2021.8617538882747</v>
      </c>
      <c r="E156" s="3">
        <f t="shared" si="48"/>
        <v>26501</v>
      </c>
      <c r="F156" s="64">
        <f t="shared" si="49"/>
        <v>12339.137638477738</v>
      </c>
      <c r="G156" s="115">
        <f t="shared" si="29"/>
        <v>0.441342544323227</v>
      </c>
      <c r="H156" s="63">
        <f t="shared" si="51"/>
        <v>3585.5469965889415</v>
      </c>
      <c r="I156" s="63">
        <f t="shared" si="27"/>
        <v>358.55469965889415</v>
      </c>
      <c r="J156" s="63">
        <f t="shared" si="23"/>
        <v>85.404699658894174</v>
      </c>
      <c r="K156" s="12">
        <f t="shared" si="50"/>
        <v>-0.59530034110582619</v>
      </c>
      <c r="L156" s="12">
        <f t="shared" si="24"/>
        <v>0.35438249612071304</v>
      </c>
      <c r="M156" s="64">
        <f t="shared" si="35"/>
        <v>12339.137638477738</v>
      </c>
      <c r="N156" s="115">
        <f t="shared" si="36"/>
        <v>0.441342544323227</v>
      </c>
      <c r="O156" s="63">
        <f t="shared" si="37"/>
        <v>3585.6002873820839</v>
      </c>
      <c r="P156" s="63">
        <f t="shared" si="38"/>
        <v>358.56002873820842</v>
      </c>
      <c r="Q156" s="63">
        <f t="shared" si="39"/>
        <v>85.410028738208439</v>
      </c>
      <c r="R156" s="12">
        <f t="shared" si="40"/>
        <v>-0.58997126179156112</v>
      </c>
      <c r="S156" s="47">
        <f t="shared" si="41"/>
        <v>-0.58997126179156112</v>
      </c>
      <c r="T156" s="47">
        <f t="shared" si="42"/>
        <v>-5.3290793142650728E-2</v>
      </c>
    </row>
    <row r="157" spans="1:20">
      <c r="A157" s="51">
        <v>87</v>
      </c>
      <c r="B157" s="90">
        <v>1.0307999999999999</v>
      </c>
      <c r="C157" s="12">
        <f t="shared" si="47"/>
        <v>10922.333333333334</v>
      </c>
      <c r="D157" s="13">
        <f>$B$12*($B$9-$B$10)/(B157+$B$9)*1000</f>
        <v>2032.6905219871328</v>
      </c>
      <c r="E157" s="3">
        <f t="shared" si="48"/>
        <v>26643</v>
      </c>
      <c r="F157" s="64">
        <f t="shared" si="49"/>
        <v>12352.051850947601</v>
      </c>
      <c r="G157" s="115">
        <f t="shared" si="29"/>
        <v>0.44332605640439832</v>
      </c>
      <c r="H157" s="63">
        <f t="shared" si="51"/>
        <v>3593.9092319271745</v>
      </c>
      <c r="I157" s="63">
        <f t="shared" si="27"/>
        <v>359.39092319271742</v>
      </c>
      <c r="J157" s="63">
        <f t="shared" si="23"/>
        <v>86.240923192717446</v>
      </c>
      <c r="K157" s="12">
        <f t="shared" si="50"/>
        <v>-0.759076807282554</v>
      </c>
      <c r="L157" s="12">
        <f t="shared" si="24"/>
        <v>0.57619759935427561</v>
      </c>
      <c r="M157" s="64">
        <f t="shared" si="35"/>
        <v>12352.051850947601</v>
      </c>
      <c r="N157" s="115">
        <f t="shared" si="36"/>
        <v>0.44332605640439832</v>
      </c>
      <c r="O157" s="63">
        <f t="shared" si="37"/>
        <v>3593.9619774787784</v>
      </c>
      <c r="P157" s="63">
        <f t="shared" si="38"/>
        <v>359.39619774787786</v>
      </c>
      <c r="Q157" s="63">
        <f t="shared" si="39"/>
        <v>86.246197747877886</v>
      </c>
      <c r="R157" s="12">
        <f t="shared" si="40"/>
        <v>-0.75380225212211371</v>
      </c>
      <c r="S157" s="47">
        <f t="shared" si="41"/>
        <v>-0.75380225212211371</v>
      </c>
      <c r="T157" s="47">
        <f t="shared" si="42"/>
        <v>-5.2745551604402863E-2</v>
      </c>
    </row>
    <row r="158" spans="1:20">
      <c r="A158" s="51">
        <v>88</v>
      </c>
      <c r="B158" s="90">
        <v>0.99960000000000004</v>
      </c>
      <c r="C158" s="12">
        <f t="shared" si="47"/>
        <v>10922.333333333334</v>
      </c>
      <c r="D158" s="13">
        <f t="shared" ref="D158:D170" si="52">$B$12*($B$9-$B$10)/(B158+$B$9)*1000</f>
        <v>2043.2612174144947</v>
      </c>
      <c r="E158" s="3">
        <f t="shared" ref="E158:E170" si="53">ROUND($B$11*($B$9-$B$10)/(($B$9+B158)*$B$13),0)</f>
        <v>26781</v>
      </c>
      <c r="F158" s="64">
        <f t="shared" ref="F158:F170" si="54">$E158+($C158-$E158)*(32767-$F$2)/(32767-$C158)</f>
        <v>12364.602282784508</v>
      </c>
      <c r="G158" s="115">
        <f t="shared" si="29"/>
        <v>0.44525043101698492</v>
      </c>
      <c r="H158" s="63">
        <f t="shared" si="51"/>
        <v>3602.1106436599107</v>
      </c>
      <c r="I158" s="63">
        <f t="shared" ref="I158:I170" si="55">H158/10</f>
        <v>360.21106436599109</v>
      </c>
      <c r="J158" s="63">
        <f t="shared" ref="J158:J170" si="56">I158-273.15</f>
        <v>87.061064365991115</v>
      </c>
      <c r="K158" s="12">
        <f t="shared" si="50"/>
        <v>-0.93893563400888524</v>
      </c>
      <c r="L158" s="12">
        <f t="shared" ref="L158:L170" si="57">(K158)^2</f>
        <v>0.88160012481166727</v>
      </c>
      <c r="M158" s="64">
        <f t="shared" si="35"/>
        <v>12364.602282784508</v>
      </c>
      <c r="N158" s="115">
        <f t="shared" si="36"/>
        <v>0.44525043101698492</v>
      </c>
      <c r="O158" s="63">
        <f t="shared" si="37"/>
        <v>3602.1628576971088</v>
      </c>
      <c r="P158" s="63">
        <f t="shared" si="38"/>
        <v>360.21628576971091</v>
      </c>
      <c r="Q158" s="63">
        <f t="shared" si="39"/>
        <v>87.06628576971093</v>
      </c>
      <c r="R158" s="12">
        <f t="shared" si="40"/>
        <v>-0.93371423028906975</v>
      </c>
      <c r="S158" s="47">
        <f t="shared" si="41"/>
        <v>-0.93371423028906975</v>
      </c>
      <c r="T158" s="47">
        <f t="shared" si="42"/>
        <v>-5.2214037198154983E-2</v>
      </c>
    </row>
    <row r="159" spans="1:20">
      <c r="A159" s="51">
        <v>89</v>
      </c>
      <c r="B159" s="90">
        <v>0.96950000000000003</v>
      </c>
      <c r="C159" s="12">
        <f>32767*$B$9/($B$95+$B$9)</f>
        <v>10922.333333333334</v>
      </c>
      <c r="D159" s="13">
        <f t="shared" si="52"/>
        <v>2053.5639500795714</v>
      </c>
      <c r="E159" s="3">
        <f t="shared" si="53"/>
        <v>26916</v>
      </c>
      <c r="F159" s="64">
        <f t="shared" si="54"/>
        <v>12376.879879146703</v>
      </c>
      <c r="G159" s="115">
        <f t="shared" si="29"/>
        <v>0.4471298660937103</v>
      </c>
      <c r="H159" s="63">
        <f t="shared" si="51"/>
        <v>3610.205422231938</v>
      </c>
      <c r="I159" s="63">
        <f t="shared" si="55"/>
        <v>361.02054222319379</v>
      </c>
      <c r="J159" s="63">
        <f t="shared" si="56"/>
        <v>87.870542223193809</v>
      </c>
      <c r="K159" s="12">
        <f t="shared" si="50"/>
        <v>-1.1294577768061913</v>
      </c>
      <c r="L159" s="12">
        <f t="shared" si="57"/>
        <v>1.2756748695879843</v>
      </c>
      <c r="M159" s="64">
        <f t="shared" si="35"/>
        <v>12376.879879146703</v>
      </c>
      <c r="N159" s="115">
        <f t="shared" si="36"/>
        <v>0.4471298660937103</v>
      </c>
      <c r="O159" s="63">
        <f t="shared" si="37"/>
        <v>3610.2571147633489</v>
      </c>
      <c r="P159" s="63">
        <f t="shared" si="38"/>
        <v>361.02571147633489</v>
      </c>
      <c r="Q159" s="63">
        <f t="shared" si="39"/>
        <v>87.875711476334914</v>
      </c>
      <c r="R159" s="12">
        <f t="shared" si="40"/>
        <v>-1.1242885236650864</v>
      </c>
      <c r="S159" s="47">
        <f t="shared" si="41"/>
        <v>-1.1242885236650864</v>
      </c>
      <c r="T159" s="47">
        <f t="shared" si="42"/>
        <v>-5.1692531411049458E-2</v>
      </c>
    </row>
    <row r="160" spans="1:20">
      <c r="A160" s="51">
        <v>90</v>
      </c>
      <c r="B160" s="90">
        <v>0.9405</v>
      </c>
      <c r="C160" s="12">
        <f t="shared" ref="C160:C170" si="58">32767*$B$9/($B$95+$B$9)</f>
        <v>10922.333333333334</v>
      </c>
      <c r="D160" s="13">
        <f t="shared" si="52"/>
        <v>2063.5889234912884</v>
      </c>
      <c r="E160" s="3">
        <f t="shared" si="53"/>
        <v>27048</v>
      </c>
      <c r="F160" s="64">
        <f t="shared" si="54"/>
        <v>12388.884640034181</v>
      </c>
      <c r="G160" s="115">
        <f t="shared" si="29"/>
        <v>0.44896457364101511</v>
      </c>
      <c r="H160" s="63">
        <f t="shared" si="51"/>
        <v>3618.1891907949203</v>
      </c>
      <c r="I160" s="63">
        <f t="shared" si="55"/>
        <v>361.81891907949205</v>
      </c>
      <c r="J160" s="63">
        <f t="shared" si="56"/>
        <v>88.668919079492071</v>
      </c>
      <c r="K160" s="12">
        <f t="shared" si="50"/>
        <v>-1.3310809205079295</v>
      </c>
      <c r="L160" s="12">
        <f t="shared" si="57"/>
        <v>1.7717764169402368</v>
      </c>
      <c r="M160" s="64">
        <f t="shared" si="35"/>
        <v>12388.884640034181</v>
      </c>
      <c r="N160" s="115">
        <f t="shared" si="36"/>
        <v>0.44896457364101511</v>
      </c>
      <c r="O160" s="63">
        <f t="shared" si="37"/>
        <v>3618.2403719407175</v>
      </c>
      <c r="P160" s="63">
        <f t="shared" si="38"/>
        <v>361.82403719407176</v>
      </c>
      <c r="Q160" s="63">
        <f t="shared" si="39"/>
        <v>88.674037194071786</v>
      </c>
      <c r="R160" s="12">
        <f t="shared" si="40"/>
        <v>-1.3259628059282136</v>
      </c>
      <c r="S160" s="47">
        <f t="shared" si="41"/>
        <v>-1.3259628059282136</v>
      </c>
      <c r="T160" s="47">
        <f t="shared" si="42"/>
        <v>-5.1181145797158933E-2</v>
      </c>
    </row>
    <row r="161" spans="1:20">
      <c r="A161" s="51">
        <v>91</v>
      </c>
      <c r="B161" s="90">
        <v>0.91249999999999998</v>
      </c>
      <c r="C161" s="12">
        <f t="shared" si="58"/>
        <v>10922.333333333334</v>
      </c>
      <c r="D161" s="13">
        <f t="shared" si="52"/>
        <v>2073.3615221987316</v>
      </c>
      <c r="E161" s="3">
        <f t="shared" si="53"/>
        <v>27176</v>
      </c>
      <c r="F161" s="64">
        <f t="shared" si="54"/>
        <v>12400.525620288705</v>
      </c>
      <c r="G161" s="115">
        <f t="shared" si="29"/>
        <v>0.45074089342688051</v>
      </c>
      <c r="H161" s="63">
        <f t="shared" si="51"/>
        <v>3625.9963785985947</v>
      </c>
      <c r="I161" s="63">
        <f t="shared" si="55"/>
        <v>362.59963785985946</v>
      </c>
      <c r="J161" s="63">
        <f t="shared" si="56"/>
        <v>89.449637859859479</v>
      </c>
      <c r="K161" s="12">
        <f t="shared" si="50"/>
        <v>-1.5503621401405212</v>
      </c>
      <c r="L161" s="12">
        <f t="shared" si="57"/>
        <v>2.4036227655810971</v>
      </c>
      <c r="M161" s="64">
        <f t="shared" si="35"/>
        <v>12400.525620288705</v>
      </c>
      <c r="N161" s="115">
        <f t="shared" si="36"/>
        <v>0.45074089342688051</v>
      </c>
      <c r="O161" s="63">
        <f t="shared" si="37"/>
        <v>3626.0470624771287</v>
      </c>
      <c r="P161" s="63">
        <f t="shared" si="38"/>
        <v>362.6047062477129</v>
      </c>
      <c r="Q161" s="63">
        <f t="shared" si="39"/>
        <v>89.45470624771292</v>
      </c>
      <c r="R161" s="12">
        <f t="shared" si="40"/>
        <v>-1.5452937522870798</v>
      </c>
      <c r="S161" s="47">
        <f t="shared" si="41"/>
        <v>-1.5452937522870798</v>
      </c>
      <c r="T161" s="47">
        <f t="shared" si="42"/>
        <v>-5.0683878534414362E-2</v>
      </c>
    </row>
    <row r="162" spans="1:20">
      <c r="A162" s="51">
        <v>92</v>
      </c>
      <c r="B162" s="90">
        <v>0.88560000000000005</v>
      </c>
      <c r="C162" s="12">
        <f t="shared" si="58"/>
        <v>10922.333333333334</v>
      </c>
      <c r="D162" s="13">
        <f t="shared" si="52"/>
        <v>2082.8377735490008</v>
      </c>
      <c r="E162" s="3">
        <f t="shared" si="53"/>
        <v>27300</v>
      </c>
      <c r="F162" s="64">
        <f t="shared" si="54"/>
        <v>12411.802819910276</v>
      </c>
      <c r="G162" s="115">
        <f t="shared" si="29"/>
        <v>0.45245908910704802</v>
      </c>
      <c r="H162" s="63">
        <f t="shared" si="51"/>
        <v>3633.6212372612399</v>
      </c>
      <c r="I162" s="63">
        <f t="shared" si="55"/>
        <v>363.36212372612397</v>
      </c>
      <c r="J162" s="63">
        <f t="shared" si="56"/>
        <v>90.212123726123991</v>
      </c>
      <c r="K162" s="12">
        <f t="shared" si="50"/>
        <v>-1.7878762738760088</v>
      </c>
      <c r="L162" s="12">
        <f t="shared" si="57"/>
        <v>3.1965015706887612</v>
      </c>
      <c r="M162" s="64">
        <f t="shared" si="35"/>
        <v>12411.802819910276</v>
      </c>
      <c r="N162" s="115">
        <f t="shared" si="36"/>
        <v>0.45245908910704802</v>
      </c>
      <c r="O162" s="63">
        <f t="shared" si="37"/>
        <v>3633.671438126079</v>
      </c>
      <c r="P162" s="63">
        <f t="shared" si="38"/>
        <v>363.36714381260788</v>
      </c>
      <c r="Q162" s="63">
        <f t="shared" si="39"/>
        <v>90.217143812607901</v>
      </c>
      <c r="R162" s="12">
        <f t="shared" si="40"/>
        <v>-1.7828561873920989</v>
      </c>
      <c r="S162" s="47">
        <f t="shared" si="41"/>
        <v>-1.7828561873920989</v>
      </c>
      <c r="T162" s="47">
        <f t="shared" si="42"/>
        <v>-5.0200864839098358E-2</v>
      </c>
    </row>
    <row r="163" spans="1:20">
      <c r="A163" s="51">
        <v>93</v>
      </c>
      <c r="B163" s="90">
        <v>0.85960000000000003</v>
      </c>
      <c r="C163" s="12">
        <f t="shared" si="58"/>
        <v>10922.333333333334</v>
      </c>
      <c r="D163" s="13">
        <f t="shared" si="52"/>
        <v>2092.079664140897</v>
      </c>
      <c r="E163" s="3">
        <f t="shared" si="53"/>
        <v>27421</v>
      </c>
      <c r="F163" s="64">
        <f t="shared" si="54"/>
        <v>12422.80718405713</v>
      </c>
      <c r="G163" s="115">
        <f t="shared" si="29"/>
        <v>0.45413324109891684</v>
      </c>
      <c r="H163" s="63">
        <f t="shared" si="51"/>
        <v>3641.1203647745606</v>
      </c>
      <c r="I163" s="63">
        <f t="shared" si="55"/>
        <v>364.11203647745606</v>
      </c>
      <c r="J163" s="63">
        <f t="shared" si="56"/>
        <v>90.962036477456081</v>
      </c>
      <c r="K163" s="12">
        <f t="shared" si="50"/>
        <v>-2.0379635225439188</v>
      </c>
      <c r="L163" s="12">
        <f t="shared" si="57"/>
        <v>4.1532953192196178</v>
      </c>
      <c r="M163" s="64">
        <f t="shared" si="35"/>
        <v>12422.80718405713</v>
      </c>
      <c r="N163" s="115">
        <f t="shared" si="36"/>
        <v>0.45413324109891684</v>
      </c>
      <c r="O163" s="63">
        <f t="shared" si="37"/>
        <v>3641.1700930987913</v>
      </c>
      <c r="P163" s="63">
        <f t="shared" si="38"/>
        <v>364.11700930987911</v>
      </c>
      <c r="Q163" s="63">
        <f t="shared" si="39"/>
        <v>90.967009309879131</v>
      </c>
      <c r="R163" s="12">
        <f t="shared" si="40"/>
        <v>-2.0329906901208687</v>
      </c>
      <c r="S163" s="47">
        <f t="shared" si="41"/>
        <v>-2.0329906901208687</v>
      </c>
      <c r="T163" s="47">
        <f t="shared" si="42"/>
        <v>-4.972832423050022E-2</v>
      </c>
    </row>
    <row r="164" spans="1:20">
      <c r="A164" s="51">
        <v>94</v>
      </c>
      <c r="B164" s="90">
        <v>0.83440000000000003</v>
      </c>
      <c r="C164" s="12">
        <f t="shared" si="58"/>
        <v>10922.333333333334</v>
      </c>
      <c r="D164" s="13">
        <f t="shared" si="52"/>
        <v>2101.1157959687371</v>
      </c>
      <c r="E164" s="3">
        <f t="shared" si="53"/>
        <v>27540</v>
      </c>
      <c r="F164" s="64">
        <f t="shared" si="54"/>
        <v>12433.629657887508</v>
      </c>
      <c r="G164" s="115">
        <f t="shared" si="29"/>
        <v>0.45577734250624169</v>
      </c>
      <c r="H164" s="63">
        <f t="shared" si="51"/>
        <v>3648.5523704513589</v>
      </c>
      <c r="I164" s="63">
        <f t="shared" si="55"/>
        <v>364.85523704513588</v>
      </c>
      <c r="J164" s="63">
        <f t="shared" si="56"/>
        <v>91.705237045135902</v>
      </c>
      <c r="K164" s="12">
        <f t="shared" si="50"/>
        <v>-2.2947629548640975</v>
      </c>
      <c r="L164" s="12">
        <f t="shared" si="57"/>
        <v>5.2659370190166044</v>
      </c>
      <c r="M164" s="64">
        <f t="shared" si="35"/>
        <v>12433.629657887508</v>
      </c>
      <c r="N164" s="115">
        <f t="shared" si="36"/>
        <v>0.45577734250624169</v>
      </c>
      <c r="O164" s="63">
        <f t="shared" si="37"/>
        <v>3648.6016328840869</v>
      </c>
      <c r="P164" s="63">
        <f t="shared" si="38"/>
        <v>364.86016328840867</v>
      </c>
      <c r="Q164" s="63">
        <f t="shared" si="39"/>
        <v>91.710163288408694</v>
      </c>
      <c r="R164" s="12">
        <f t="shared" si="40"/>
        <v>-2.2898367115913061</v>
      </c>
      <c r="S164" s="47">
        <f t="shared" si="41"/>
        <v>-2.2898367115913061</v>
      </c>
      <c r="T164" s="47">
        <f t="shared" si="42"/>
        <v>-4.9262432727914529E-2</v>
      </c>
    </row>
    <row r="165" spans="1:20">
      <c r="A165" s="51">
        <v>95</v>
      </c>
      <c r="B165" s="90">
        <v>0.81010000000000004</v>
      </c>
      <c r="C165" s="12">
        <f t="shared" si="58"/>
        <v>10922.333333333334</v>
      </c>
      <c r="D165" s="13">
        <f t="shared" si="52"/>
        <v>2109.9034440026849</v>
      </c>
      <c r="E165" s="3">
        <f t="shared" si="53"/>
        <v>27655</v>
      </c>
      <c r="F165" s="64">
        <f t="shared" si="54"/>
        <v>12444.088351084933</v>
      </c>
      <c r="G165" s="115">
        <f t="shared" ref="G165:G170" si="59">$F$2*E165/(F165-$B$10*1000*E165/$B$9/1000)/2^16</f>
        <v>0.45736394355802035</v>
      </c>
      <c r="H165" s="63">
        <f t="shared" si="51"/>
        <v>3655.788325222512</v>
      </c>
      <c r="I165" s="63">
        <f t="shared" si="55"/>
        <v>365.57883252225122</v>
      </c>
      <c r="J165" s="63">
        <f t="shared" si="56"/>
        <v>92.428832522251241</v>
      </c>
      <c r="K165" s="12">
        <f t="shared" si="50"/>
        <v>-2.5711674777487588</v>
      </c>
      <c r="L165" s="12">
        <f t="shared" si="57"/>
        <v>6.610902198632914</v>
      </c>
      <c r="M165" s="64">
        <f t="shared" si="35"/>
        <v>12444.088351084933</v>
      </c>
      <c r="N165" s="115">
        <f t="shared" si="36"/>
        <v>0.45736394355802035</v>
      </c>
      <c r="O165" s="63">
        <f t="shared" si="37"/>
        <v>3655.8371363358528</v>
      </c>
      <c r="P165" s="63">
        <f t="shared" si="38"/>
        <v>365.58371363358526</v>
      </c>
      <c r="Q165" s="63">
        <f t="shared" si="39"/>
        <v>92.433713633585285</v>
      </c>
      <c r="R165" s="12">
        <f t="shared" si="40"/>
        <v>-2.5662863664147153</v>
      </c>
      <c r="S165" s="47">
        <f t="shared" si="41"/>
        <v>-2.5662863664147153</v>
      </c>
      <c r="T165" s="47">
        <f t="shared" si="42"/>
        <v>-4.8811113340434531E-2</v>
      </c>
    </row>
    <row r="166" spans="1:20">
      <c r="A166" s="51">
        <v>96</v>
      </c>
      <c r="B166" s="90">
        <v>0.78669999999999995</v>
      </c>
      <c r="C166" s="12">
        <f t="shared" si="58"/>
        <v>10922.333333333334</v>
      </c>
      <c r="D166" s="13">
        <f t="shared" si="52"/>
        <v>2118.435377676396</v>
      </c>
      <c r="E166" s="3">
        <f t="shared" si="53"/>
        <v>27767</v>
      </c>
      <c r="F166" s="64">
        <f t="shared" si="54"/>
        <v>12454.274208807641</v>
      </c>
      <c r="G166" s="115">
        <f t="shared" si="59"/>
        <v>0.45890704646803965</v>
      </c>
      <c r="H166" s="63">
        <f t="shared" si="51"/>
        <v>3662.8865086449969</v>
      </c>
      <c r="I166" s="63">
        <f t="shared" si="55"/>
        <v>366.28865086449969</v>
      </c>
      <c r="J166" s="63">
        <f t="shared" si="56"/>
        <v>93.138650864499709</v>
      </c>
      <c r="K166" s="12">
        <f t="shared" si="50"/>
        <v>-2.8613491355002907</v>
      </c>
      <c r="L166" s="12">
        <f t="shared" si="57"/>
        <v>8.1873188752282609</v>
      </c>
      <c r="M166" s="64">
        <f t="shared" si="35"/>
        <v>12454.274208807641</v>
      </c>
      <c r="N166" s="115">
        <f t="shared" si="36"/>
        <v>0.45890704646803965</v>
      </c>
      <c r="O166" s="63">
        <f t="shared" si="37"/>
        <v>3662.9348791902312</v>
      </c>
      <c r="P166" s="63">
        <f t="shared" si="38"/>
        <v>366.29348791902311</v>
      </c>
      <c r="Q166" s="63">
        <f t="shared" si="39"/>
        <v>93.14348791902313</v>
      </c>
      <c r="R166" s="12">
        <f t="shared" si="40"/>
        <v>-2.85651208097687</v>
      </c>
      <c r="S166" s="47">
        <f t="shared" si="41"/>
        <v>-2.85651208097687</v>
      </c>
      <c r="T166" s="47">
        <f t="shared" si="42"/>
        <v>-4.8370545234206475E-2</v>
      </c>
    </row>
    <row r="167" spans="1:20">
      <c r="A167" s="51">
        <v>97</v>
      </c>
      <c r="B167" s="90">
        <v>0.76400000000000001</v>
      </c>
      <c r="C167" s="12">
        <f t="shared" si="58"/>
        <v>10922.333333333334</v>
      </c>
      <c r="D167" s="13">
        <f t="shared" si="52"/>
        <v>2126.7782789729358</v>
      </c>
      <c r="E167" s="3">
        <f t="shared" si="53"/>
        <v>27876</v>
      </c>
      <c r="F167" s="64">
        <f t="shared" si="54"/>
        <v>12464.187231055635</v>
      </c>
      <c r="G167" s="115">
        <f t="shared" si="59"/>
        <v>0.46040682246660919</v>
      </c>
      <c r="H167" s="63">
        <f t="shared" si="51"/>
        <v>3669.8430563650923</v>
      </c>
      <c r="I167" s="63">
        <f t="shared" si="55"/>
        <v>366.98430563650925</v>
      </c>
      <c r="J167" s="63">
        <f t="shared" si="56"/>
        <v>93.834305636509271</v>
      </c>
      <c r="K167" s="12">
        <f t="shared" si="50"/>
        <v>-3.1656943634907293</v>
      </c>
      <c r="L167" s="12">
        <f t="shared" si="57"/>
        <v>10.021620803036974</v>
      </c>
      <c r="M167" s="64">
        <f t="shared" si="35"/>
        <v>12464.187231055635</v>
      </c>
      <c r="N167" s="115">
        <f t="shared" si="36"/>
        <v>0.46040682246660919</v>
      </c>
      <c r="O167" s="63">
        <f t="shared" si="37"/>
        <v>3669.8909971798312</v>
      </c>
      <c r="P167" s="63">
        <f t="shared" si="38"/>
        <v>366.98909971798309</v>
      </c>
      <c r="Q167" s="63">
        <f t="shared" si="39"/>
        <v>93.839099717983117</v>
      </c>
      <c r="R167" s="12">
        <f t="shared" si="40"/>
        <v>-3.1609002820168826</v>
      </c>
      <c r="S167" s="47">
        <f t="shared" si="41"/>
        <v>-3.1609002820168826</v>
      </c>
      <c r="T167" s="47">
        <f t="shared" si="42"/>
        <v>-4.7940814738467452E-2</v>
      </c>
    </row>
    <row r="168" spans="1:20">
      <c r="A168" s="51">
        <v>98</v>
      </c>
      <c r="B168" s="90">
        <v>0.74209999999999998</v>
      </c>
      <c r="C168" s="12">
        <f t="shared" si="58"/>
        <v>10922.333333333334</v>
      </c>
      <c r="D168" s="13">
        <f t="shared" si="52"/>
        <v>2134.8896745093261</v>
      </c>
      <c r="E168" s="3">
        <f t="shared" si="53"/>
        <v>27982</v>
      </c>
      <c r="F168" s="64">
        <f t="shared" si="54"/>
        <v>12473.827417828914</v>
      </c>
      <c r="G168" s="115">
        <f t="shared" si="59"/>
        <v>0.46186343764758203</v>
      </c>
      <c r="H168" s="63">
        <f t="shared" si="51"/>
        <v>3676.6541814785442</v>
      </c>
      <c r="I168" s="63">
        <f t="shared" si="55"/>
        <v>367.66541814785444</v>
      </c>
      <c r="J168" s="63">
        <f t="shared" si="56"/>
        <v>94.515418147854461</v>
      </c>
      <c r="K168" s="12">
        <f t="shared" si="50"/>
        <v>-3.4845818521455385</v>
      </c>
      <c r="L168" s="12">
        <f t="shared" si="57"/>
        <v>12.142310684302032</v>
      </c>
      <c r="M168" s="64">
        <f t="shared" si="35"/>
        <v>12473.827417828914</v>
      </c>
      <c r="N168" s="115">
        <f t="shared" si="36"/>
        <v>0.46186343764758203</v>
      </c>
      <c r="O168" s="63">
        <f t="shared" si="37"/>
        <v>3676.7017034836854</v>
      </c>
      <c r="P168" s="63">
        <f t="shared" si="38"/>
        <v>367.67017034836852</v>
      </c>
      <c r="Q168" s="63">
        <f t="shared" si="39"/>
        <v>94.520170348368538</v>
      </c>
      <c r="R168" s="12">
        <f t="shared" si="40"/>
        <v>-3.4798296516314622</v>
      </c>
      <c r="S168" s="47">
        <f t="shared" si="41"/>
        <v>-3.4798296516314622</v>
      </c>
      <c r="T168" s="47">
        <f t="shared" si="42"/>
        <v>-4.7522005140763213E-2</v>
      </c>
    </row>
    <row r="169" spans="1:20">
      <c r="A169" s="51">
        <v>99</v>
      </c>
      <c r="B169" s="90">
        <v>0.72089999999999999</v>
      </c>
      <c r="C169" s="12">
        <f t="shared" si="58"/>
        <v>10922.333333333334</v>
      </c>
      <c r="D169" s="13">
        <f t="shared" si="52"/>
        <v>2142.8009578912406</v>
      </c>
      <c r="E169" s="3">
        <f t="shared" si="53"/>
        <v>28086</v>
      </c>
      <c r="F169" s="64">
        <f t="shared" si="54"/>
        <v>12483.285714285714</v>
      </c>
      <c r="G169" s="115">
        <f t="shared" si="59"/>
        <v>0.46329076887231335</v>
      </c>
      <c r="H169" s="63">
        <f t="shared" si="51"/>
        <v>3683.3810679182398</v>
      </c>
      <c r="I169" s="63">
        <f t="shared" si="55"/>
        <v>368.33810679182398</v>
      </c>
      <c r="J169" s="63">
        <f t="shared" si="56"/>
        <v>95.188106791823998</v>
      </c>
      <c r="K169" s="12">
        <f t="shared" si="50"/>
        <v>-3.8118932081760022</v>
      </c>
      <c r="L169" s="12">
        <f t="shared" si="57"/>
        <v>14.530529830538335</v>
      </c>
      <c r="M169" s="64">
        <f t="shared" si="35"/>
        <v>12483.285714285714</v>
      </c>
      <c r="N169" s="115">
        <f t="shared" si="36"/>
        <v>0.46329076887231335</v>
      </c>
      <c r="O169" s="63">
        <f t="shared" si="37"/>
        <v>3683.4281781515892</v>
      </c>
      <c r="P169" s="63">
        <f t="shared" si="38"/>
        <v>368.34281781515892</v>
      </c>
      <c r="Q169" s="63">
        <f t="shared" si="39"/>
        <v>95.192817815158946</v>
      </c>
      <c r="R169" s="12">
        <f t="shared" si="40"/>
        <v>-3.8071821848410536</v>
      </c>
      <c r="S169" s="47">
        <f t="shared" si="41"/>
        <v>-3.8071821848410536</v>
      </c>
      <c r="T169" s="47">
        <f t="shared" si="42"/>
        <v>-4.7110233349485497E-2</v>
      </c>
    </row>
    <row r="170" spans="1:20">
      <c r="A170" s="51">
        <v>100</v>
      </c>
      <c r="B170" s="90">
        <v>0.70050000000000001</v>
      </c>
      <c r="C170" s="12">
        <f t="shared" si="58"/>
        <v>10922.333333333334</v>
      </c>
      <c r="D170" s="13">
        <f t="shared" si="52"/>
        <v>2150.4692570827124</v>
      </c>
      <c r="E170" s="3">
        <f t="shared" si="53"/>
        <v>28187</v>
      </c>
      <c r="F170" s="64">
        <f t="shared" si="54"/>
        <v>12492.471175267799</v>
      </c>
      <c r="G170" s="115">
        <f t="shared" si="59"/>
        <v>0.46467522319116294</v>
      </c>
      <c r="H170" s="63">
        <f t="shared" si="51"/>
        <v>3689.9560191587798</v>
      </c>
      <c r="I170" s="63">
        <f t="shared" si="55"/>
        <v>368.99560191587796</v>
      </c>
      <c r="J170" s="63">
        <f t="shared" si="56"/>
        <v>95.845601915877978</v>
      </c>
      <c r="K170" s="12">
        <f t="shared" si="50"/>
        <v>-4.1543980841220218</v>
      </c>
      <c r="L170" s="12">
        <f t="shared" si="57"/>
        <v>17.259023441356725</v>
      </c>
      <c r="M170" s="64">
        <f t="shared" si="35"/>
        <v>12492.471175267799</v>
      </c>
      <c r="N170" s="115">
        <f t="shared" si="36"/>
        <v>0.46467522319116294</v>
      </c>
      <c r="O170" s="63">
        <f t="shared" si="37"/>
        <v>3690.0027286831569</v>
      </c>
      <c r="P170" s="63">
        <f t="shared" si="38"/>
        <v>369.00027286831568</v>
      </c>
      <c r="Q170" s="63">
        <f t="shared" si="39"/>
        <v>95.850272868315699</v>
      </c>
      <c r="R170" s="12">
        <f t="shared" si="40"/>
        <v>-4.1497271316843012</v>
      </c>
      <c r="S170" s="47">
        <f t="shared" si="41"/>
        <v>-4.1497271316843012</v>
      </c>
      <c r="T170" s="47">
        <f t="shared" si="42"/>
        <v>-4.6709524377206435E-2</v>
      </c>
    </row>
  </sheetData>
  <mergeCells count="1">
    <mergeCell ref="F6:G6"/>
  </mergeCells>
  <conditionalFormatting sqref="C19:C21">
    <cfRule type="cellIs" dxfId="1" priority="2" stopIfTrue="1" operator="greaterThan">
      <formula>32768</formula>
    </cfRule>
  </conditionalFormatting>
  <conditionalFormatting sqref="C18">
    <cfRule type="cellIs" dxfId="0" priority="1" stopIfTrue="1" operator="greaterThan">
      <formula>27000</formula>
    </cfRule>
  </conditionalFormatting>
  <pageMargins left="0.75" right="0.75" top="1" bottom="1" header="0.5" footer="0.5"/>
  <pageSetup scale="7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E2" sqref="E2:E35"/>
    </sheetView>
  </sheetViews>
  <sheetFormatPr defaultRowHeight="13.2"/>
  <sheetData>
    <row r="1" spans="1:5">
      <c r="A1" t="s">
        <v>75</v>
      </c>
      <c r="B1" t="s">
        <v>76</v>
      </c>
      <c r="C1" t="s">
        <v>77</v>
      </c>
      <c r="D1" t="s">
        <v>78</v>
      </c>
    </row>
    <row r="2" spans="1:5">
      <c r="A2">
        <v>-40</v>
      </c>
      <c r="C2">
        <v>328.99599999999998</v>
      </c>
      <c r="E2">
        <f>C2+0.953</f>
        <v>329.94899999999996</v>
      </c>
    </row>
    <row r="3" spans="1:5">
      <c r="A3">
        <v>-35</v>
      </c>
      <c r="C3">
        <v>237.387</v>
      </c>
      <c r="E3">
        <f t="shared" ref="E3:E35" si="0">C3+0.953</f>
        <v>238.34</v>
      </c>
    </row>
    <row r="4" spans="1:5">
      <c r="A4">
        <v>-30</v>
      </c>
      <c r="C4">
        <v>173.185</v>
      </c>
      <c r="E4">
        <f t="shared" si="0"/>
        <v>174.13800000000001</v>
      </c>
    </row>
    <row r="5" spans="1:5">
      <c r="A5">
        <v>-25</v>
      </c>
      <c r="C5">
        <v>127.773</v>
      </c>
      <c r="E5">
        <f t="shared" si="0"/>
        <v>128.726</v>
      </c>
    </row>
    <row r="6" spans="1:5">
      <c r="A6">
        <v>-20</v>
      </c>
      <c r="C6">
        <v>95.326999999999998</v>
      </c>
      <c r="E6">
        <f t="shared" si="0"/>
        <v>96.28</v>
      </c>
    </row>
    <row r="7" spans="1:5">
      <c r="A7">
        <v>-15</v>
      </c>
      <c r="C7">
        <v>71.745999999999995</v>
      </c>
      <c r="E7">
        <f t="shared" si="0"/>
        <v>72.698999999999998</v>
      </c>
    </row>
    <row r="8" spans="1:5">
      <c r="A8">
        <v>-10</v>
      </c>
      <c r="C8">
        <v>54.564</v>
      </c>
      <c r="E8">
        <f t="shared" si="0"/>
        <v>55.517000000000003</v>
      </c>
    </row>
    <row r="9" spans="1:5">
      <c r="A9">
        <v>-5</v>
      </c>
      <c r="C9">
        <v>41.813000000000002</v>
      </c>
      <c r="E9">
        <f t="shared" si="0"/>
        <v>42.766000000000005</v>
      </c>
    </row>
    <row r="10" spans="1:5">
      <c r="A10">
        <v>0</v>
      </c>
      <c r="C10">
        <v>32.33</v>
      </c>
      <c r="E10">
        <f t="shared" si="0"/>
        <v>33.283000000000001</v>
      </c>
    </row>
    <row r="11" spans="1:5">
      <c r="A11">
        <v>5</v>
      </c>
      <c r="C11">
        <v>25.193999999999999</v>
      </c>
      <c r="E11">
        <f t="shared" si="0"/>
        <v>26.146999999999998</v>
      </c>
    </row>
    <row r="12" spans="1:5">
      <c r="A12">
        <v>10</v>
      </c>
      <c r="C12">
        <v>19.785</v>
      </c>
      <c r="E12">
        <f t="shared" si="0"/>
        <v>20.738</v>
      </c>
    </row>
    <row r="13" spans="1:5">
      <c r="A13">
        <v>15</v>
      </c>
      <c r="C13">
        <v>15.651</v>
      </c>
      <c r="E13">
        <f t="shared" si="0"/>
        <v>16.603999999999999</v>
      </c>
    </row>
    <row r="14" spans="1:5">
      <c r="A14">
        <v>20</v>
      </c>
      <c r="C14">
        <v>12.468</v>
      </c>
      <c r="E14">
        <f t="shared" si="0"/>
        <v>13.420999999999999</v>
      </c>
    </row>
    <row r="15" spans="1:5">
      <c r="A15">
        <v>25</v>
      </c>
      <c r="C15">
        <v>10</v>
      </c>
      <c r="E15">
        <f t="shared" si="0"/>
        <v>10.952999999999999</v>
      </c>
    </row>
    <row r="16" spans="1:5">
      <c r="A16">
        <v>30</v>
      </c>
      <c r="C16">
        <v>8.0719999999999992</v>
      </c>
      <c r="E16">
        <f t="shared" si="0"/>
        <v>9.0249999999999986</v>
      </c>
    </row>
    <row r="17" spans="1:5">
      <c r="A17">
        <v>35</v>
      </c>
      <c r="C17">
        <v>6.556</v>
      </c>
      <c r="E17">
        <f t="shared" si="0"/>
        <v>7.5090000000000003</v>
      </c>
    </row>
    <row r="18" spans="1:5">
      <c r="A18">
        <v>40</v>
      </c>
      <c r="C18">
        <v>5.3559999999999999</v>
      </c>
      <c r="E18">
        <f t="shared" si="0"/>
        <v>6.3090000000000002</v>
      </c>
    </row>
    <row r="19" spans="1:5">
      <c r="A19">
        <v>45</v>
      </c>
      <c r="C19">
        <v>4.4009999999999998</v>
      </c>
      <c r="E19">
        <f t="shared" si="0"/>
        <v>5.3540000000000001</v>
      </c>
    </row>
    <row r="20" spans="1:5">
      <c r="A20">
        <v>50</v>
      </c>
      <c r="C20">
        <v>3.6349999999999998</v>
      </c>
      <c r="E20">
        <f t="shared" si="0"/>
        <v>4.5880000000000001</v>
      </c>
    </row>
    <row r="21" spans="1:5">
      <c r="A21">
        <v>55</v>
      </c>
      <c r="C21">
        <v>3.0190000000000001</v>
      </c>
      <c r="E21">
        <f t="shared" si="0"/>
        <v>3.972</v>
      </c>
    </row>
    <row r="22" spans="1:5">
      <c r="A22">
        <v>60</v>
      </c>
      <c r="C22">
        <v>2.5209999999999999</v>
      </c>
      <c r="E22">
        <f t="shared" si="0"/>
        <v>3.4739999999999998</v>
      </c>
    </row>
    <row r="23" spans="1:5">
      <c r="A23">
        <v>65</v>
      </c>
      <c r="C23">
        <v>2.1150000000000002</v>
      </c>
      <c r="E23">
        <f t="shared" si="0"/>
        <v>3.0680000000000001</v>
      </c>
    </row>
    <row r="24" spans="1:5">
      <c r="A24">
        <v>70</v>
      </c>
      <c r="C24">
        <v>1.7809999999999999</v>
      </c>
      <c r="E24">
        <f t="shared" si="0"/>
        <v>2.734</v>
      </c>
    </row>
    <row r="25" spans="1:5">
      <c r="A25">
        <v>75</v>
      </c>
      <c r="C25">
        <v>1.5089999999999999</v>
      </c>
      <c r="E25">
        <f t="shared" si="0"/>
        <v>2.4619999999999997</v>
      </c>
    </row>
    <row r="26" spans="1:5">
      <c r="A26">
        <v>80</v>
      </c>
      <c r="C26">
        <v>1.284</v>
      </c>
      <c r="E26">
        <f t="shared" si="0"/>
        <v>2.2370000000000001</v>
      </c>
    </row>
    <row r="27" spans="1:5">
      <c r="A27">
        <v>85</v>
      </c>
      <c r="C27">
        <v>1.097</v>
      </c>
      <c r="E27">
        <f t="shared" si="0"/>
        <v>2.0499999999999998</v>
      </c>
    </row>
    <row r="28" spans="1:5">
      <c r="A28">
        <v>90</v>
      </c>
      <c r="C28">
        <v>0.94099999999999995</v>
      </c>
      <c r="E28">
        <f t="shared" si="0"/>
        <v>1.8939999999999999</v>
      </c>
    </row>
    <row r="29" spans="1:5">
      <c r="A29">
        <v>95</v>
      </c>
      <c r="C29">
        <v>0.81</v>
      </c>
      <c r="E29">
        <f t="shared" si="0"/>
        <v>1.7629999999999999</v>
      </c>
    </row>
    <row r="30" spans="1:5">
      <c r="A30">
        <v>100</v>
      </c>
      <c r="C30">
        <v>0.70099999999999996</v>
      </c>
      <c r="E30">
        <f t="shared" si="0"/>
        <v>1.6539999999999999</v>
      </c>
    </row>
    <row r="31" spans="1:5">
      <c r="A31">
        <v>105</v>
      </c>
      <c r="C31">
        <v>0.60799999999999998</v>
      </c>
      <c r="E31">
        <f t="shared" si="0"/>
        <v>1.5609999999999999</v>
      </c>
    </row>
    <row r="32" spans="1:5">
      <c r="A32">
        <v>110</v>
      </c>
      <c r="C32">
        <v>0.53</v>
      </c>
      <c r="E32">
        <f t="shared" si="0"/>
        <v>1.4830000000000001</v>
      </c>
    </row>
    <row r="33" spans="1:5">
      <c r="A33">
        <v>115</v>
      </c>
      <c r="C33">
        <v>0.46300000000000002</v>
      </c>
      <c r="E33">
        <f t="shared" si="0"/>
        <v>1.4159999999999999</v>
      </c>
    </row>
    <row r="34" spans="1:5">
      <c r="A34">
        <v>120</v>
      </c>
      <c r="C34">
        <v>0.40600000000000003</v>
      </c>
      <c r="E34">
        <f t="shared" si="0"/>
        <v>1.359</v>
      </c>
    </row>
    <row r="35" spans="1:5">
      <c r="A35">
        <v>125</v>
      </c>
      <c r="C35">
        <v>0.35799999999999998</v>
      </c>
      <c r="E35">
        <f t="shared" si="0"/>
        <v>1.3109999999999999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Host Side NTC Analysis</vt:lpstr>
      <vt:lpstr>Pack Side NTC Analysis</vt:lpstr>
      <vt:lpstr>NTC</vt:lpstr>
    </vt:vector>
  </TitlesOfParts>
  <Company>石塚電子株式会社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濱窪  輝</dc:creator>
  <cp:lastModifiedBy>Chen, Chi</cp:lastModifiedBy>
  <cp:lastPrinted>2008-07-08T21:29:22Z</cp:lastPrinted>
  <dcterms:created xsi:type="dcterms:W3CDTF">2001-03-13T07:03:09Z</dcterms:created>
  <dcterms:modified xsi:type="dcterms:W3CDTF">2017-03-03T15:54:18Z</dcterms:modified>
</cp:coreProperties>
</file>