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Workspace\Bryce_Xun\Custom Support\TPS55289(2)\TPS552872\2024.12.10 E-con sytems Sch review\"/>
    </mc:Choice>
  </mc:AlternateContent>
  <xr:revisionPtr revIDLastSave="0" documentId="13_ncr:1_{53CA2E92-1FFC-43E4-8A7C-19D7F84E05A6}" xr6:coauthVersionLast="36" xr6:coauthVersionMax="36" xr10:uidLastSave="{00000000-0000-0000-0000-000000000000}"/>
  <workbookProtection workbookAlgorithmName="SHA-512" workbookHashValue="WSaJhr55ObKksakSdGGLskb+jMCKT8LlkYqsCI4Fm2X8nBMcOaDdHXv6FcJ20fT7EuEobV26LO6PC7AR3zsfXQ==" workbookSaltValue="FVRDyD+8FLoR9EeS2JVFLA==" workbookSpinCount="100000" lockStructure="1"/>
  <bookViews>
    <workbookView xWindow="0" yWindow="0" windowWidth="30720" windowHeight="1338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Calculation'!$C$97</definedName>
    <definedName name="BST_HS_Rdson">'Design Calculation'!$C$96</definedName>
    <definedName name="BST_HS_Vd">'Design Calculation'!$C$98</definedName>
    <definedName name="BST_LS_fall_time">'Design Calculation'!$C$94</definedName>
    <definedName name="BST_LS_Rdson">'Design Calculation'!$C$93</definedName>
    <definedName name="BST_LS_rise_time">'Design Calculation'!$C$95</definedName>
    <definedName name="BUCK_HS_Coss">'Design Calculation'!$C$85</definedName>
    <definedName name="BUCK_HS_fall_time">'Design Calculation'!$C$87</definedName>
    <definedName name="BUCK_HS_Qg">'Design Calculation'!$C$84</definedName>
    <definedName name="BUCK_HS_Rdson">'Design Calculation'!$C$83</definedName>
    <definedName name="BUCK_HS_rise_time">'Design Calculation'!$C$86</definedName>
    <definedName name="BUCK_LS_dead_time">'Design Calculation'!$C$91</definedName>
    <definedName name="BUCK_LS_deadtime">'Design Calculation'!$C$91</definedName>
    <definedName name="BUCK_LS_Qg">'Design Calculation'!$C$89</definedName>
    <definedName name="BUCK_LS_Qrr">'Design Calculation'!$C$90</definedName>
    <definedName name="BUCK_LS_Rdson">'Design Calculation'!$C$88</definedName>
    <definedName name="BUCK_LS_Vd">'Design Calculation'!$C$92</definedName>
    <definedName name="C_bst_snubber">'Design Calculation'!$C$100</definedName>
    <definedName name="C_buck_snubber">'Design Calculation'!$C$99</definedName>
    <definedName name="C_ca">'Frequency Response Calculation'!$AG$5</definedName>
    <definedName name="Ccomp">'Design Calculation'!$C$72</definedName>
    <definedName name="Cout_c">'Design Calculation'!$C$34</definedName>
    <definedName name="Cout_e">'Design Calculation'!$C$36</definedName>
    <definedName name="Cp">'Design Calculation'!$C$75</definedName>
    <definedName name="DCR">'Design Calculation'!$C$82</definedName>
    <definedName name="dVinpkpk">'Design Calculation'!$C$40</definedName>
    <definedName name="dVoutpkpk">'Design Calculation'!$C$32</definedName>
    <definedName name="eff">'Design Calculation'!$C$46</definedName>
    <definedName name="ESR">'Design Calculation'!$C$38</definedName>
    <definedName name="fco">'Design Calculation'!$C$67</definedName>
    <definedName name="fp">'Design Calculation'!$C$64</definedName>
    <definedName name="fp_comp2">'Design Calculation'!$C$76</definedName>
    <definedName name="fsw">'Design Calculation'!$C$28</definedName>
    <definedName name="fz_comp">'Design Calculation'!$C$73</definedName>
    <definedName name="fz_ESR">'Design Calculation'!$C$66</definedName>
    <definedName name="fzRHP">'Design Calculation'!$C$65</definedName>
    <definedName name="gm_ca">'Frequency Response Calculation'!$AG$3</definedName>
    <definedName name="gm_EA">'Design Calculation'!$C$68</definedName>
    <definedName name="gm_PS">'Design Calculation'!$C$63</definedName>
    <definedName name="Iavg_limit">'Design Calculation'!$C$56</definedName>
    <definedName name="ILpeak">'Design Calculation'!$C$80</definedName>
    <definedName name="ILpeak_max">'Design Calculation'!$C$53</definedName>
    <definedName name="ILrms">'Design Calculation'!$C$79</definedName>
    <definedName name="ILrms_max">'Design Calculation'!$C$52</definedName>
    <definedName name="ILvalley">'Design Calculation'!$C$81</definedName>
    <definedName name="ILvalley_max">'Design Calculation'!$C$55</definedName>
    <definedName name="Iout_limit">'Design Calculation'!$C$24</definedName>
    <definedName name="Ioutmax">'Design Calculation'!$C$17</definedName>
    <definedName name="K">'Design Calculation'!$C$48</definedName>
    <definedName name="L">'Design Calculation'!$C$51</definedName>
    <definedName name="Op_mode">'Design Calculation'!$C$62</definedName>
    <definedName name="R_1">'Design Calculation'!$C$25</definedName>
    <definedName name="R_5">'Design Calculation'!$C$22</definedName>
    <definedName name="R_7">'Design Calculation'!$C$22</definedName>
    <definedName name="R_ca">'Frequency Response Calculation'!$AG$4</definedName>
    <definedName name="Rcomp">'Design Calculation'!$C$70</definedName>
    <definedName name="Reg_Ilimit">'Design Calculation'!#REF!</definedName>
    <definedName name="Reg_Vref">'Design Calculation'!#REF!</definedName>
    <definedName name="Rpcb">'Design Calculation'!$C$101</definedName>
    <definedName name="tou">'Design Calculation'!$F$108</definedName>
    <definedName name="V_m">'Frequency Response Calculation'!$AG$6</definedName>
    <definedName name="Vin">'Design Calculation'!$C$60</definedName>
    <definedName name="Vin_eff">'Design Calculation'!$C$78</definedName>
    <definedName name="Vin_LP">'Design Calculation'!$C$60</definedName>
    <definedName name="Vin_max">'Design Calculation'!$C$15</definedName>
    <definedName name="Vin_min">'Design Calculation'!$C$14</definedName>
    <definedName name="Vout">'Design Calculation'!$C$16</definedName>
    <definedName name="Vout_LP">'Design Calculation'!$C$61</definedName>
  </definedNames>
  <calcPr calcId="191029"/>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C36" i="1" l="1"/>
  <c r="C61" i="1" l="1"/>
  <c r="C25" i="1"/>
  <c r="C23" i="1" l="1"/>
  <c r="C21" i="1"/>
  <c r="C29" i="1" l="1"/>
  <c r="C19" i="1"/>
  <c r="C71" i="1" l="1"/>
  <c r="F108" i="1" l="1"/>
  <c r="C76" i="1" l="1"/>
  <c r="C81" i="1" l="1"/>
  <c r="C79" i="1"/>
  <c r="C55" i="1"/>
  <c r="C53" i="1"/>
  <c r="C54" i="1" s="1"/>
  <c r="C63" i="1" l="1"/>
  <c r="C42" i="1" l="1"/>
  <c r="C80" i="1"/>
  <c r="C105" i="1" s="1"/>
  <c r="H108" i="1" l="1"/>
  <c r="G108" i="1"/>
  <c r="C107" i="1"/>
  <c r="C106" i="1"/>
  <c r="C50" i="1"/>
  <c r="C52" i="1"/>
  <c r="C62" i="1"/>
  <c r="AG6" i="2"/>
  <c r="C66" i="1"/>
  <c r="H30" i="2" s="1"/>
  <c r="C73" i="1"/>
  <c r="N6" i="2" s="1"/>
  <c r="I18" i="2"/>
  <c r="J29" i="2"/>
  <c r="R12" i="2"/>
  <c r="Q19" i="2"/>
  <c r="Q35" i="2"/>
  <c r="X18" i="2"/>
  <c r="Z24" i="2"/>
  <c r="Z40" i="2"/>
  <c r="C27" i="1"/>
  <c r="C26" i="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7" i="2"/>
  <c r="C58" i="1"/>
  <c r="C31" i="1"/>
  <c r="H22" i="2" l="1"/>
  <c r="H39" i="2"/>
  <c r="H6" i="2"/>
  <c r="H38" i="2"/>
  <c r="H8" i="2"/>
  <c r="H28" i="2"/>
  <c r="H41" i="2"/>
  <c r="H19" i="2"/>
  <c r="H18" i="2"/>
  <c r="H33" i="2"/>
  <c r="C69" i="1"/>
  <c r="N3"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08" i="1"/>
  <c r="C65" i="1"/>
  <c r="C74" i="1" s="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C33" i="1"/>
  <c r="C64" i="1"/>
  <c r="F34" i="2" s="1"/>
  <c r="V19" i="2"/>
  <c r="V6" i="2"/>
  <c r="V35" i="2"/>
  <c r="C111" i="1"/>
  <c r="C103" i="1"/>
  <c r="C102"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09"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AA6" i="2" s="1"/>
  <c r="D9" i="2"/>
  <c r="C34" i="2"/>
  <c r="D12" i="2"/>
  <c r="D42" i="2"/>
  <c r="D7" i="2"/>
  <c r="D31" i="2"/>
  <c r="C41" i="2"/>
  <c r="C33" i="2"/>
  <c r="C25" i="2"/>
  <c r="C17" i="2"/>
  <c r="C9" i="2"/>
  <c r="D6" i="2"/>
  <c r="D4" i="2"/>
  <c r="D21" i="2"/>
  <c r="C42" i="2"/>
  <c r="C18" i="2"/>
  <c r="D16" i="2"/>
  <c r="D25" i="2"/>
  <c r="D17" i="2"/>
  <c r="D39" i="2"/>
  <c r="C40" i="2"/>
  <c r="C32" i="2"/>
  <c r="C24" i="2"/>
  <c r="C16" i="2"/>
  <c r="AA16" i="2" s="1"/>
  <c r="C8" i="2"/>
  <c r="D19" i="2"/>
  <c r="D33" i="2"/>
  <c r="F27" i="2"/>
  <c r="F17" i="2"/>
  <c r="E36" i="2"/>
  <c r="E3" i="2"/>
  <c r="F38" i="2"/>
  <c r="AB38" i="2" s="1"/>
  <c r="AD38" i="2" s="1"/>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AB10" i="2" s="1"/>
  <c r="AD10" i="2" s="1"/>
  <c r="F21" i="2"/>
  <c r="E43" i="2"/>
  <c r="E37" i="2"/>
  <c r="E32" i="2"/>
  <c r="E25" i="2"/>
  <c r="E9" i="2"/>
  <c r="F22" i="2"/>
  <c r="F8" i="2"/>
  <c r="E42" i="2"/>
  <c r="E38" i="2"/>
  <c r="E34" i="2"/>
  <c r="E29" i="2"/>
  <c r="E24" i="2"/>
  <c r="E16" i="2"/>
  <c r="E14" i="2"/>
  <c r="E20" i="2"/>
  <c r="E13" i="2"/>
  <c r="E30" i="2"/>
  <c r="E26" i="2"/>
  <c r="E22" i="2"/>
  <c r="E17" i="2"/>
  <c r="E11" i="2"/>
  <c r="E19" i="2"/>
  <c r="E15" i="2"/>
  <c r="E10" i="2"/>
  <c r="F31" i="2"/>
  <c r="AB31" i="2" s="1"/>
  <c r="AD31" i="2" s="1"/>
  <c r="F30" i="2"/>
  <c r="F41" i="2"/>
  <c r="AB41" i="2" s="1"/>
  <c r="AD41" i="2" s="1"/>
  <c r="E12" i="2"/>
  <c r="E8" i="2"/>
  <c r="F9" i="2"/>
  <c r="F36" i="2"/>
  <c r="AB36" i="2" s="1"/>
  <c r="AD36" i="2" s="1"/>
  <c r="F5" i="2"/>
  <c r="F18" i="2"/>
  <c r="F16" i="2"/>
  <c r="F29" i="2"/>
  <c r="F28" i="2"/>
  <c r="F43" i="2"/>
  <c r="F25" i="2"/>
  <c r="F3" i="2"/>
  <c r="AB18" i="2" l="1"/>
  <c r="AD18" i="2" s="1"/>
  <c r="AA31" i="2"/>
  <c r="AC31" i="2" s="1"/>
  <c r="AA18" i="2"/>
  <c r="AC18" i="2" s="1"/>
  <c r="AA33" i="2"/>
  <c r="AC33" i="2" s="1"/>
  <c r="AA19" i="2"/>
  <c r="AC19" i="2" s="1"/>
  <c r="AA24" i="2"/>
  <c r="AA42" i="2"/>
  <c r="AC42" i="2" s="1"/>
  <c r="AA41" i="2"/>
  <c r="AC41" i="2" s="1"/>
  <c r="AA10" i="2"/>
  <c r="AC10" i="2" s="1"/>
  <c r="AA27" i="2"/>
  <c r="AC27" i="2" s="1"/>
  <c r="AA21" i="2"/>
  <c r="AC21" i="2" s="1"/>
  <c r="AA32" i="2"/>
  <c r="AC32" i="2" s="1"/>
  <c r="AA26" i="2"/>
  <c r="AC26" i="2" s="1"/>
  <c r="AA35" i="2"/>
  <c r="AA12" i="2"/>
  <c r="AC12" i="2" s="1"/>
  <c r="AA23" i="2"/>
  <c r="AC23" i="2" s="1"/>
  <c r="AA39" i="2"/>
  <c r="AC39" i="2" s="1"/>
  <c r="AA40" i="2"/>
  <c r="AC40" i="2" s="1"/>
  <c r="AA43" i="2"/>
  <c r="AC43" i="2" s="1"/>
  <c r="AA20" i="2"/>
  <c r="AC20" i="2" s="1"/>
  <c r="AA3" i="2"/>
  <c r="AC3" i="2" s="1"/>
  <c r="AA7" i="2"/>
  <c r="AC7" i="2" s="1"/>
  <c r="AA14" i="2"/>
  <c r="AC14" i="2" s="1"/>
  <c r="AA28" i="2"/>
  <c r="AC28" i="2" s="1"/>
  <c r="AA29" i="2"/>
  <c r="AC29" i="2" s="1"/>
  <c r="AA30" i="2"/>
  <c r="AC30" i="2" s="1"/>
  <c r="AA37" i="2"/>
  <c r="AC37" i="2" s="1"/>
  <c r="AA9" i="2"/>
  <c r="AC9" i="2" s="1"/>
  <c r="AA36" i="2"/>
  <c r="AC36" i="2" s="1"/>
  <c r="AA17" i="2"/>
  <c r="AC17" i="2" s="1"/>
  <c r="AA34" i="2"/>
  <c r="AC34" i="2" s="1"/>
  <c r="AA5" i="2"/>
  <c r="AC5" i="2" s="1"/>
  <c r="AA15" i="2"/>
  <c r="AC15" i="2" s="1"/>
  <c r="AA38" i="2"/>
  <c r="AC38" i="2" s="1"/>
  <c r="AA8" i="2"/>
  <c r="AC8" i="2" s="1"/>
  <c r="AA25" i="2"/>
  <c r="AC25" i="2" s="1"/>
  <c r="AA11" i="2"/>
  <c r="AC11" i="2" s="1"/>
  <c r="AA22" i="2"/>
  <c r="AC22" i="2" s="1"/>
  <c r="AA13" i="2"/>
  <c r="AC13" i="2" s="1"/>
  <c r="AA4" i="2"/>
  <c r="AC4" i="2" s="1"/>
  <c r="AB6" i="2"/>
  <c r="AD6" i="2" s="1"/>
  <c r="AB30" i="2"/>
  <c r="AD30" i="2" s="1"/>
  <c r="AB33" i="2"/>
  <c r="AD33" i="2" s="1"/>
  <c r="AB32" i="2"/>
  <c r="AD32" i="2" s="1"/>
  <c r="AB26" i="2"/>
  <c r="AD26" i="2" s="1"/>
  <c r="AB22" i="2"/>
  <c r="AD22" i="2" s="1"/>
  <c r="AB40" i="2"/>
  <c r="AD40" i="2" s="1"/>
  <c r="AB20" i="2"/>
  <c r="AD20" i="2" s="1"/>
  <c r="AC6" i="2"/>
  <c r="AC16" i="2"/>
  <c r="AB11" i="2"/>
  <c r="AD11" i="2" s="1"/>
  <c r="AB7" i="2"/>
  <c r="AD7" i="2" s="1"/>
  <c r="AB16" i="2"/>
  <c r="AD16" i="2" s="1"/>
  <c r="AB3" i="2"/>
  <c r="AD3" i="2" s="1"/>
  <c r="AB35" i="2"/>
  <c r="AD35" i="2" s="1"/>
  <c r="AB28" i="2"/>
  <c r="AD28" i="2" s="1"/>
  <c r="AB5" i="2"/>
  <c r="AD5" i="2" s="1"/>
  <c r="AB8" i="2"/>
  <c r="AD8" i="2" s="1"/>
  <c r="AB13" i="2"/>
  <c r="AD13" i="2" s="1"/>
  <c r="AB25" i="2"/>
  <c r="AD25" i="2" s="1"/>
  <c r="AB43" i="2"/>
  <c r="AD43" i="2" s="1"/>
  <c r="AB19" i="2"/>
  <c r="AD19" i="2" s="1"/>
  <c r="AB15" i="2"/>
  <c r="AD15" i="2" s="1"/>
  <c r="AB24" i="2"/>
  <c r="AD24" i="2" s="1"/>
  <c r="AB17" i="2"/>
  <c r="AD17" i="2" s="1"/>
  <c r="AB12" i="2"/>
  <c r="AD12" i="2" s="1"/>
  <c r="AB27" i="2"/>
  <c r="AD27" i="2" s="1"/>
  <c r="AB9" i="2"/>
  <c r="AD9" i="2" s="1"/>
  <c r="AB37" i="2"/>
  <c r="AD37" i="2" s="1"/>
  <c r="AB21" i="2"/>
  <c r="AD21" i="2" s="1"/>
  <c r="AC24" i="2"/>
  <c r="AB42" i="2"/>
  <c r="AD42" i="2" s="1"/>
  <c r="AB4" i="2"/>
  <c r="AD4" i="2" s="1"/>
  <c r="AB39" i="2"/>
  <c r="AD39" i="2" s="1"/>
  <c r="AB29" i="2"/>
  <c r="AD29" i="2" s="1"/>
  <c r="AC35" i="2"/>
  <c r="AB23" i="2"/>
  <c r="AD23" i="2" s="1"/>
</calcChain>
</file>

<file path=xl/sharedStrings.xml><?xml version="1.0" encoding="utf-8"?>
<sst xmlns="http://schemas.openxmlformats.org/spreadsheetml/2006/main" count="319" uniqueCount="246">
  <si>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</si>
  <si>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</si>
  <si>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</si>
  <si>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</si>
  <si>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</si>
  <si>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</si>
  <si>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</si>
  <si>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</si>
  <si>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</si>
  <si>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</si>
  <si>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</si>
  <si>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</si>
  <si>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</si>
  <si>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</si>
  <si>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</si>
  <si>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</si>
  <si>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</si>
  <si>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</si>
  <si>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</si>
  <si>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</si>
  <si>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</si>
  <si>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</si>
  <si>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</si>
  <si>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</si>
  <si>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</si>
  <si>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</si>
  <si>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</si>
  <si>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</si>
  <si>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</si>
  <si>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</si>
  <si>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</si>
  <si>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</si>
  <si>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</si>
  <si>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&lt;=36V</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</si>
  <si>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</si>
  <si>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</si>
  <si>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</si>
  <si>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</si>
  <si>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</si>
  <si>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</si>
  <si>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</si>
  <si>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</si>
  <si>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</si>
  <si>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</si>
  <si>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Register Setting</t>
  </si>
  <si>
    <t>Output current limit setting</t>
  </si>
  <si>
    <t>R1</t>
  </si>
  <si>
    <t>Output current sensing resistor</t>
  </si>
  <si>
    <t>VCC</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</si>
  <si>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</si>
  <si>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</si>
  <si>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</si>
  <si>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</si>
  <si>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</si>
  <si>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</si>
  <si>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</si>
  <si>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</si>
  <si>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</si>
  <si>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</si>
  <si>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</si>
  <si>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</si>
  <si>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</si>
  <si>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</si>
  <si>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</si>
  <si>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</si>
  <si>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</si>
  <si>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</si>
  <si>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</si>
  <si>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</si>
  <si>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</si>
  <si>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</si>
  <si>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</si>
  <si>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</si>
  <si>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</si>
  <si>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</si>
  <si>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</si>
  <si>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</si>
  <si>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</si>
  <si>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</si>
  <si>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</si>
  <si>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</si>
  <si>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</si>
  <si>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</si>
  <si>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</si>
  <si>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</si>
  <si>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</si>
  <si>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</si>
  <si>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</si>
  <si>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</si>
  <si>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</si>
  <si>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</si>
  <si>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</si>
  <si>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</si>
  <si>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</si>
  <si>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</si>
  <si>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</si>
  <si>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</si>
  <si>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</si>
  <si>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</si>
  <si>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</si>
  <si>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</si>
  <si>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</si>
  <si>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</si>
  <si>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</si>
  <si>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</si>
  <si>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</si>
  <si>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</si>
  <si>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</si>
  <si>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</si>
  <si>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</si>
  <si>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</si>
  <si>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</si>
  <si>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</si>
  <si>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</si>
  <si>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</si>
  <si>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</si>
  <si>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</si>
  <si>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</si>
  <si>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</si>
  <si>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</si>
  <si>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</si>
  <si>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</si>
  <si>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</si>
  <si>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</si>
  <si>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</si>
  <si>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</si>
  <si>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</si>
  <si>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</si>
  <si>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</si>
  <si>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</si>
  <si>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</si>
  <si>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</si>
  <si>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</si>
  <si>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</si>
  <si>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</si>
  <si>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</si>
  <si>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</si>
  <si>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</si>
  <si>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</si>
  <si>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</si>
  <si>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</si>
  <si>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</si>
  <si>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</si>
  <si>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</si>
  <si>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</si>
  <si>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</si>
  <si>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</si>
  <si>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</si>
  <si>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</si>
  <si>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</si>
  <si>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</si>
  <si>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</si>
  <si>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</si>
  <si>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</si>
  <si>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</si>
  <si>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</si>
  <si>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</si>
  <si>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</si>
  <si>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Calculate open loop compensate at buck mode or boost mode</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</si>
  <si>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</si>
  <si>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</si>
  <si>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</si>
  <si>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</si>
  <si>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</si>
  <si>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</si>
  <si>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</si>
  <si>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</si>
  <si>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</si>
  <si>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</si>
  <si>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</si>
  <si>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</si>
  <si>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</si>
  <si>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</si>
  <si>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</si>
  <si>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</si>
  <si>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</si>
  <si>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</si>
  <si>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</si>
  <si>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</si>
  <si>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</si>
  <si>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</si>
  <si>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</si>
  <si>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</si>
  <si>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</si>
  <si>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</si>
  <si>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</si>
  <si>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</si>
  <si>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</si>
  <si>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</si>
  <si>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</si>
  <si>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</si>
  <si>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</si>
  <si>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</si>
  <si>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</si>
  <si>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</si>
  <si>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</si>
  <si>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</si>
  <si>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</si>
  <si>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</si>
  <si>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</si>
  <si>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</si>
  <si>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</si>
  <si>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</si>
  <si>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</si>
  <si>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</si>
  <si>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</si>
  <si>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</si>
  <si>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</si>
  <si>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</si>
  <si>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</si>
  <si>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</si>
  <si>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</si>
  <si>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</si>
  <si>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</si>
  <si>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</si>
  <si>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</si>
  <si>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</si>
  <si>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</si>
  <si>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</si>
  <si>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</si>
  <si>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</si>
  <si>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</si>
  <si>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</si>
  <si>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&gt;=3.0V</t>
  </si>
  <si>
    <t xml:space="preserve">MODE </t>
  </si>
  <si>
    <t>EXTVCC</t>
  </si>
  <si>
    <t>EXTVCC pin input logic status</t>
  </si>
  <si>
    <t>MODE pin input logic status</t>
  </si>
  <si>
    <t>R6 recommended</t>
  </si>
  <si>
    <t>Core and AC loss of inductor. Use inductor vendor's formula to estimate. 521mW is the power loss of XAL7070-472 running at 400kHz with Ilrms=5.32A and Ilripple=2.63A at 400kHz.</t>
  </si>
  <si>
    <t>FPWM</t>
  </si>
  <si>
    <t>Must be lower than or equal to 22V</t>
  </si>
  <si>
    <t>Buck HSFET on-resistance in TPS552892 is 14mΩ at 25°C. Temperature coefficient is 0.4%/°C. Correct it when at high Tj</t>
  </si>
  <si>
    <t>Boost LSFET on-resistance in TPS552892 is 11mΩ at 25°C. Temperature coefficient is 0.4%/°C. Correct it when at high Tj</t>
  </si>
  <si>
    <t>TPS552892 Pd</t>
  </si>
  <si>
    <t xml:space="preserve">TPS552892 junction to ambient thermal resistance on EVM. The actual ΘJA depends on the PCB design. </t>
  </si>
  <si>
    <t>Buck LSFET on-resistance in TPS552892 is 22mΩ at 25°C. Temperature coefficient is 0.4%/°C. Correct it when at high Tj</t>
  </si>
  <si>
    <t>Boost HSFET on-resistance in TPS552892 is 10mΩ at 25°C. Temperature coefficient is 0.4%/°C. Correct it when at high Tj</t>
  </si>
  <si>
    <t>Power loss on TPS552892</t>
  </si>
  <si>
    <t>TPS552892 temperature rise</t>
  </si>
  <si>
    <t>Design Tool for TPS552872</t>
  </si>
  <si>
    <t>V1.0 (08/01/2023)</t>
  </si>
  <si>
    <t>This tool is designed to aid the user in designing the TPS552872 buck-boost converter. Refer to TPS552872 datasheet for detail design precedure and all equations.</t>
  </si>
  <si>
    <t>I(Laverage) max</t>
  </si>
  <si>
    <t>Inductor average current at minimum Vin.</t>
  </si>
  <si>
    <r>
      <t xml:space="preserve">Desired typical average inductor current limit. </t>
    </r>
    <r>
      <rPr>
        <sz val="10"/>
        <rFont val="Calibri"/>
        <family val="2"/>
      </rPr>
      <t>±0.7A tolerance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</si>
</sst>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E+00"/>
    <numFmt numFmtId="167" formatCode="0.0000"/>
    <numFmt numFmtId="168" formatCode="#,##0.000"/>
  </numFmts>
  <fonts count="15" x14ac:knownFonts="1">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b/>
      <sz val="10"/>
      <color theme="0"/>
      <name val="Arial"/>
      <family val="2"/>
    </font>
    <font>
      <sz val="10"/>
      <color theme="0"/>
      <name val="Symbol"/>
      <family val="1"/>
      <charset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0"/>
      </left>
      <right/>
      <top style="thin">
        <color theme="0"/>
      </top>
      <bottom style="thin">
        <color theme="0"/>
      </bottom>
      <diagonal/>
    </border>
    <border>
      <left style="thick">
        <color theme="1"/>
      </left>
      <right/>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7" fontId="0" fillId="0" borderId="0" xfId="0" applyNumberFormat="1" applyBorder="1"/>
    <xf numFmtId="167" fontId="0" fillId="0" borderId="8" xfId="0" applyNumberFormat="1" applyBorder="1"/>
    <xf numFmtId="0" fontId="0" fillId="0" borderId="7" xfId="0" applyFill="1" applyBorder="1"/>
    <xf numFmtId="167" fontId="0" fillId="0" borderId="0" xfId="0" applyNumberFormat="1" applyFill="1" applyBorder="1"/>
    <xf numFmtId="0" fontId="0" fillId="0" borderId="20" xfId="0" applyBorder="1"/>
    <xf numFmtId="167"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7" fontId="0" fillId="0" borderId="13" xfId="0" applyNumberFormat="1" applyBorder="1"/>
    <xf numFmtId="167" fontId="0" fillId="0" borderId="25" xfId="0" applyNumberFormat="1" applyBorder="1"/>
    <xf numFmtId="0" fontId="0" fillId="0" borderId="26" xfId="0" applyBorder="1" applyAlignment="1">
      <alignment wrapText="1"/>
    </xf>
    <xf numFmtId="167" fontId="0" fillId="0" borderId="27" xfId="0" applyNumberFormat="1" applyBorder="1"/>
    <xf numFmtId="167" fontId="0" fillId="0" borderId="28" xfId="0" applyNumberFormat="1" applyBorder="1"/>
    <xf numFmtId="167"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6"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6"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7" fontId="0" fillId="0" borderId="0" xfId="0" applyNumberFormat="1" applyFont="1" applyProtection="1">
      <protection hidden="1"/>
    </xf>
    <xf numFmtId="2" fontId="0" fillId="0" borderId="0" xfId="0" applyNumberFormat="1" applyFont="1" applyProtection="1">
      <protection hidden="1"/>
    </xf>
    <xf numFmtId="167" fontId="0" fillId="0" borderId="0" xfId="0" applyNumberFormat="1" applyProtection="1">
      <protection hidden="1"/>
    </xf>
    <xf numFmtId="2" fontId="0" fillId="4" borderId="1" xfId="0" applyNumberFormat="1" applyFont="1" applyFill="1" applyBorder="1" applyProtection="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12" fillId="0" borderId="0" xfId="0" applyFont="1" applyFill="1" applyBorder="1" applyAlignment="1" applyProtection="1">
      <alignment wrapText="1"/>
      <protection hidden="1"/>
    </xf>
    <xf numFmtId="0" fontId="12" fillId="0" borderId="0" xfId="0" applyFont="1" applyFill="1" applyBorder="1" applyProtection="1">
      <protection hidden="1"/>
    </xf>
    <xf numFmtId="0" fontId="12" fillId="0" borderId="8" xfId="0" applyFont="1" applyFill="1" applyBorder="1" applyProtection="1">
      <protection hidden="1"/>
    </xf>
    <xf numFmtId="0" fontId="13" fillId="0" borderId="31" xfId="0" applyFont="1" applyFill="1" applyBorder="1" applyAlignment="1" applyProtection="1">
      <alignment horizontal="center" vertical="center" wrapText="1"/>
      <protection hidden="1"/>
    </xf>
    <xf numFmtId="0" fontId="13" fillId="0" borderId="31" xfId="0" applyFont="1" applyFill="1" applyBorder="1" applyAlignment="1" applyProtection="1">
      <alignment horizontal="center" vertical="center"/>
      <protection hidden="1"/>
    </xf>
    <xf numFmtId="1" fontId="13"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hidden="1"/>
    </xf>
    <xf numFmtId="1"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4" fillId="0" borderId="31" xfId="0" applyFont="1" applyFill="1" applyBorder="1" applyAlignment="1" applyProtection="1">
      <alignment horizontal="center" vertical="center"/>
      <protection hidden="1"/>
    </xf>
    <xf numFmtId="165"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xf>
    <xf numFmtId="1" fontId="12" fillId="0" borderId="31" xfId="0" applyNumberFormat="1"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hidden="1"/>
    </xf>
    <xf numFmtId="0" fontId="0" fillId="3" borderId="32" xfId="0" applyFont="1" applyFill="1" applyBorder="1" applyAlignment="1" applyProtection="1">
      <alignment wrapText="1"/>
      <protection hidden="1"/>
    </xf>
    <xf numFmtId="0" fontId="13" fillId="0" borderId="36" xfId="0" applyFont="1" applyFill="1" applyBorder="1" applyAlignment="1" applyProtection="1">
      <alignment horizontal="center" vertical="center" wrapText="1"/>
      <protection hidden="1"/>
    </xf>
    <xf numFmtId="0" fontId="0" fillId="5" borderId="37" xfId="0" applyFill="1" applyBorder="1" applyProtection="1">
      <protection hidden="1"/>
    </xf>
    <xf numFmtId="164" fontId="0" fillId="10" borderId="1" xfId="0" applyNumberFormat="1" applyFont="1" applyFill="1" applyBorder="1" applyProtection="1">
      <protection hidden="1"/>
    </xf>
    <xf numFmtId="164" fontId="0" fillId="10" borderId="1" xfId="0" applyNumberFormat="1" applyFont="1" applyFill="1" applyBorder="1" applyAlignment="1" applyProtection="1">
      <alignment horizontal="right"/>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34" xfId="0" applyFont="1" applyFill="1" applyBorder="1" applyAlignment="1" applyProtection="1">
      <alignment horizontal="left" wrapText="1"/>
      <protection hidden="1"/>
    </xf>
    <xf numFmtId="0" fontId="0" fillId="3" borderId="35" xfId="0" applyFont="1" applyFill="1" applyBorder="1" applyAlignment="1" applyProtection="1">
      <alignment horizontal="left" wrapText="1"/>
      <protection hidden="1"/>
    </xf>
    <xf numFmtId="0" fontId="12" fillId="0" borderId="33" xfId="0"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2" fillId="0" borderId="36" xfId="0" applyFont="1"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12" fillId="0" borderId="33"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8" fontId="0" fillId="4" borderId="15" xfId="0" applyNumberFormat="1" applyFont="1" applyFill="1" applyBorder="1" applyAlignment="1" applyProtection="1">
      <alignment horizontal="right"/>
      <protection locked="0"/>
    </xf>
    <xf numFmtId="168" fontId="0" fillId="4" borderId="30" xfId="0" applyNumberFormat="1" applyFont="1" applyFill="1" applyBorder="1" applyAlignment="1" applyProtection="1">
      <alignment horizontal="right"/>
      <protection locked="0"/>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3">
    <dxf>
      <font>
        <b/>
        <i val="0"/>
        <color rgb="FFFF0000"/>
      </font>
    </dxf>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40.596284895269001</c:v>
                </c:pt>
                <c:pt idx="1">
                  <c:v>38.595584445062599</c:v>
                </c:pt>
                <c:pt idx="2">
                  <c:v>36.594098545105439</c:v>
                </c:pt>
                <c:pt idx="3">
                  <c:v>34.591513106529838</c:v>
                </c:pt>
                <c:pt idx="4">
                  <c:v>32.587286677211189</c:v>
                </c:pt>
                <c:pt idx="5">
                  <c:v>30.58054827119004</c:v>
                </c:pt>
                <c:pt idx="6">
                  <c:v>28.569945307354015</c:v>
                </c:pt>
                <c:pt idx="7">
                  <c:v>26.553438087856225</c:v>
                </c:pt>
                <c:pt idx="8">
                  <c:v>24.528062193432181</c:v>
                </c:pt>
                <c:pt idx="9">
                  <c:v>22.489745318061935</c:v>
                </c:pt>
                <c:pt idx="10">
                  <c:v>20.433395327319502</c:v>
                </c:pt>
                <c:pt idx="11">
                  <c:v>18.353657965017927</c:v>
                </c:pt>
                <c:pt idx="12">
                  <c:v>16.246810351509559</c:v>
                </c:pt>
                <c:pt idx="13">
                  <c:v>14.113791603638822</c:v>
                </c:pt>
                <c:pt idx="14">
                  <c:v>11.963051771366407</c:v>
                </c:pt>
                <c:pt idx="15">
                  <c:v>9.8106522061235655</c:v>
                </c:pt>
                <c:pt idx="16">
                  <c:v>7.6762311314870013</c:v>
                </c:pt>
                <c:pt idx="17">
                  <c:v>5.5772348522390187</c:v>
                </c:pt>
                <c:pt idx="18">
                  <c:v>3.5257131951297831</c:v>
                </c:pt>
                <c:pt idx="19">
                  <c:v>1.5291148015834066</c:v>
                </c:pt>
                <c:pt idx="20">
                  <c:v>-0.40745327505039464</c:v>
                </c:pt>
                <c:pt idx="21">
                  <c:v>-2.2813734568526542</c:v>
                </c:pt>
                <c:pt idx="22">
                  <c:v>-4.0984332844944538</c:v>
                </c:pt>
                <c:pt idx="23">
                  <c:v>-5.886731004087105</c:v>
                </c:pt>
                <c:pt idx="24">
                  <c:v>-7.7169754934472321</c:v>
                </c:pt>
                <c:pt idx="25">
                  <c:v>-9.7172199390633374</c:v>
                </c:pt>
                <c:pt idx="26">
                  <c:v>-12.055943762254737</c:v>
                </c:pt>
                <c:pt idx="27">
                  <c:v>-14.875389797082271</c:v>
                </c:pt>
                <c:pt idx="28">
                  <c:v>-18.215454151680614</c:v>
                </c:pt>
                <c:pt idx="29">
                  <c:v>-22.0062775481756</c:v>
                </c:pt>
                <c:pt idx="30">
                  <c:v>-26.131230396509817</c:v>
                </c:pt>
                <c:pt idx="31">
                  <c:v>-30.491200234005873</c:v>
                </c:pt>
                <c:pt idx="32">
                  <c:v>-35.033951071480153</c:v>
                </c:pt>
                <c:pt idx="33">
                  <c:v>-39.754455359005128</c:v>
                </c:pt>
                <c:pt idx="34">
                  <c:v>-44.679122697479222</c:v>
                </c:pt>
                <c:pt idx="35">
                  <c:v>-49.844726172362989</c:v>
                </c:pt>
                <c:pt idx="36">
                  <c:v>-55.281615524845137</c:v>
                </c:pt>
                <c:pt idx="37">
                  <c:v>-61.007260567242334</c:v>
                </c:pt>
                <c:pt idx="38">
                  <c:v>-67.029007943737128</c:v>
                </c:pt>
                <c:pt idx="39">
                  <c:v>-73.34864610982622</c:v>
                </c:pt>
                <c:pt idx="40">
                  <c:v>-79.961769353245472</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90.37242378414048</c:v>
                </c:pt>
                <c:pt idx="1">
                  <c:v>90.049906269026451</c:v>
                </c:pt>
                <c:pt idx="2">
                  <c:v>89.730435056544593</c:v>
                </c:pt>
                <c:pt idx="3">
                  <c:v>89.397405469047854</c:v>
                </c:pt>
                <c:pt idx="4">
                  <c:v>89.033877964288081</c:v>
                </c:pt>
                <c:pt idx="5">
                  <c:v>88.622052963441305</c:v>
                </c:pt>
                <c:pt idx="6">
                  <c:v>88.14304153945497</c:v>
                </c:pt>
                <c:pt idx="7">
                  <c:v>87.577199860406893</c:v>
                </c:pt>
                <c:pt idx="8">
                  <c:v>86.905486248174029</c:v>
                </c:pt>
                <c:pt idx="9">
                  <c:v>86.112478013019114</c:v>
                </c:pt>
                <c:pt idx="10">
                  <c:v>85.191571342508965</c:v>
                </c:pt>
                <c:pt idx="11">
                  <c:v>84.151812800906129</c:v>
                </c:pt>
                <c:pt idx="12">
                  <c:v>83.022906102511001</c:v>
                </c:pt>
                <c:pt idx="13">
                  <c:v>81.850744947836091</c:v>
                </c:pt>
                <c:pt idx="14">
                  <c:v>80.67533648947213</c:v>
                </c:pt>
                <c:pt idx="15">
                  <c:v>79.49384708003403</c:v>
                </c:pt>
                <c:pt idx="16">
                  <c:v>78.229337204228784</c:v>
                </c:pt>
                <c:pt idx="17">
                  <c:v>76.726683244922526</c:v>
                </c:pt>
                <c:pt idx="18">
                  <c:v>74.771402491718476</c:v>
                </c:pt>
                <c:pt idx="19">
                  <c:v>72.104668555185995</c:v>
                </c:pt>
                <c:pt idx="20">
                  <c:v>68.413696746123108</c:v>
                </c:pt>
                <c:pt idx="21">
                  <c:v>63.296953561386715</c:v>
                </c:pt>
                <c:pt idx="22">
                  <c:v>56.220735799668468</c:v>
                </c:pt>
                <c:pt idx="23">
                  <c:v>46.5018897854752</c:v>
                </c:pt>
                <c:pt idx="24">
                  <c:v>33.376977612389204</c:v>
                </c:pt>
                <c:pt idx="25">
                  <c:v>16.22540093899179</c:v>
                </c:pt>
                <c:pt idx="26">
                  <c:v>-5.0764132529364048</c:v>
                </c:pt>
                <c:pt idx="27">
                  <c:v>-29.925312582304571</c:v>
                </c:pt>
                <c:pt idx="28">
                  <c:v>-57.220166163537883</c:v>
                </c:pt>
                <c:pt idx="29">
                  <c:v>-85.907136447601744</c:v>
                </c:pt>
                <c:pt idx="30">
                  <c:v>-115.31666782846852</c:v>
                </c:pt>
                <c:pt idx="31">
                  <c:v>-145.16595089143328</c:v>
                </c:pt>
                <c:pt idx="32">
                  <c:v>-175.46535191030725</c:v>
                </c:pt>
                <c:pt idx="33">
                  <c:v>-206.45511215638894</c:v>
                </c:pt>
                <c:pt idx="34">
                  <c:v>-238.56138002162385</c:v>
                </c:pt>
                <c:pt idx="35">
                  <c:v>-272.36773235886528</c:v>
                </c:pt>
                <c:pt idx="36">
                  <c:v>-308.62427633632001</c:v>
                </c:pt>
                <c:pt idx="37">
                  <c:v>-325.52660554151964</c:v>
                </c:pt>
                <c:pt idx="38">
                  <c:v>-340.63700701671024</c:v>
                </c:pt>
                <c:pt idx="39">
                  <c:v>-354.35149048695786</c:v>
                </c:pt>
                <c:pt idx="40">
                  <c:v>-366.57783265254056</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59</xdr:row>
      <xdr:rowOff>35924</xdr:rowOff>
    </xdr:from>
    <xdr:to>
      <xdr:col>15</xdr:col>
      <xdr:colOff>524691</xdr:colOff>
      <xdr:row>90</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713879" y="11304288"/>
          <a:ext cx="6733351" cy="5134361"/>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66675</xdr:colOff>
          <xdr:row>12</xdr:row>
          <xdr:rowOff>38100</xdr:rowOff>
        </xdr:from>
        <xdr:to>
          <xdr:col>15</xdr:col>
          <xdr:colOff>203200</xdr:colOff>
          <xdr:row>32</xdr:row>
          <xdr:rowOff>165100</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6"/>
  <sheetViews>
    <sheetView tabSelected="1" topLeftCell="A60" zoomScale="110" zoomScaleNormal="110" workbookViewId="0">
      <selection activeCell="C61" sqref="C61"/>
    </sheetView>
  </sheetViews>
  <sheetFormatPr defaultColWidth="8.85546875" defaultRowHeight="12.75" x14ac:dyDescent="0.2"/>
  <cols>
    <col min="1" max="1" width="2.5703125" style="103" customWidth="1"/>
    <col min="2" max="2" width="24" style="104" customWidth="1"/>
    <col min="3" max="3" width="13.42578125" style="104" customWidth="1"/>
    <col min="4" max="4" width="6.5703125" style="104" customWidth="1"/>
    <col min="5" max="5" width="53.5703125" style="104" customWidth="1"/>
    <col min="6" max="6" width="9.42578125" style="66" customWidth="1"/>
    <col min="7" max="10" width="8.85546875" style="66" customWidth="1"/>
    <col min="11" max="11" width="8.85546875" style="56" customWidth="1"/>
    <col min="12" max="12" width="8.85546875" style="66"/>
    <col min="13" max="13" width="9.140625" style="66" bestFit="1" customWidth="1"/>
    <col min="14" max="14" width="13.140625" style="66" bestFit="1" customWidth="1"/>
    <col min="15" max="16" width="8.85546875" style="66"/>
    <col min="17" max="17" width="2.5703125" style="66" customWidth="1"/>
    <col min="18" max="18" width="8.85546875" style="66"/>
    <col min="19" max="19" width="11" style="66" bestFit="1" customWidth="1"/>
    <col min="20" max="20" width="8.85546875" style="66" customWidth="1"/>
    <col min="21" max="16384" width="8.85546875" style="66"/>
  </cols>
  <sheetData>
    <row r="1" spans="1:17" s="56" customFormat="1" ht="13.5" thickBot="1" x14ac:dyDescent="0.25">
      <c r="A1" s="52"/>
      <c r="B1" s="53"/>
      <c r="C1" s="53"/>
      <c r="D1" s="53"/>
      <c r="E1" s="53"/>
      <c r="F1" s="54"/>
      <c r="G1" s="54"/>
      <c r="H1" s="54"/>
      <c r="I1" s="54"/>
      <c r="J1" s="55"/>
      <c r="K1" s="55"/>
      <c r="L1" s="55"/>
      <c r="M1" s="55"/>
      <c r="N1" s="55"/>
      <c r="O1" s="55"/>
      <c r="P1" s="55"/>
      <c r="Q1" s="55"/>
    </row>
    <row r="2" spans="1:17" s="56" customFormat="1" ht="16.5" thickTop="1" x14ac:dyDescent="0.25">
      <c r="A2" s="52"/>
      <c r="B2" s="160" t="s">
        <v>240</v>
      </c>
      <c r="C2" s="161"/>
      <c r="D2" s="161"/>
      <c r="E2" s="161"/>
      <c r="F2" s="161"/>
      <c r="G2" s="161"/>
      <c r="H2" s="161"/>
      <c r="I2" s="161"/>
      <c r="J2" s="161"/>
      <c r="K2" s="161"/>
      <c r="L2" s="161"/>
      <c r="M2" s="161"/>
      <c r="N2" s="161"/>
      <c r="O2" s="161"/>
      <c r="P2" s="162"/>
      <c r="Q2" s="55"/>
    </row>
    <row r="3" spans="1:17" s="56" customFormat="1" x14ac:dyDescent="0.2">
      <c r="A3" s="52"/>
      <c r="B3" s="163" t="s">
        <v>241</v>
      </c>
      <c r="C3" s="164"/>
      <c r="D3" s="164"/>
      <c r="E3" s="164"/>
      <c r="F3" s="164"/>
      <c r="G3" s="164"/>
      <c r="H3" s="164"/>
      <c r="I3" s="164"/>
      <c r="J3" s="164"/>
      <c r="K3" s="164"/>
      <c r="L3" s="164"/>
      <c r="M3" s="164"/>
      <c r="N3" s="164"/>
      <c r="O3" s="164"/>
      <c r="P3" s="165"/>
      <c r="Q3" s="55"/>
    </row>
    <row r="4" spans="1:17" s="56" customFormat="1" x14ac:dyDescent="0.2">
      <c r="A4" s="52"/>
      <c r="B4" s="163"/>
      <c r="C4" s="164"/>
      <c r="D4" s="164"/>
      <c r="E4" s="164"/>
      <c r="F4" s="164"/>
      <c r="G4" s="164"/>
      <c r="H4" s="164"/>
      <c r="I4" s="164"/>
      <c r="J4" s="164"/>
      <c r="K4" s="164"/>
      <c r="L4" s="164"/>
      <c r="M4" s="164"/>
      <c r="N4" s="164"/>
      <c r="O4" s="164"/>
      <c r="P4" s="165"/>
      <c r="Q4" s="55"/>
    </row>
    <row r="5" spans="1:17" s="56" customFormat="1" x14ac:dyDescent="0.2">
      <c r="A5" s="52"/>
      <c r="B5" s="57"/>
      <c r="C5" s="58"/>
      <c r="D5" s="58"/>
      <c r="E5" s="58"/>
      <c r="F5" s="59"/>
      <c r="G5" s="59"/>
      <c r="H5" s="59"/>
      <c r="I5" s="59"/>
      <c r="J5" s="59"/>
      <c r="K5" s="60"/>
      <c r="L5" s="60"/>
      <c r="M5" s="60"/>
      <c r="N5" s="60"/>
      <c r="O5" s="60"/>
      <c r="P5" s="61"/>
      <c r="Q5" s="55"/>
    </row>
    <row r="6" spans="1:17" s="56" customFormat="1" ht="13.35" customHeight="1" x14ac:dyDescent="0.2">
      <c r="A6" s="52"/>
      <c r="B6" s="166" t="s">
        <v>242</v>
      </c>
      <c r="C6" s="167"/>
      <c r="D6" s="167"/>
      <c r="E6" s="167"/>
      <c r="F6" s="167"/>
      <c r="G6" s="167"/>
      <c r="H6" s="167"/>
      <c r="I6" s="167"/>
      <c r="J6" s="167"/>
      <c r="K6" s="167"/>
      <c r="L6" s="167"/>
      <c r="M6" s="167"/>
      <c r="N6" s="167"/>
      <c r="O6" s="167"/>
      <c r="P6" s="168"/>
      <c r="Q6" s="55"/>
    </row>
    <row r="7" spans="1:17" s="56" customFormat="1" x14ac:dyDescent="0.2">
      <c r="A7" s="52"/>
      <c r="B7" s="158"/>
      <c r="C7" s="159"/>
      <c r="D7" s="159"/>
      <c r="E7" s="159"/>
      <c r="F7" s="159"/>
      <c r="G7" s="159"/>
      <c r="H7" s="159"/>
      <c r="I7" s="159"/>
      <c r="J7" s="159"/>
      <c r="K7" s="60"/>
      <c r="L7" s="60"/>
      <c r="M7" s="60"/>
      <c r="N7" s="60"/>
      <c r="O7" s="60"/>
      <c r="P7" s="61"/>
      <c r="Q7" s="55"/>
    </row>
    <row r="8" spans="1:17" ht="15.75" x14ac:dyDescent="0.25">
      <c r="A8" s="52"/>
      <c r="B8" s="62"/>
      <c r="C8" s="63"/>
      <c r="D8" s="64" t="s">
        <v>81</v>
      </c>
      <c r="E8" s="65"/>
      <c r="F8" s="60"/>
      <c r="G8" s="60"/>
      <c r="H8" s="60"/>
      <c r="I8" s="60"/>
      <c r="J8" s="60"/>
      <c r="K8" s="60"/>
      <c r="L8" s="60"/>
      <c r="M8" s="60"/>
      <c r="N8" s="60"/>
      <c r="O8" s="60"/>
      <c r="P8" s="61"/>
      <c r="Q8" s="55"/>
    </row>
    <row r="9" spans="1:17" ht="15.75" x14ac:dyDescent="0.25">
      <c r="A9" s="52"/>
      <c r="B9" s="62"/>
      <c r="C9" s="67"/>
      <c r="D9" s="64" t="s">
        <v>43</v>
      </c>
      <c r="E9" s="65"/>
      <c r="F9" s="60"/>
      <c r="G9" s="60"/>
      <c r="H9" s="60"/>
      <c r="I9" s="60"/>
      <c r="J9" s="60"/>
      <c r="K9" s="60"/>
      <c r="L9" s="60"/>
      <c r="M9" s="60"/>
      <c r="N9" s="60"/>
      <c r="O9" s="60"/>
      <c r="P9" s="61"/>
      <c r="Q9" s="55"/>
    </row>
    <row r="10" spans="1:17" ht="15" x14ac:dyDescent="0.25">
      <c r="A10" s="52"/>
      <c r="B10" s="62"/>
      <c r="C10" s="68"/>
      <c r="D10" s="64" t="s">
        <v>42</v>
      </c>
      <c r="E10" s="69"/>
      <c r="F10" s="60"/>
      <c r="G10" s="60"/>
      <c r="H10" s="60"/>
      <c r="I10" s="60"/>
      <c r="J10" s="60"/>
      <c r="K10" s="60"/>
      <c r="L10" s="60"/>
      <c r="M10" s="60"/>
      <c r="N10" s="60"/>
      <c r="O10" s="60"/>
      <c r="P10" s="61"/>
      <c r="Q10" s="55"/>
    </row>
    <row r="11" spans="1:17" ht="15" x14ac:dyDescent="0.25">
      <c r="A11" s="52"/>
      <c r="B11" s="62"/>
      <c r="C11" s="69"/>
      <c r="D11" s="64"/>
      <c r="E11" s="69"/>
      <c r="F11" s="60"/>
      <c r="G11" s="60"/>
      <c r="H11" s="60"/>
      <c r="I11" s="60"/>
      <c r="J11" s="60"/>
      <c r="K11" s="60"/>
      <c r="L11" s="60"/>
      <c r="M11" s="60"/>
      <c r="N11" s="60"/>
      <c r="O11" s="60"/>
      <c r="P11" s="61"/>
      <c r="Q11" s="55"/>
    </row>
    <row r="12" spans="1:17" x14ac:dyDescent="0.2">
      <c r="A12" s="52"/>
      <c r="B12" s="70" t="s">
        <v>25</v>
      </c>
      <c r="C12" s="71" t="s">
        <v>24</v>
      </c>
      <c r="D12" s="71" t="s">
        <v>23</v>
      </c>
      <c r="E12" s="71" t="s">
        <v>26</v>
      </c>
      <c r="F12" s="134" t="s">
        <v>40</v>
      </c>
      <c r="G12" s="134"/>
      <c r="H12" s="134"/>
      <c r="I12" s="134"/>
      <c r="J12" s="134"/>
      <c r="K12" s="134"/>
      <c r="L12" s="134"/>
      <c r="M12" s="134"/>
      <c r="N12" s="134"/>
      <c r="O12" s="134"/>
      <c r="P12" s="135"/>
      <c r="Q12" s="55"/>
    </row>
    <row r="13" spans="1:17" x14ac:dyDescent="0.2">
      <c r="A13" s="52"/>
      <c r="B13" s="136" t="s">
        <v>41</v>
      </c>
      <c r="C13" s="134"/>
      <c r="D13" s="134"/>
      <c r="E13" s="134"/>
      <c r="F13" s="72"/>
      <c r="G13" s="73"/>
      <c r="H13" s="73"/>
      <c r="I13" s="73"/>
      <c r="J13" s="73"/>
      <c r="K13" s="73"/>
      <c r="L13" s="73"/>
      <c r="M13" s="73"/>
      <c r="N13" s="73"/>
      <c r="O13" s="73"/>
      <c r="P13" s="74"/>
      <c r="Q13" s="55"/>
    </row>
    <row r="14" spans="1:17" x14ac:dyDescent="0.2">
      <c r="A14" s="52"/>
      <c r="B14" s="75" t="s">
        <v>12</v>
      </c>
      <c r="C14" s="33">
        <v>9</v>
      </c>
      <c r="D14" s="76" t="s">
        <v>3</v>
      </c>
      <c r="E14" s="77" t="s">
        <v>223</v>
      </c>
      <c r="F14" s="60"/>
      <c r="G14" s="60"/>
      <c r="H14" s="60"/>
      <c r="I14" s="60"/>
      <c r="J14" s="60"/>
      <c r="K14" s="60"/>
      <c r="L14" s="60"/>
      <c r="M14" s="60"/>
      <c r="N14" s="60"/>
      <c r="O14" s="60"/>
      <c r="P14" s="61"/>
      <c r="Q14" s="55"/>
    </row>
    <row r="15" spans="1:17" x14ac:dyDescent="0.2">
      <c r="A15" s="52"/>
      <c r="B15" s="75" t="s">
        <v>13</v>
      </c>
      <c r="C15" s="33">
        <v>16</v>
      </c>
      <c r="D15" s="76" t="s">
        <v>3</v>
      </c>
      <c r="E15" s="77" t="s">
        <v>33</v>
      </c>
      <c r="F15" s="60"/>
      <c r="G15" s="60"/>
      <c r="H15" s="60"/>
      <c r="I15" s="60"/>
      <c r="J15" s="60"/>
      <c r="K15" s="60"/>
      <c r="L15" s="60"/>
      <c r="M15" s="60"/>
      <c r="N15" s="60"/>
      <c r="O15" s="60"/>
      <c r="P15" s="61"/>
      <c r="Q15" s="55"/>
    </row>
    <row r="16" spans="1:17" x14ac:dyDescent="0.2">
      <c r="A16" s="52"/>
      <c r="B16" s="75" t="s">
        <v>30</v>
      </c>
      <c r="C16" s="108">
        <v>12</v>
      </c>
      <c r="D16" s="76" t="s">
        <v>3</v>
      </c>
      <c r="E16" s="77" t="s">
        <v>231</v>
      </c>
      <c r="F16" s="60"/>
      <c r="G16" s="60"/>
      <c r="H16" s="60"/>
      <c r="I16" s="60"/>
      <c r="J16" s="60"/>
      <c r="K16" s="60"/>
      <c r="L16" s="60"/>
      <c r="M16" s="60"/>
      <c r="N16" s="60"/>
      <c r="O16" s="60"/>
      <c r="P16" s="61"/>
      <c r="Q16" s="55"/>
    </row>
    <row r="17" spans="1:17" x14ac:dyDescent="0.2">
      <c r="A17" s="52"/>
      <c r="B17" s="75" t="s">
        <v>54</v>
      </c>
      <c r="C17" s="33">
        <v>2</v>
      </c>
      <c r="D17" s="76" t="s">
        <v>4</v>
      </c>
      <c r="E17" s="77" t="s">
        <v>76</v>
      </c>
      <c r="F17" s="60"/>
      <c r="G17" s="60"/>
      <c r="H17" s="60"/>
      <c r="I17" s="60"/>
      <c r="J17" s="60"/>
      <c r="K17" s="60"/>
      <c r="L17" s="60"/>
      <c r="M17" s="60"/>
      <c r="N17" s="60"/>
      <c r="O17" s="60"/>
      <c r="P17" s="61"/>
      <c r="Q17" s="55"/>
    </row>
    <row r="18" spans="1:17" x14ac:dyDescent="0.2">
      <c r="A18" s="52"/>
      <c r="B18" s="75" t="s">
        <v>48</v>
      </c>
      <c r="C18" s="34" t="s">
        <v>38</v>
      </c>
      <c r="D18" s="76"/>
      <c r="E18" s="77" t="s">
        <v>82</v>
      </c>
      <c r="F18" s="60"/>
      <c r="G18" s="60"/>
      <c r="H18" s="60"/>
      <c r="I18" s="60"/>
      <c r="J18" s="60"/>
      <c r="K18" s="60"/>
      <c r="L18" s="60"/>
      <c r="M18" s="60"/>
      <c r="N18" s="60"/>
      <c r="O18" s="60"/>
      <c r="P18" s="61"/>
      <c r="Q18" s="55"/>
    </row>
    <row r="19" spans="1:17" x14ac:dyDescent="0.2">
      <c r="A19" s="52"/>
      <c r="B19" s="75" t="s">
        <v>225</v>
      </c>
      <c r="C19" s="131" t="str">
        <f>IF(C18="Internal", "High","Low")</f>
        <v>High</v>
      </c>
      <c r="D19" s="76"/>
      <c r="E19" s="77" t="s">
        <v>226</v>
      </c>
      <c r="F19" s="60"/>
      <c r="G19" s="60"/>
      <c r="H19" s="60"/>
      <c r="I19" s="60"/>
      <c r="J19" s="60"/>
      <c r="K19" s="60"/>
      <c r="L19" s="60"/>
      <c r="M19" s="60"/>
      <c r="N19" s="60"/>
      <c r="O19" s="60"/>
      <c r="P19" s="61"/>
      <c r="Q19" s="55"/>
    </row>
    <row r="20" spans="1:17" x14ac:dyDescent="0.2">
      <c r="A20" s="52"/>
      <c r="B20" s="75" t="s">
        <v>80</v>
      </c>
      <c r="C20" s="34" t="s">
        <v>230</v>
      </c>
      <c r="D20" s="76"/>
      <c r="E20" s="77" t="s">
        <v>83</v>
      </c>
      <c r="F20" s="60"/>
      <c r="G20" s="60"/>
      <c r="H20" s="60"/>
      <c r="I20" s="60"/>
      <c r="J20" s="60"/>
      <c r="K20" s="60"/>
      <c r="L20" s="60"/>
      <c r="M20" s="60"/>
      <c r="N20" s="60"/>
      <c r="O20" s="60"/>
      <c r="P20" s="61"/>
      <c r="Q20" s="55"/>
    </row>
    <row r="21" spans="1:17" x14ac:dyDescent="0.2">
      <c r="A21" s="52"/>
      <c r="B21" s="75" t="s">
        <v>224</v>
      </c>
      <c r="C21" s="35" t="str">
        <f>IF(C20="FPWM", "High","Low")</f>
        <v>High</v>
      </c>
      <c r="D21" s="76"/>
      <c r="E21" s="77" t="s">
        <v>227</v>
      </c>
      <c r="F21" s="60"/>
      <c r="G21" s="60"/>
      <c r="H21" s="60"/>
      <c r="I21" s="60"/>
      <c r="J21" s="60"/>
      <c r="K21" s="60"/>
      <c r="L21" s="60"/>
      <c r="M21" s="60"/>
      <c r="N21" s="60"/>
      <c r="O21" s="60"/>
      <c r="P21" s="61"/>
      <c r="Q21" s="55"/>
    </row>
    <row r="22" spans="1:17" ht="25.5" x14ac:dyDescent="0.2">
      <c r="A22" s="52"/>
      <c r="B22" s="75" t="s">
        <v>73</v>
      </c>
      <c r="C22" s="36">
        <v>100000</v>
      </c>
      <c r="D22" s="76" t="s">
        <v>28</v>
      </c>
      <c r="E22" s="77" t="s">
        <v>195</v>
      </c>
      <c r="F22" s="60"/>
      <c r="G22" s="60"/>
      <c r="H22" s="60"/>
      <c r="I22" s="60"/>
      <c r="J22" s="60"/>
      <c r="K22" s="60"/>
      <c r="L22" s="60"/>
      <c r="M22" s="60"/>
      <c r="N22" s="60"/>
      <c r="O22" s="60"/>
      <c r="P22" s="61"/>
      <c r="Q22" s="55"/>
    </row>
    <row r="23" spans="1:17" x14ac:dyDescent="0.2">
      <c r="A23" s="52"/>
      <c r="B23" s="78" t="s">
        <v>228</v>
      </c>
      <c r="C23" s="37">
        <f>R_5/(Vout/1.2-1)</f>
        <v>11111.111111111111</v>
      </c>
      <c r="D23" s="76" t="s">
        <v>28</v>
      </c>
      <c r="E23" s="77" t="s">
        <v>170</v>
      </c>
      <c r="F23" s="60"/>
      <c r="G23" s="60"/>
      <c r="H23" s="60"/>
      <c r="I23" s="60"/>
      <c r="J23" s="60"/>
      <c r="K23" s="60"/>
      <c r="L23" s="60"/>
      <c r="M23" s="60"/>
      <c r="N23" s="60"/>
      <c r="O23" s="60"/>
      <c r="P23" s="61"/>
      <c r="Q23" s="55"/>
    </row>
    <row r="24" spans="1:17" x14ac:dyDescent="0.2">
      <c r="A24" s="52"/>
      <c r="B24" s="75" t="s">
        <v>75</v>
      </c>
      <c r="C24" s="33">
        <v>2</v>
      </c>
      <c r="D24" s="76" t="s">
        <v>4</v>
      </c>
      <c r="E24" s="77" t="s">
        <v>45</v>
      </c>
      <c r="F24" s="60"/>
      <c r="G24" s="60"/>
      <c r="H24" s="60"/>
      <c r="I24" s="60"/>
      <c r="J24" s="60"/>
      <c r="K24" s="60"/>
      <c r="L24" s="60"/>
      <c r="M24" s="60"/>
      <c r="N24" s="60"/>
      <c r="O24" s="60"/>
      <c r="P24" s="61"/>
      <c r="Q24" s="55"/>
    </row>
    <row r="25" spans="1:17" x14ac:dyDescent="0.2">
      <c r="A25" s="52"/>
      <c r="B25" s="75" t="s">
        <v>46</v>
      </c>
      <c r="C25" s="26">
        <f>50/Iout_limit</f>
        <v>25</v>
      </c>
      <c r="D25" s="76" t="s">
        <v>196</v>
      </c>
      <c r="E25" s="77" t="s">
        <v>47</v>
      </c>
      <c r="F25" s="60"/>
      <c r="G25" s="60"/>
      <c r="H25" s="60"/>
      <c r="I25" s="60"/>
      <c r="J25" s="60"/>
      <c r="K25" s="60"/>
      <c r="L25" s="60"/>
      <c r="M25" s="60"/>
      <c r="N25" s="60"/>
      <c r="O25" s="60"/>
      <c r="P25" s="61"/>
      <c r="Q25" s="55"/>
    </row>
    <row r="26" spans="1:17" ht="25.5" x14ac:dyDescent="0.2">
      <c r="A26" s="52"/>
      <c r="B26" s="75" t="s">
        <v>201</v>
      </c>
      <c r="C26" s="38">
        <f>IF((Vout&gt;Vin_min), SQRT((Vout-Vin_min)/Vin_min)*Ioutmax, 1/SQRT(12)*Vout*(1-Vout/Vin_max)/L/fsw)</f>
        <v>1.1547005383792515</v>
      </c>
      <c r="D26" s="76" t="s">
        <v>19</v>
      </c>
      <c r="E26" s="77" t="s">
        <v>22</v>
      </c>
      <c r="F26" s="60"/>
      <c r="G26" s="60"/>
      <c r="H26" s="60"/>
      <c r="I26" s="60"/>
      <c r="J26" s="60"/>
      <c r="K26" s="60"/>
      <c r="L26" s="60"/>
      <c r="M26" s="60"/>
      <c r="N26" s="60"/>
      <c r="O26" s="60"/>
      <c r="P26" s="61"/>
      <c r="Q26" s="55"/>
    </row>
    <row r="27" spans="1:17" ht="25.5" x14ac:dyDescent="0.2">
      <c r="A27" s="52"/>
      <c r="B27" s="75" t="s">
        <v>197</v>
      </c>
      <c r="C27" s="38">
        <f>IF((Vin_max&gt;Vout), IF(Vin_max&lt;(2*Vout), Ioutmax*SQRT(Vout*(Vin_max-Vout)/Vin_max/Vin_max), Ioutmax/2), IF(Vin_min&gt;Vout/2, 1/SQRT(12)*Vin_min*(1-Vin_min/Vout)/L/fsw, 1/SQRT(12)*Vout/4/L/fsw))</f>
        <v>0.8660254037844386</v>
      </c>
      <c r="D27" s="76" t="s">
        <v>19</v>
      </c>
      <c r="E27" s="77" t="s">
        <v>36</v>
      </c>
      <c r="F27" s="60"/>
      <c r="G27" s="60"/>
      <c r="H27" s="60"/>
      <c r="I27" s="60"/>
      <c r="J27" s="60"/>
      <c r="K27" s="60"/>
      <c r="L27" s="60"/>
      <c r="M27" s="60"/>
      <c r="N27" s="60"/>
      <c r="O27" s="60"/>
      <c r="P27" s="61"/>
      <c r="Q27" s="55"/>
    </row>
    <row r="28" spans="1:17" x14ac:dyDescent="0.2">
      <c r="A28" s="52"/>
      <c r="B28" s="75" t="s">
        <v>2</v>
      </c>
      <c r="C28" s="39">
        <v>400000</v>
      </c>
      <c r="D28" s="76" t="s">
        <v>6</v>
      </c>
      <c r="E28" s="77" t="s">
        <v>16</v>
      </c>
      <c r="F28" s="60"/>
      <c r="G28" s="60"/>
      <c r="H28" s="60"/>
      <c r="I28" s="60"/>
      <c r="J28" s="60"/>
      <c r="K28" s="60"/>
      <c r="L28" s="60"/>
      <c r="M28" s="60"/>
      <c r="N28" s="60"/>
      <c r="O28" s="60"/>
      <c r="P28" s="61"/>
      <c r="Q28" s="55"/>
    </row>
    <row r="29" spans="1:17" x14ac:dyDescent="0.2">
      <c r="A29" s="52"/>
      <c r="B29" s="78" t="s">
        <v>35</v>
      </c>
      <c r="C29" s="40">
        <f>(10^9/fsw-35)/0.05-250</f>
        <v>49050</v>
      </c>
      <c r="D29" s="76" t="s">
        <v>28</v>
      </c>
      <c r="E29" s="77" t="s">
        <v>34</v>
      </c>
      <c r="F29" s="60"/>
      <c r="G29" s="60"/>
      <c r="H29" s="60"/>
      <c r="I29" s="60"/>
      <c r="J29" s="60"/>
      <c r="K29" s="60"/>
      <c r="L29" s="60"/>
      <c r="M29" s="60"/>
      <c r="N29" s="60"/>
      <c r="O29" s="60"/>
      <c r="P29" s="61"/>
      <c r="Q29" s="55"/>
    </row>
    <row r="30" spans="1:17" x14ac:dyDescent="0.2">
      <c r="A30" s="52"/>
      <c r="B30" s="75" t="s">
        <v>77</v>
      </c>
      <c r="C30" s="39">
        <v>1000</v>
      </c>
      <c r="D30" s="76" t="s">
        <v>6</v>
      </c>
      <c r="E30" s="77" t="s">
        <v>78</v>
      </c>
      <c r="F30" s="60"/>
      <c r="G30" s="60"/>
      <c r="H30" s="60"/>
      <c r="I30" s="60"/>
      <c r="J30" s="60"/>
      <c r="K30" s="60"/>
      <c r="L30" s="60"/>
      <c r="M30" s="60"/>
      <c r="N30" s="60"/>
      <c r="O30" s="60"/>
      <c r="P30" s="61"/>
      <c r="Q30" s="55"/>
    </row>
    <row r="31" spans="1:17" x14ac:dyDescent="0.2">
      <c r="A31" s="52"/>
      <c r="B31" s="78" t="s">
        <v>79</v>
      </c>
      <c r="C31" s="41">
        <f>1/2.8/C29/C30</f>
        <v>7.2811999417504004E-9</v>
      </c>
      <c r="D31" s="76" t="s">
        <v>9</v>
      </c>
      <c r="E31" s="77"/>
      <c r="F31" s="141" t="s">
        <v>44</v>
      </c>
      <c r="G31" s="141"/>
      <c r="H31" s="141"/>
      <c r="I31" s="141"/>
      <c r="J31" s="141"/>
      <c r="K31" s="141"/>
      <c r="L31" s="141"/>
      <c r="M31" s="141"/>
      <c r="N31" s="141"/>
      <c r="O31" s="141"/>
      <c r="P31" s="142"/>
      <c r="Q31" s="102"/>
    </row>
    <row r="32" spans="1:17" ht="25.5" x14ac:dyDescent="0.2">
      <c r="A32" s="52"/>
      <c r="B32" s="75" t="s">
        <v>202</v>
      </c>
      <c r="C32" s="42">
        <v>0.05</v>
      </c>
      <c r="D32" s="76" t="s">
        <v>20</v>
      </c>
      <c r="E32" s="77" t="s">
        <v>185</v>
      </c>
      <c r="F32" s="112"/>
      <c r="G32" s="113"/>
      <c r="H32" s="113"/>
      <c r="I32" s="113"/>
      <c r="J32" s="113"/>
      <c r="K32" s="113"/>
      <c r="L32" s="113"/>
      <c r="M32" s="113"/>
      <c r="N32" s="113"/>
      <c r="O32" s="113"/>
      <c r="P32" s="114"/>
      <c r="Q32" s="102"/>
    </row>
    <row r="33" spans="1:17" ht="27" customHeight="1" x14ac:dyDescent="0.2">
      <c r="A33" s="52"/>
      <c r="B33" s="78" t="s">
        <v>52</v>
      </c>
      <c r="C33" s="43">
        <f>MAX((Vout-Vin_min)/Vout/fsw*Ioutmax/dVoutpkpk, 1/8/fsw*(ILpeak_max-ILvalley_max)/dVoutpkpk)</f>
        <v>2.5000000000000001E-5</v>
      </c>
      <c r="D33" s="76" t="s">
        <v>9</v>
      </c>
      <c r="E33" s="127" t="s">
        <v>37</v>
      </c>
      <c r="F33" s="126"/>
      <c r="G33" s="116"/>
      <c r="H33" s="116"/>
      <c r="I33" s="117"/>
      <c r="J33" s="116"/>
      <c r="K33" s="115"/>
      <c r="L33" s="116"/>
      <c r="M33" s="116"/>
      <c r="N33" s="116"/>
      <c r="O33" s="116"/>
      <c r="P33" s="128"/>
      <c r="Q33" s="129"/>
    </row>
    <row r="34" spans="1:17" x14ac:dyDescent="0.2">
      <c r="A34" s="52"/>
      <c r="B34" s="143" t="s">
        <v>120</v>
      </c>
      <c r="C34" s="154">
        <v>9.9999999999999995E-8</v>
      </c>
      <c r="D34" s="156" t="s">
        <v>9</v>
      </c>
      <c r="E34" s="149" t="s">
        <v>174</v>
      </c>
      <c r="F34" s="169"/>
      <c r="G34" s="152"/>
      <c r="H34" s="118"/>
      <c r="I34" s="118"/>
      <c r="J34" s="118"/>
      <c r="K34" s="118"/>
      <c r="L34" s="118"/>
      <c r="M34" s="118"/>
      <c r="N34" s="118"/>
      <c r="O34" s="118"/>
      <c r="P34" s="153"/>
      <c r="Q34" s="129"/>
    </row>
    <row r="35" spans="1:17" x14ac:dyDescent="0.2">
      <c r="A35" s="52"/>
      <c r="B35" s="144"/>
      <c r="C35" s="155"/>
      <c r="D35" s="157"/>
      <c r="E35" s="150"/>
      <c r="F35" s="169"/>
      <c r="G35" s="152"/>
      <c r="H35" s="118"/>
      <c r="I35" s="119"/>
      <c r="J35" s="120"/>
      <c r="K35" s="118"/>
      <c r="L35" s="120"/>
      <c r="M35" s="120"/>
      <c r="N35" s="120"/>
      <c r="O35" s="120"/>
      <c r="P35" s="153"/>
      <c r="Q35" s="129"/>
    </row>
    <row r="36" spans="1:17" ht="15.75" customHeight="1" x14ac:dyDescent="0.2">
      <c r="A36" s="52"/>
      <c r="B36" s="143" t="s">
        <v>121</v>
      </c>
      <c r="C36" s="154">
        <f>0.0000052*4</f>
        <v>2.0800000000000001E-5</v>
      </c>
      <c r="D36" s="156" t="s">
        <v>9</v>
      </c>
      <c r="E36" s="149" t="s">
        <v>127</v>
      </c>
      <c r="F36" s="169"/>
      <c r="G36" s="152"/>
      <c r="H36" s="118"/>
      <c r="I36" s="118"/>
      <c r="J36" s="118"/>
      <c r="K36" s="118"/>
      <c r="L36" s="118"/>
      <c r="M36" s="118"/>
      <c r="N36" s="118"/>
      <c r="O36" s="118"/>
      <c r="P36" s="153"/>
      <c r="Q36" s="129"/>
    </row>
    <row r="37" spans="1:17" x14ac:dyDescent="0.2">
      <c r="A37" s="52"/>
      <c r="B37" s="144"/>
      <c r="C37" s="155"/>
      <c r="D37" s="157"/>
      <c r="E37" s="150"/>
      <c r="F37" s="169"/>
      <c r="G37" s="152"/>
      <c r="H37" s="118"/>
      <c r="I37" s="118"/>
      <c r="J37" s="118"/>
      <c r="K37" s="118"/>
      <c r="L37" s="118"/>
      <c r="M37" s="118"/>
      <c r="N37" s="120"/>
      <c r="O37" s="120"/>
      <c r="P37" s="153"/>
      <c r="Q37" s="129"/>
    </row>
    <row r="38" spans="1:17" x14ac:dyDescent="0.2">
      <c r="A38" s="52"/>
      <c r="B38" s="143" t="s">
        <v>171</v>
      </c>
      <c r="C38" s="172">
        <v>1E-3</v>
      </c>
      <c r="D38" s="156" t="s">
        <v>28</v>
      </c>
      <c r="E38" s="149" t="s">
        <v>111</v>
      </c>
      <c r="F38" s="169"/>
      <c r="G38" s="152"/>
      <c r="H38" s="118"/>
      <c r="I38" s="118"/>
      <c r="J38" s="118"/>
      <c r="K38" s="118"/>
      <c r="L38" s="118"/>
      <c r="M38" s="120"/>
      <c r="N38" s="120"/>
      <c r="O38" s="120"/>
      <c r="P38" s="153"/>
      <c r="Q38" s="129"/>
    </row>
    <row r="39" spans="1:17" x14ac:dyDescent="0.2">
      <c r="A39" s="52"/>
      <c r="B39" s="144"/>
      <c r="C39" s="173"/>
      <c r="D39" s="157"/>
      <c r="E39" s="150"/>
      <c r="F39" s="169"/>
      <c r="G39" s="152"/>
      <c r="H39" s="121"/>
      <c r="I39" s="122"/>
      <c r="J39" s="120"/>
      <c r="K39" s="118"/>
      <c r="L39" s="120"/>
      <c r="M39" s="120"/>
      <c r="N39" s="120"/>
      <c r="O39" s="120"/>
      <c r="P39" s="153"/>
      <c r="Q39" s="129"/>
    </row>
    <row r="40" spans="1:17" x14ac:dyDescent="0.2">
      <c r="A40" s="52"/>
      <c r="B40" s="143" t="s">
        <v>198</v>
      </c>
      <c r="C40" s="170">
        <v>0.05</v>
      </c>
      <c r="D40" s="156" t="s">
        <v>20</v>
      </c>
      <c r="E40" s="149" t="s">
        <v>50</v>
      </c>
      <c r="F40" s="169"/>
      <c r="G40" s="152"/>
      <c r="H40" s="118"/>
      <c r="I40" s="118"/>
      <c r="J40" s="120"/>
      <c r="K40" s="118"/>
      <c r="L40" s="118"/>
      <c r="M40" s="118"/>
      <c r="N40" s="120"/>
      <c r="O40" s="120"/>
      <c r="P40" s="153"/>
      <c r="Q40" s="129"/>
    </row>
    <row r="41" spans="1:17" x14ac:dyDescent="0.2">
      <c r="A41" s="52"/>
      <c r="B41" s="144"/>
      <c r="C41" s="171"/>
      <c r="D41" s="157"/>
      <c r="E41" s="150"/>
      <c r="F41" s="169"/>
      <c r="G41" s="152"/>
      <c r="H41" s="118"/>
      <c r="I41" s="118"/>
      <c r="J41" s="120"/>
      <c r="K41" s="120"/>
      <c r="L41" s="118"/>
      <c r="M41" s="118"/>
      <c r="N41" s="120"/>
      <c r="O41" s="120"/>
      <c r="P41" s="153"/>
      <c r="Q41" s="129"/>
    </row>
    <row r="42" spans="1:17" x14ac:dyDescent="0.2">
      <c r="A42" s="52"/>
      <c r="B42" s="174" t="s">
        <v>51</v>
      </c>
      <c r="C42" s="176">
        <f>Ioutmax*0.25/dVinpkpk/fsw</f>
        <v>2.5000000000000001E-5</v>
      </c>
      <c r="D42" s="156" t="s">
        <v>9</v>
      </c>
      <c r="E42" s="149" t="s">
        <v>84</v>
      </c>
      <c r="F42" s="169"/>
      <c r="G42" s="152"/>
      <c r="H42" s="118"/>
      <c r="I42" s="118"/>
      <c r="J42" s="118"/>
      <c r="K42" s="118"/>
      <c r="L42" s="118"/>
      <c r="M42" s="118"/>
      <c r="N42" s="120"/>
      <c r="O42" s="120"/>
      <c r="P42" s="153"/>
      <c r="Q42" s="129"/>
    </row>
    <row r="43" spans="1:17" x14ac:dyDescent="0.2">
      <c r="A43" s="52"/>
      <c r="B43" s="175"/>
      <c r="C43" s="177"/>
      <c r="D43" s="157"/>
      <c r="E43" s="150"/>
      <c r="F43" s="169"/>
      <c r="G43" s="152"/>
      <c r="H43" s="118"/>
      <c r="I43" s="118"/>
      <c r="J43" s="118"/>
      <c r="K43" s="118"/>
      <c r="L43" s="118"/>
      <c r="M43" s="118"/>
      <c r="N43" s="120"/>
      <c r="O43" s="120"/>
      <c r="P43" s="153"/>
      <c r="Q43" s="129"/>
    </row>
    <row r="44" spans="1:17" x14ac:dyDescent="0.2">
      <c r="A44" s="52"/>
      <c r="B44" s="143" t="s">
        <v>53</v>
      </c>
      <c r="C44" s="154">
        <v>4.3000000000000002E-5</v>
      </c>
      <c r="D44" s="156" t="s">
        <v>9</v>
      </c>
      <c r="E44" s="149" t="s">
        <v>31</v>
      </c>
      <c r="F44" s="151"/>
      <c r="G44" s="152"/>
      <c r="H44" s="118"/>
      <c r="I44" s="118"/>
      <c r="J44" s="118"/>
      <c r="K44" s="118"/>
      <c r="L44" s="118"/>
      <c r="M44" s="118"/>
      <c r="N44" s="120"/>
      <c r="O44" s="120"/>
      <c r="P44" s="153"/>
      <c r="Q44" s="129"/>
    </row>
    <row r="45" spans="1:17" x14ac:dyDescent="0.2">
      <c r="A45" s="52"/>
      <c r="B45" s="144"/>
      <c r="C45" s="155"/>
      <c r="D45" s="157"/>
      <c r="E45" s="150"/>
      <c r="F45" s="151"/>
      <c r="G45" s="152"/>
      <c r="H45" s="118"/>
      <c r="I45" s="118"/>
      <c r="J45" s="118"/>
      <c r="K45" s="118"/>
      <c r="L45" s="118"/>
      <c r="M45" s="120"/>
      <c r="N45" s="120"/>
      <c r="O45" s="120"/>
      <c r="P45" s="153"/>
      <c r="Q45" s="129"/>
    </row>
    <row r="46" spans="1:17" x14ac:dyDescent="0.2">
      <c r="A46" s="52"/>
      <c r="B46" s="143" t="s">
        <v>205</v>
      </c>
      <c r="C46" s="145">
        <v>0.95</v>
      </c>
      <c r="D46" s="147"/>
      <c r="E46" s="149" t="s">
        <v>39</v>
      </c>
      <c r="F46" s="151"/>
      <c r="G46" s="152"/>
      <c r="H46" s="118"/>
      <c r="I46" s="118"/>
      <c r="J46" s="118"/>
      <c r="K46" s="118"/>
      <c r="L46" s="118"/>
      <c r="M46" s="118"/>
      <c r="N46" s="118"/>
      <c r="O46" s="118"/>
      <c r="P46" s="153"/>
      <c r="Q46" s="129"/>
    </row>
    <row r="47" spans="1:17" x14ac:dyDescent="0.2">
      <c r="A47" s="52"/>
      <c r="B47" s="144"/>
      <c r="C47" s="146"/>
      <c r="D47" s="148"/>
      <c r="E47" s="150"/>
      <c r="F47" s="151"/>
      <c r="G47" s="152"/>
      <c r="H47" s="123"/>
      <c r="I47" s="123"/>
      <c r="J47" s="123"/>
      <c r="K47" s="123"/>
      <c r="L47" s="124"/>
      <c r="M47" s="124"/>
      <c r="N47" s="125"/>
      <c r="O47" s="124"/>
      <c r="P47" s="153"/>
      <c r="Q47" s="129"/>
    </row>
    <row r="48" spans="1:17" x14ac:dyDescent="0.2">
      <c r="A48" s="52"/>
      <c r="B48" s="143" t="s">
        <v>11</v>
      </c>
      <c r="C48" s="178">
        <v>0.5</v>
      </c>
      <c r="D48" s="147"/>
      <c r="E48" s="149" t="s">
        <v>86</v>
      </c>
      <c r="F48" s="151"/>
      <c r="G48" s="152"/>
      <c r="H48" s="120"/>
      <c r="I48" s="120"/>
      <c r="J48" s="120"/>
      <c r="K48" s="120"/>
      <c r="L48" s="120"/>
      <c r="M48" s="118"/>
      <c r="N48" s="120"/>
      <c r="O48" s="120"/>
      <c r="P48" s="153"/>
      <c r="Q48" s="129"/>
    </row>
    <row r="49" spans="1:17" x14ac:dyDescent="0.2">
      <c r="A49" s="52"/>
      <c r="B49" s="144"/>
      <c r="C49" s="179"/>
      <c r="D49" s="148"/>
      <c r="E49" s="150"/>
      <c r="F49" s="151"/>
      <c r="G49" s="152"/>
      <c r="H49" s="120"/>
      <c r="I49" s="120"/>
      <c r="J49" s="120"/>
      <c r="K49" s="120"/>
      <c r="L49" s="120"/>
      <c r="M49" s="118"/>
      <c r="N49" s="120"/>
      <c r="O49" s="120"/>
      <c r="P49" s="153"/>
      <c r="Q49" s="129"/>
    </row>
    <row r="50" spans="1:17" ht="25.5" x14ac:dyDescent="0.2">
      <c r="A50" s="52"/>
      <c r="B50" s="75" t="s">
        <v>97</v>
      </c>
      <c r="C50" s="43">
        <f>IF(Vout&gt;Vin_min, Vin_min^2*eff*(Vout-Vin_min)/(K*Ioutmax*fsw*Vout^2), (1-Vout/Vin_max)*Vout/(K*Ioutmax*fsw))</f>
        <v>4.0078125E-6</v>
      </c>
      <c r="D50" s="76" t="s">
        <v>5</v>
      </c>
      <c r="E50" s="77" t="s">
        <v>85</v>
      </c>
      <c r="F50" s="80"/>
      <c r="G50" s="60"/>
      <c r="H50" s="60"/>
      <c r="I50" s="60"/>
      <c r="J50" s="60"/>
      <c r="K50" s="60"/>
      <c r="L50" s="60"/>
      <c r="M50" s="60"/>
      <c r="N50" s="60"/>
      <c r="O50" s="60"/>
      <c r="P50" s="61"/>
      <c r="Q50" s="55"/>
    </row>
    <row r="51" spans="1:17" ht="15.6" customHeight="1" x14ac:dyDescent="0.2">
      <c r="A51" s="52"/>
      <c r="B51" s="75" t="s">
        <v>17</v>
      </c>
      <c r="C51" s="44">
        <v>4.6999999999999999E-6</v>
      </c>
      <c r="D51" s="76" t="s">
        <v>5</v>
      </c>
      <c r="E51" s="77"/>
      <c r="F51" s="80"/>
      <c r="G51" s="60"/>
      <c r="H51" s="80"/>
      <c r="I51" s="80"/>
      <c r="J51" s="60"/>
      <c r="K51" s="60"/>
      <c r="L51" s="60"/>
      <c r="M51" s="60"/>
      <c r="N51" s="60"/>
      <c r="O51" s="60"/>
      <c r="P51" s="61"/>
      <c r="Q51" s="55"/>
    </row>
    <row r="52" spans="1:17" x14ac:dyDescent="0.2">
      <c r="A52" s="52"/>
      <c r="B52" s="75" t="s">
        <v>162</v>
      </c>
      <c r="C52" s="38">
        <f>IF(Vout&gt;Vin_min, ((Ioutmax/(Vin_min/Vout)/eff)^2+1/12*(Vin_min/L*(1-Vin_min/Vout)/fsw)^2)^0.5, ((Ioutmax^2+1/12*(Vout/L*(1-Vout/Vin_max)/fsw)^2)^0.5))</f>
        <v>2.828199081122805</v>
      </c>
      <c r="D52" s="76" t="s">
        <v>19</v>
      </c>
      <c r="E52" s="77" t="s">
        <v>14</v>
      </c>
      <c r="F52" s="60"/>
      <c r="G52" s="60"/>
      <c r="H52" s="60"/>
      <c r="I52" s="60"/>
      <c r="J52" s="60"/>
      <c r="K52" s="60"/>
      <c r="L52" s="60"/>
      <c r="M52" s="60"/>
      <c r="N52" s="60"/>
      <c r="O52" s="60"/>
      <c r="P52" s="61"/>
      <c r="Q52" s="55"/>
    </row>
    <row r="53" spans="1:17" ht="25.5" customHeight="1" x14ac:dyDescent="0.2">
      <c r="A53" s="52"/>
      <c r="B53" s="75" t="s">
        <v>164</v>
      </c>
      <c r="C53" s="38">
        <f>IF(Vout&gt;Vin_min, (Ioutmax/(Vin_min/Vout)/eff+(1/2*Vin_min/L*(1-Vin_min/Vout)/fsw)), Ioutmax+1/2*(Vout*(1-Vout/Vin_max)/L/fsw))</f>
        <v>3.4054217991787978</v>
      </c>
      <c r="D53" s="76" t="s">
        <v>4</v>
      </c>
      <c r="E53" s="77" t="s">
        <v>208</v>
      </c>
      <c r="F53" s="60"/>
      <c r="G53" s="81"/>
      <c r="H53" s="82"/>
      <c r="I53" s="81"/>
      <c r="J53" s="79"/>
      <c r="K53" s="60"/>
      <c r="L53" s="60"/>
      <c r="M53" s="60"/>
      <c r="N53" s="60"/>
      <c r="O53" s="60"/>
      <c r="P53" s="61"/>
      <c r="Q53" s="55"/>
    </row>
    <row r="54" spans="1:17" ht="18" customHeight="1" x14ac:dyDescent="0.2">
      <c r="A54" s="52"/>
      <c r="B54" s="75" t="s">
        <v>243</v>
      </c>
      <c r="C54" s="38">
        <f>(ILpeak_max+ILvalley_max)/2</f>
        <v>2.807017543859649</v>
      </c>
      <c r="D54" s="76" t="s">
        <v>4</v>
      </c>
      <c r="E54" s="77" t="s">
        <v>244</v>
      </c>
      <c r="F54" s="60"/>
      <c r="G54" s="81"/>
      <c r="H54" s="82"/>
      <c r="I54" s="81"/>
      <c r="J54" s="79"/>
      <c r="K54" s="60"/>
      <c r="L54" s="60"/>
      <c r="M54" s="60"/>
      <c r="N54" s="60"/>
      <c r="O54" s="60"/>
      <c r="P54" s="61"/>
      <c r="Q54" s="55"/>
    </row>
    <row r="55" spans="1:17" x14ac:dyDescent="0.2">
      <c r="A55" s="52"/>
      <c r="B55" s="75" t="s">
        <v>165</v>
      </c>
      <c r="C55" s="38">
        <f>IF(Vout&gt;Vin_min, (Ioutmax/(Vin_min/Vout)/eff-(1/2*Vin_min/L*(1-Vin_min/Vout)/fsw)), Ioutmax-1/2*(Vout*(1-Vout/Vin_max)/L/fsw))</f>
        <v>2.2086132885405001</v>
      </c>
      <c r="D55" s="76" t="s">
        <v>4</v>
      </c>
      <c r="E55" s="77"/>
      <c r="F55" s="60"/>
      <c r="G55" s="81"/>
      <c r="H55" s="82"/>
      <c r="I55" s="81"/>
      <c r="J55" s="79"/>
      <c r="K55" s="60"/>
      <c r="L55" s="60"/>
      <c r="M55" s="60"/>
      <c r="N55" s="60"/>
      <c r="O55" s="60"/>
      <c r="P55" s="61"/>
      <c r="Q55" s="55"/>
    </row>
    <row r="56" spans="1:17" x14ac:dyDescent="0.2">
      <c r="A56" s="52"/>
      <c r="B56" s="75" t="s">
        <v>186</v>
      </c>
      <c r="C56" s="109">
        <v>4</v>
      </c>
      <c r="D56" s="76" t="s">
        <v>4</v>
      </c>
      <c r="E56" s="77" t="s">
        <v>245</v>
      </c>
      <c r="F56" s="60"/>
      <c r="G56" s="81"/>
      <c r="H56" s="82"/>
      <c r="I56" s="81"/>
      <c r="J56" s="79"/>
      <c r="K56" s="60"/>
      <c r="L56" s="60"/>
      <c r="M56" s="60"/>
      <c r="N56" s="60"/>
      <c r="O56" s="60"/>
      <c r="P56" s="61"/>
      <c r="Q56" s="55"/>
    </row>
    <row r="57" spans="1:17" x14ac:dyDescent="0.2">
      <c r="A57" s="52"/>
      <c r="B57" s="83" t="s">
        <v>87</v>
      </c>
      <c r="C57" s="45">
        <v>0</v>
      </c>
      <c r="D57" s="76" t="s">
        <v>89</v>
      </c>
      <c r="E57" s="77" t="s">
        <v>88</v>
      </c>
      <c r="F57" s="60"/>
      <c r="G57" s="81"/>
      <c r="H57" s="82"/>
      <c r="I57" s="81"/>
      <c r="J57" s="79"/>
      <c r="K57" s="60"/>
      <c r="L57" s="60"/>
      <c r="M57" s="60"/>
      <c r="N57" s="60"/>
      <c r="O57" s="60"/>
      <c r="P57" s="61"/>
      <c r="Q57" s="55"/>
    </row>
    <row r="58" spans="1:17" x14ac:dyDescent="0.2">
      <c r="A58" s="52"/>
      <c r="B58" s="78" t="s">
        <v>95</v>
      </c>
      <c r="C58" s="46" t="str">
        <f>IF((C57=0), "floating", 3*R_7/C57)</f>
        <v>floating</v>
      </c>
      <c r="D58" s="76" t="s">
        <v>49</v>
      </c>
      <c r="E58" s="77" t="s">
        <v>96</v>
      </c>
      <c r="F58" s="60"/>
      <c r="G58" s="60"/>
      <c r="H58" s="60"/>
      <c r="I58" s="60"/>
      <c r="J58" s="60"/>
      <c r="K58" s="60"/>
      <c r="L58" s="60"/>
      <c r="M58" s="60"/>
      <c r="N58" s="60"/>
      <c r="O58" s="60"/>
      <c r="P58" s="61"/>
      <c r="Q58" s="55"/>
    </row>
    <row r="59" spans="1:17" x14ac:dyDescent="0.2">
      <c r="A59" s="52"/>
      <c r="B59" s="140" t="s">
        <v>182</v>
      </c>
      <c r="C59" s="138"/>
      <c r="D59" s="138"/>
      <c r="E59" s="138"/>
      <c r="F59" s="137" t="s">
        <v>150</v>
      </c>
      <c r="G59" s="138"/>
      <c r="H59" s="138"/>
      <c r="I59" s="138"/>
      <c r="J59" s="138"/>
      <c r="K59" s="138"/>
      <c r="L59" s="138"/>
      <c r="M59" s="138"/>
      <c r="N59" s="138"/>
      <c r="O59" s="138"/>
      <c r="P59" s="139"/>
      <c r="Q59" s="55"/>
    </row>
    <row r="60" spans="1:17" x14ac:dyDescent="0.2">
      <c r="A60" s="52"/>
      <c r="B60" s="75" t="s">
        <v>0</v>
      </c>
      <c r="C60" s="26">
        <v>9</v>
      </c>
      <c r="D60" s="76" t="s">
        <v>3</v>
      </c>
      <c r="E60" s="132" t="s">
        <v>184</v>
      </c>
      <c r="F60" s="60"/>
      <c r="G60" s="60"/>
      <c r="H60" s="60"/>
      <c r="I60" s="60"/>
      <c r="J60" s="60"/>
      <c r="K60" s="60"/>
      <c r="L60" s="60"/>
      <c r="M60" s="60"/>
      <c r="N60" s="60"/>
      <c r="O60" s="60"/>
      <c r="P60" s="61"/>
      <c r="Q60" s="55"/>
    </row>
    <row r="61" spans="1:17" x14ac:dyDescent="0.2">
      <c r="A61" s="52"/>
      <c r="B61" s="75" t="s">
        <v>30</v>
      </c>
      <c r="C61" s="130">
        <f>Vout</f>
        <v>12</v>
      </c>
      <c r="D61" s="76" t="s">
        <v>3</v>
      </c>
      <c r="E61" s="133"/>
      <c r="F61" s="60"/>
      <c r="G61" s="60"/>
      <c r="H61" s="60"/>
      <c r="I61" s="60"/>
      <c r="J61" s="60"/>
      <c r="K61" s="60"/>
      <c r="L61" s="60"/>
      <c r="M61" s="60"/>
      <c r="N61" s="60"/>
      <c r="O61" s="60"/>
      <c r="P61" s="61"/>
      <c r="Q61" s="55"/>
    </row>
    <row r="62" spans="1:17" ht="12.75" customHeight="1" x14ac:dyDescent="0.2">
      <c r="A62" s="84"/>
      <c r="B62" s="75" t="s">
        <v>146</v>
      </c>
      <c r="C62" s="35" t="str">
        <f>IF((Vin_LP &gt; Vout_LP),"Buck","Boost")</f>
        <v>Boost</v>
      </c>
      <c r="D62" s="76"/>
      <c r="E62" s="77" t="s">
        <v>158</v>
      </c>
      <c r="F62" s="60"/>
      <c r="G62" s="60"/>
      <c r="H62" s="60"/>
      <c r="I62" s="60"/>
      <c r="J62" s="60"/>
      <c r="K62" s="60"/>
      <c r="L62" s="60"/>
      <c r="M62" s="60"/>
      <c r="N62" s="60"/>
      <c r="O62" s="60"/>
      <c r="P62" s="61"/>
      <c r="Q62" s="55"/>
    </row>
    <row r="63" spans="1:17" ht="12.75" customHeight="1" x14ac:dyDescent="0.2">
      <c r="A63" s="84"/>
      <c r="B63" s="75" t="s">
        <v>211</v>
      </c>
      <c r="C63" s="47">
        <f>17+Ioutmax/2.5</f>
        <v>17.8</v>
      </c>
      <c r="D63" s="76" t="s">
        <v>124</v>
      </c>
      <c r="E63" s="77" t="s">
        <v>126</v>
      </c>
      <c r="F63" s="60"/>
      <c r="G63" s="60"/>
      <c r="H63" s="60"/>
      <c r="I63" s="60"/>
      <c r="J63" s="60"/>
      <c r="K63" s="60"/>
      <c r="L63" s="60"/>
      <c r="M63" s="60"/>
      <c r="N63" s="60"/>
      <c r="O63" s="60"/>
      <c r="P63" s="61"/>
      <c r="Q63" s="55"/>
    </row>
    <row r="64" spans="1:17" ht="12.75" customHeight="1" x14ac:dyDescent="0.2">
      <c r="A64" s="84"/>
      <c r="B64" s="75" t="s">
        <v>210</v>
      </c>
      <c r="C64" s="35">
        <f>IF((Op_mode="Buck"), Ioutmax/2/PI()/Vout_LP/(Cout_c+Cout_e), Ioutmax/PI()/Vout_LP/(Cout_c+Cout_e))</f>
        <v>2538.3563491530358</v>
      </c>
      <c r="D64" s="76" t="s">
        <v>6</v>
      </c>
      <c r="E64" s="77" t="s">
        <v>149</v>
      </c>
      <c r="F64" s="60"/>
      <c r="G64" s="60"/>
      <c r="H64" s="60"/>
      <c r="I64" s="60"/>
      <c r="J64" s="60"/>
      <c r="K64" s="60"/>
      <c r="L64" s="60"/>
      <c r="M64" s="60"/>
      <c r="N64" s="60"/>
      <c r="O64" s="60"/>
      <c r="P64" s="61"/>
      <c r="Q64" s="55"/>
    </row>
    <row r="65" spans="1:17" ht="12.75" customHeight="1" x14ac:dyDescent="0.2">
      <c r="A65" s="84"/>
      <c r="B65" s="75" t="s">
        <v>214</v>
      </c>
      <c r="C65" s="35">
        <f>IF(Op_mode="Boost", Vout_LP*(eff*Vin_LP/Vout_LP)^2/2/PI()/L/Ioutmax, "No RPHZ")</f>
        <v>103143.83180297232</v>
      </c>
      <c r="D65" s="76" t="s">
        <v>6</v>
      </c>
      <c r="E65" s="77" t="s">
        <v>147</v>
      </c>
      <c r="F65" s="60"/>
      <c r="G65" s="60"/>
      <c r="H65" s="60"/>
      <c r="I65" s="60"/>
      <c r="J65" s="60"/>
      <c r="K65" s="60"/>
      <c r="L65" s="60"/>
      <c r="M65" s="60"/>
      <c r="N65" s="60"/>
      <c r="O65" s="60"/>
      <c r="P65" s="61"/>
      <c r="Q65" s="55"/>
    </row>
    <row r="66" spans="1:17" ht="12.75" customHeight="1" x14ac:dyDescent="0.2">
      <c r="A66" s="84"/>
      <c r="B66" s="75" t="s">
        <v>215</v>
      </c>
      <c r="C66" s="35">
        <f>1/2/PI()/Cout_e/ESR</f>
        <v>7651679.9563411223</v>
      </c>
      <c r="D66" s="76" t="s">
        <v>6</v>
      </c>
      <c r="E66" s="77" t="s">
        <v>148</v>
      </c>
      <c r="F66" s="60"/>
      <c r="G66" s="60"/>
      <c r="H66" s="60"/>
      <c r="I66" s="60"/>
      <c r="J66" s="60"/>
      <c r="K66" s="60"/>
      <c r="L66" s="60"/>
      <c r="M66" s="60"/>
      <c r="N66" s="60"/>
      <c r="O66" s="60"/>
      <c r="P66" s="61"/>
      <c r="Q66" s="55"/>
    </row>
    <row r="67" spans="1:17" ht="12.75" customHeight="1" x14ac:dyDescent="0.2">
      <c r="A67" s="84"/>
      <c r="B67" s="75" t="s">
        <v>27</v>
      </c>
      <c r="C67" s="25">
        <v>8000</v>
      </c>
      <c r="D67" s="76" t="s">
        <v>6</v>
      </c>
      <c r="E67" s="77" t="s">
        <v>32</v>
      </c>
      <c r="F67" s="60"/>
      <c r="G67" s="60"/>
      <c r="H67" s="60"/>
      <c r="I67" s="60"/>
      <c r="J67" s="60"/>
      <c r="K67" s="60"/>
      <c r="L67" s="60"/>
      <c r="M67" s="60"/>
      <c r="N67" s="60"/>
      <c r="O67" s="60"/>
      <c r="P67" s="61"/>
      <c r="Q67" s="55"/>
    </row>
    <row r="68" spans="1:17" ht="12.75" customHeight="1" x14ac:dyDescent="0.2">
      <c r="A68" s="84"/>
      <c r="B68" s="75" t="s">
        <v>212</v>
      </c>
      <c r="C68" s="85">
        <v>1.9000000000000001E-4</v>
      </c>
      <c r="D68" s="76" t="s">
        <v>124</v>
      </c>
      <c r="E68" s="77" t="s">
        <v>125</v>
      </c>
      <c r="F68" s="60"/>
      <c r="G68" s="60"/>
      <c r="H68" s="60"/>
      <c r="I68" s="60"/>
      <c r="J68" s="60"/>
      <c r="K68" s="60"/>
      <c r="L68" s="60"/>
      <c r="M68" s="60"/>
      <c r="N68" s="60"/>
      <c r="O68" s="60"/>
      <c r="P68" s="61"/>
      <c r="Q68" s="55"/>
    </row>
    <row r="69" spans="1:17" x14ac:dyDescent="0.2">
      <c r="A69" s="84"/>
      <c r="B69" s="78" t="s">
        <v>90</v>
      </c>
      <c r="C69" s="29">
        <f>IF(Op_mode="Boost", 2*PI()*fco*(Cout_c+Cout_e)*Vout/1.129/gm_PS/(eff*Vin_LP/Vout_LP)/gm_EA, 2*PI()*fco*(Cout_c+Cout_e)*Vout/1.129/gm_PS/gm_EA)</f>
        <v>4633.8820340000684</v>
      </c>
      <c r="D69" s="76" t="s">
        <v>28</v>
      </c>
      <c r="E69" s="86"/>
      <c r="F69" s="60"/>
      <c r="G69" s="60"/>
      <c r="H69" s="60"/>
      <c r="I69" s="60"/>
      <c r="J69" s="60"/>
      <c r="K69" s="60"/>
      <c r="L69" s="60"/>
      <c r="M69" s="60"/>
      <c r="N69" s="60"/>
      <c r="O69" s="60"/>
      <c r="P69" s="61"/>
      <c r="Q69" s="55"/>
    </row>
    <row r="70" spans="1:17" x14ac:dyDescent="0.2">
      <c r="A70" s="84"/>
      <c r="B70" s="75" t="s">
        <v>110</v>
      </c>
      <c r="C70" s="25">
        <v>3300</v>
      </c>
      <c r="D70" s="76" t="s">
        <v>28</v>
      </c>
      <c r="E70" s="86" t="s">
        <v>169</v>
      </c>
      <c r="F70" s="60"/>
      <c r="G70" s="60"/>
      <c r="H70" s="60"/>
      <c r="I70" s="60"/>
      <c r="J70" s="60"/>
      <c r="K70" s="60"/>
      <c r="L70" s="60"/>
      <c r="M70" s="60"/>
      <c r="N70" s="60"/>
      <c r="O70" s="60"/>
      <c r="P70" s="61"/>
      <c r="Q70" s="55"/>
    </row>
    <row r="71" spans="1:17" x14ac:dyDescent="0.2">
      <c r="A71" s="84"/>
      <c r="B71" s="78" t="s">
        <v>91</v>
      </c>
      <c r="C71" s="43">
        <f>1/(2*PI()*(fco/10)*(Rcomp+2000))</f>
        <v>3.753654318205079E-8</v>
      </c>
      <c r="D71" s="76" t="s">
        <v>9</v>
      </c>
      <c r="E71" s="86" t="s">
        <v>218</v>
      </c>
      <c r="F71" s="60"/>
      <c r="G71" s="60"/>
      <c r="H71" s="60"/>
      <c r="I71" s="60"/>
      <c r="J71" s="60"/>
      <c r="K71" s="60"/>
      <c r="L71" s="60"/>
      <c r="M71" s="60"/>
      <c r="N71" s="60"/>
      <c r="O71" s="60"/>
      <c r="P71" s="61"/>
      <c r="Q71" s="55"/>
    </row>
    <row r="72" spans="1:17" x14ac:dyDescent="0.2">
      <c r="A72" s="84"/>
      <c r="B72" s="75" t="s">
        <v>92</v>
      </c>
      <c r="C72" s="44">
        <v>1E-8</v>
      </c>
      <c r="D72" s="76" t="s">
        <v>9</v>
      </c>
      <c r="E72" s="86"/>
      <c r="F72" s="60"/>
      <c r="G72" s="60"/>
      <c r="H72" s="60"/>
      <c r="I72" s="60"/>
      <c r="J72" s="60"/>
      <c r="K72" s="60"/>
      <c r="L72" s="60"/>
      <c r="M72" s="60"/>
      <c r="N72" s="60"/>
      <c r="O72" s="60"/>
      <c r="P72" s="61"/>
      <c r="Q72" s="55"/>
    </row>
    <row r="73" spans="1:17" x14ac:dyDescent="0.2">
      <c r="A73" s="84"/>
      <c r="B73" s="75" t="s">
        <v>213</v>
      </c>
      <c r="C73" s="29">
        <f>1/2/PI()/(Rcomp+2000)/Ccomp</f>
        <v>3002.9234545640629</v>
      </c>
      <c r="D73" s="76" t="s">
        <v>6</v>
      </c>
      <c r="E73" s="86" t="s">
        <v>217</v>
      </c>
      <c r="F73" s="60"/>
      <c r="G73" s="60"/>
      <c r="H73" s="60"/>
      <c r="I73" s="60"/>
      <c r="J73" s="60"/>
      <c r="K73" s="60"/>
      <c r="L73" s="60"/>
      <c r="M73" s="60"/>
      <c r="N73" s="60"/>
      <c r="O73" s="60"/>
      <c r="P73" s="61"/>
      <c r="Q73" s="55"/>
    </row>
    <row r="74" spans="1:17" ht="38.25" x14ac:dyDescent="0.2">
      <c r="A74" s="84"/>
      <c r="B74" s="78" t="s">
        <v>93</v>
      </c>
      <c r="C74" s="48">
        <f>Ccomp*(IF(fzRHP&gt;fz_ESR, (Cout_e*ESR/Rcomp)/(Ccomp-Cout_e*ESR/Rcomp), (1/2/PI()/fzRHP/Rcomp)/(Ccomp-1/2/PI()/fzRHP/Rcomp)))</f>
        <v>4.9052382334619439E-10</v>
      </c>
      <c r="D74" s="76" t="s">
        <v>9</v>
      </c>
      <c r="E74" s="77" t="s">
        <v>221</v>
      </c>
      <c r="F74" s="79"/>
      <c r="G74" s="80"/>
      <c r="H74" s="80"/>
      <c r="I74" s="60"/>
      <c r="J74" s="60"/>
      <c r="K74" s="60"/>
      <c r="L74" s="60"/>
      <c r="M74" s="60"/>
      <c r="N74" s="60"/>
      <c r="O74" s="60"/>
      <c r="P74" s="61"/>
      <c r="Q74" s="55"/>
    </row>
    <row r="75" spans="1:17" x14ac:dyDescent="0.2">
      <c r="A75" s="84"/>
      <c r="B75" s="87" t="s">
        <v>94</v>
      </c>
      <c r="C75" s="49">
        <v>1E-10</v>
      </c>
      <c r="D75" s="88" t="s">
        <v>9</v>
      </c>
      <c r="E75" s="89"/>
      <c r="F75" s="80"/>
      <c r="G75" s="80"/>
      <c r="H75" s="80"/>
      <c r="I75" s="60"/>
      <c r="J75" s="60"/>
      <c r="K75" s="60"/>
      <c r="L75" s="60"/>
      <c r="M75" s="60"/>
      <c r="N75" s="60"/>
      <c r="O75" s="60"/>
      <c r="P75" s="61"/>
      <c r="Q75" s="55"/>
    </row>
    <row r="76" spans="1:17" x14ac:dyDescent="0.2">
      <c r="A76" s="84"/>
      <c r="B76" s="87" t="s">
        <v>216</v>
      </c>
      <c r="C76" s="30">
        <f>1/2/PI()/(Rcomp+2000)/(Ccomp*(Cp+0.000000000003)/(Ccomp+Cp+0.000000000003))</f>
        <v>294548.88991709438</v>
      </c>
      <c r="D76" s="88" t="s">
        <v>6</v>
      </c>
      <c r="E76" s="89" t="s">
        <v>183</v>
      </c>
      <c r="F76" s="80"/>
      <c r="G76" s="80"/>
      <c r="H76" s="80"/>
      <c r="I76" s="60"/>
      <c r="J76" s="60"/>
      <c r="K76" s="60"/>
      <c r="L76" s="60"/>
      <c r="M76" s="60"/>
      <c r="N76" s="60"/>
      <c r="O76" s="60"/>
      <c r="P76" s="61"/>
      <c r="Q76" s="55"/>
    </row>
    <row r="77" spans="1:17" x14ac:dyDescent="0.2">
      <c r="A77" s="84"/>
      <c r="B77" s="136" t="s">
        <v>209</v>
      </c>
      <c r="C77" s="134"/>
      <c r="D77" s="134"/>
      <c r="E77" s="134"/>
      <c r="F77" s="60"/>
      <c r="G77" s="60"/>
      <c r="H77" s="60"/>
      <c r="I77" s="60"/>
      <c r="J77" s="60"/>
      <c r="K77" s="60"/>
      <c r="L77" s="60"/>
      <c r="M77" s="60"/>
      <c r="N77" s="60"/>
      <c r="O77" s="60"/>
      <c r="P77" s="61"/>
      <c r="Q77" s="55"/>
    </row>
    <row r="78" spans="1:17" x14ac:dyDescent="0.2">
      <c r="A78" s="84"/>
      <c r="B78" s="75" t="s">
        <v>0</v>
      </c>
      <c r="C78" s="26">
        <v>9</v>
      </c>
      <c r="D78" s="90" t="s">
        <v>3</v>
      </c>
      <c r="E78" s="90" t="s">
        <v>192</v>
      </c>
      <c r="F78" s="60"/>
      <c r="G78" s="60"/>
      <c r="H78" s="60"/>
      <c r="I78" s="60"/>
      <c r="J78" s="60"/>
      <c r="K78" s="60"/>
      <c r="L78" s="60"/>
      <c r="M78" s="60"/>
      <c r="N78" s="60"/>
      <c r="O78" s="60"/>
      <c r="P78" s="61"/>
      <c r="Q78" s="55"/>
    </row>
    <row r="79" spans="1:17" x14ac:dyDescent="0.2">
      <c r="A79" s="84"/>
      <c r="B79" s="75" t="s">
        <v>1</v>
      </c>
      <c r="C79" s="50">
        <f>IF(Vin_eff&lt;Vout, ((Ioutmax/(Vin_eff/Vout)/eff)^2+1/12*(Vin_eff/L*(1-Vin_eff/Vout)/fsw)^2)^0.5, ((Ioutmax^2+1/12*(Vout/L*(1-Vout/Vin_eff)/fsw)^2)^0.5))</f>
        <v>2.828199081122805</v>
      </c>
      <c r="D79" s="76" t="s">
        <v>4</v>
      </c>
      <c r="E79" s="77" t="s">
        <v>163</v>
      </c>
      <c r="F79" s="60"/>
      <c r="G79" s="60"/>
      <c r="H79" s="60"/>
      <c r="I79" s="60"/>
      <c r="J79" s="60"/>
      <c r="K79" s="60"/>
      <c r="L79" s="60"/>
      <c r="M79" s="60"/>
      <c r="N79" s="60"/>
      <c r="O79" s="60"/>
      <c r="P79" s="61"/>
      <c r="Q79" s="55"/>
    </row>
    <row r="80" spans="1:17" x14ac:dyDescent="0.2">
      <c r="A80" s="84"/>
      <c r="B80" s="75" t="s">
        <v>7</v>
      </c>
      <c r="C80" s="50">
        <f>IF(Vin_eff&lt;Vout, (Ioutmax/(Vin_eff/Vout)/eff+(1/2*Vin_eff/L*(1-Vin_eff/Vout)/fsw)), Ioutmax+1/2*(Vout*(1-Vout/Vin_eff)/L/fsw))</f>
        <v>3.4054217991787978</v>
      </c>
      <c r="D80" s="76" t="s">
        <v>4</v>
      </c>
      <c r="E80" s="77" t="s">
        <v>166</v>
      </c>
      <c r="F80" s="60"/>
      <c r="G80" s="60"/>
      <c r="H80" s="60"/>
      <c r="I80" s="60"/>
      <c r="J80" s="60"/>
      <c r="K80" s="60"/>
      <c r="L80" s="60"/>
      <c r="M80" s="60"/>
      <c r="N80" s="60"/>
      <c r="O80" s="60"/>
      <c r="P80" s="61"/>
      <c r="Q80" s="55"/>
    </row>
    <row r="81" spans="1:17" x14ac:dyDescent="0.2">
      <c r="A81" s="84"/>
      <c r="B81" s="75" t="s">
        <v>207</v>
      </c>
      <c r="C81" s="50">
        <f>IF(Vin_eff&lt;Vout, (Ioutmax/(Vin_eff/Vout)/eff-(1/2*Vin_eff/L*(1-Vin_eff/Vout)/fsw)),Ioutmax-1/2*(Vout*(1-Vout/Vin_eff)/L/fsw))</f>
        <v>2.2086132885405001</v>
      </c>
      <c r="D81" s="76" t="s">
        <v>4</v>
      </c>
      <c r="E81" s="77" t="s">
        <v>167</v>
      </c>
      <c r="F81" s="60"/>
      <c r="G81" s="60"/>
      <c r="H81" s="60"/>
      <c r="I81" s="60"/>
      <c r="J81" s="60"/>
      <c r="K81" s="60"/>
      <c r="L81" s="60"/>
      <c r="M81" s="60"/>
      <c r="N81" s="60"/>
      <c r="O81" s="60"/>
      <c r="P81" s="61"/>
      <c r="Q81" s="55"/>
    </row>
    <row r="82" spans="1:17" x14ac:dyDescent="0.2">
      <c r="A82" s="52"/>
      <c r="B82" s="75" t="s">
        <v>21</v>
      </c>
      <c r="C82" s="33">
        <v>1.2999999999999999E-2</v>
      </c>
      <c r="D82" s="76" t="s">
        <v>28</v>
      </c>
      <c r="E82" s="77" t="s">
        <v>15</v>
      </c>
      <c r="F82" s="60"/>
      <c r="G82" s="60"/>
      <c r="H82" s="60"/>
      <c r="I82" s="60"/>
      <c r="J82" s="60"/>
      <c r="K82" s="60"/>
      <c r="L82" s="60"/>
      <c r="M82" s="60"/>
      <c r="N82" s="60"/>
      <c r="O82" s="60"/>
      <c r="P82" s="61"/>
      <c r="Q82" s="55"/>
    </row>
    <row r="83" spans="1:17" ht="25.5" x14ac:dyDescent="0.2">
      <c r="A83" s="52"/>
      <c r="B83" s="75" t="s">
        <v>61</v>
      </c>
      <c r="C83" s="33">
        <v>1.4E-2</v>
      </c>
      <c r="D83" s="76" t="s">
        <v>28</v>
      </c>
      <c r="E83" s="77" t="s">
        <v>232</v>
      </c>
      <c r="F83" s="60"/>
      <c r="G83" s="81"/>
      <c r="H83" s="82"/>
      <c r="I83" s="81"/>
      <c r="J83" s="79"/>
      <c r="K83" s="60"/>
      <c r="L83" s="60"/>
      <c r="M83" s="60"/>
      <c r="N83" s="60"/>
      <c r="O83" s="60"/>
      <c r="P83" s="61"/>
      <c r="Q83" s="55"/>
    </row>
    <row r="84" spans="1:17" hidden="1" x14ac:dyDescent="0.2">
      <c r="A84" s="52"/>
      <c r="B84" s="75" t="s">
        <v>67</v>
      </c>
      <c r="C84" s="44">
        <v>5.0000000000000001E-9</v>
      </c>
      <c r="D84" s="76" t="s">
        <v>68</v>
      </c>
      <c r="E84" s="77" t="s">
        <v>70</v>
      </c>
      <c r="F84" s="60"/>
      <c r="G84" s="81"/>
      <c r="H84" s="82"/>
      <c r="I84" s="81"/>
      <c r="J84" s="79"/>
      <c r="K84" s="60"/>
      <c r="L84" s="60"/>
      <c r="M84" s="60"/>
      <c r="N84" s="60"/>
      <c r="O84" s="60"/>
      <c r="P84" s="61"/>
      <c r="Q84" s="55"/>
    </row>
    <row r="85" spans="1:17" hidden="1" x14ac:dyDescent="0.2">
      <c r="A85" s="52"/>
      <c r="B85" s="75" t="s">
        <v>219</v>
      </c>
      <c r="C85" s="44">
        <v>2.0000000000000001E-10</v>
      </c>
      <c r="D85" s="76" t="s">
        <v>9</v>
      </c>
      <c r="E85" s="77" t="s">
        <v>220</v>
      </c>
      <c r="F85" s="60"/>
      <c r="G85" s="81"/>
      <c r="H85" s="82"/>
      <c r="I85" s="81"/>
      <c r="J85" s="79"/>
      <c r="K85" s="60"/>
      <c r="L85" s="60"/>
      <c r="M85" s="60"/>
      <c r="N85" s="60"/>
      <c r="O85" s="60"/>
      <c r="P85" s="61"/>
      <c r="Q85" s="55"/>
    </row>
    <row r="86" spans="1:17" x14ac:dyDescent="0.2">
      <c r="A86" s="52"/>
      <c r="B86" s="75" t="s">
        <v>62</v>
      </c>
      <c r="C86" s="110">
        <v>1.3000000000000001E-8</v>
      </c>
      <c r="D86" s="76" t="s">
        <v>8</v>
      </c>
      <c r="E86" s="77" t="s">
        <v>193</v>
      </c>
      <c r="F86" s="60"/>
      <c r="G86" s="91"/>
      <c r="H86" s="60"/>
      <c r="I86" s="60"/>
      <c r="J86" s="60"/>
      <c r="K86" s="60"/>
      <c r="L86" s="60"/>
      <c r="M86" s="60"/>
      <c r="N86" s="60"/>
      <c r="O86" s="60"/>
      <c r="P86" s="61"/>
      <c r="Q86" s="55"/>
    </row>
    <row r="87" spans="1:17" x14ac:dyDescent="0.2">
      <c r="A87" s="52"/>
      <c r="B87" s="75" t="s">
        <v>63</v>
      </c>
      <c r="C87" s="110">
        <v>1.3000000000000001E-8</v>
      </c>
      <c r="D87" s="76" t="s">
        <v>8</v>
      </c>
      <c r="E87" s="77" t="s">
        <v>194</v>
      </c>
      <c r="F87" s="60"/>
      <c r="G87" s="60"/>
      <c r="H87" s="60"/>
      <c r="I87" s="60"/>
      <c r="J87" s="60"/>
      <c r="K87" s="60"/>
      <c r="L87" s="60"/>
      <c r="M87" s="60"/>
      <c r="N87" s="60"/>
      <c r="O87" s="60"/>
      <c r="P87" s="61"/>
      <c r="Q87" s="55"/>
    </row>
    <row r="88" spans="1:17" ht="25.5" x14ac:dyDescent="0.2">
      <c r="A88" s="52"/>
      <c r="B88" s="75" t="s">
        <v>64</v>
      </c>
      <c r="C88" s="33">
        <v>2.1999999999999999E-2</v>
      </c>
      <c r="D88" s="76" t="s">
        <v>28</v>
      </c>
      <c r="E88" s="77" t="s">
        <v>236</v>
      </c>
      <c r="F88" s="60"/>
      <c r="G88" s="60"/>
      <c r="H88" s="60"/>
      <c r="I88" s="60"/>
      <c r="J88" s="60"/>
      <c r="K88" s="60"/>
      <c r="L88" s="60"/>
      <c r="M88" s="60"/>
      <c r="N88" s="60"/>
      <c r="O88" s="60"/>
      <c r="P88" s="61"/>
      <c r="Q88" s="55"/>
    </row>
    <row r="89" spans="1:17" hidden="1" x14ac:dyDescent="0.2">
      <c r="A89" s="52"/>
      <c r="B89" s="75" t="s">
        <v>69</v>
      </c>
      <c r="C89" s="44">
        <v>5.0000000000000001E-9</v>
      </c>
      <c r="D89" s="76" t="s">
        <v>68</v>
      </c>
      <c r="E89" s="77" t="s">
        <v>70</v>
      </c>
      <c r="F89" s="60"/>
      <c r="G89" s="60"/>
      <c r="H89" s="60"/>
      <c r="I89" s="60"/>
      <c r="J89" s="60"/>
      <c r="K89" s="60"/>
      <c r="L89" s="60"/>
      <c r="M89" s="60"/>
      <c r="N89" s="60"/>
      <c r="O89" s="60"/>
      <c r="P89" s="61"/>
      <c r="Q89" s="55"/>
    </row>
    <row r="90" spans="1:17" hidden="1" x14ac:dyDescent="0.2">
      <c r="A90" s="52"/>
      <c r="B90" s="75" t="s">
        <v>180</v>
      </c>
      <c r="C90" s="44">
        <v>5.0000000000000001E-9</v>
      </c>
      <c r="D90" s="76" t="s">
        <v>68</v>
      </c>
      <c r="E90" s="77" t="s">
        <v>181</v>
      </c>
      <c r="F90" s="60"/>
      <c r="G90" s="60"/>
      <c r="H90" s="60"/>
      <c r="I90" s="60"/>
      <c r="J90" s="60"/>
      <c r="K90" s="60"/>
      <c r="L90" s="60"/>
      <c r="M90" s="60"/>
      <c r="N90" s="60"/>
      <c r="O90" s="60"/>
      <c r="P90" s="61"/>
      <c r="Q90" s="55"/>
    </row>
    <row r="91" spans="1:17" x14ac:dyDescent="0.2">
      <c r="A91" s="52"/>
      <c r="B91" s="75" t="s">
        <v>65</v>
      </c>
      <c r="C91" s="85">
        <v>1E-8</v>
      </c>
      <c r="D91" s="76" t="s">
        <v>8</v>
      </c>
      <c r="E91" s="77" t="s">
        <v>72</v>
      </c>
      <c r="F91" s="60"/>
      <c r="G91" s="60"/>
      <c r="H91" s="60"/>
      <c r="I91" s="60"/>
      <c r="J91" s="60"/>
      <c r="K91" s="60"/>
      <c r="L91" s="60"/>
      <c r="M91" s="60"/>
      <c r="N91" s="60"/>
      <c r="O91" s="60"/>
      <c r="P91" s="61"/>
      <c r="Q91" s="55"/>
    </row>
    <row r="92" spans="1:17" x14ac:dyDescent="0.2">
      <c r="A92" s="52"/>
      <c r="B92" s="75" t="s">
        <v>66</v>
      </c>
      <c r="C92" s="26">
        <v>0.8</v>
      </c>
      <c r="D92" s="76" t="s">
        <v>3</v>
      </c>
      <c r="E92" s="77" t="s">
        <v>29</v>
      </c>
      <c r="F92" s="60"/>
      <c r="G92" s="60"/>
      <c r="H92" s="60"/>
      <c r="I92" s="60"/>
      <c r="J92" s="60"/>
      <c r="K92" s="60"/>
      <c r="L92" s="60"/>
      <c r="M92" s="60"/>
      <c r="N92" s="60"/>
      <c r="O92" s="60"/>
      <c r="P92" s="61"/>
      <c r="Q92" s="55"/>
    </row>
    <row r="93" spans="1:17" ht="25.5" x14ac:dyDescent="0.2">
      <c r="A93" s="52"/>
      <c r="B93" s="75" t="s">
        <v>55</v>
      </c>
      <c r="C93" s="33">
        <v>1.0999999999999999E-2</v>
      </c>
      <c r="D93" s="76" t="s">
        <v>28</v>
      </c>
      <c r="E93" s="77" t="s">
        <v>233</v>
      </c>
      <c r="F93" s="60"/>
      <c r="G93" s="81"/>
      <c r="H93" s="82"/>
      <c r="I93" s="81"/>
      <c r="J93" s="79"/>
      <c r="K93" s="60"/>
      <c r="L93" s="60"/>
      <c r="M93" s="60"/>
      <c r="N93" s="60"/>
      <c r="O93" s="60"/>
      <c r="P93" s="61"/>
      <c r="Q93" s="55"/>
    </row>
    <row r="94" spans="1:17" x14ac:dyDescent="0.2">
      <c r="A94" s="52"/>
      <c r="B94" s="75" t="s">
        <v>56</v>
      </c>
      <c r="C94" s="85">
        <v>8.9999999999999995E-9</v>
      </c>
      <c r="D94" s="76" t="s">
        <v>8</v>
      </c>
      <c r="E94" s="77" t="s">
        <v>204</v>
      </c>
      <c r="F94" s="60"/>
      <c r="G94" s="91"/>
      <c r="H94" s="60"/>
      <c r="I94" s="60"/>
      <c r="J94" s="60"/>
      <c r="K94" s="60"/>
      <c r="L94" s="60"/>
      <c r="M94" s="60"/>
      <c r="N94" s="60"/>
      <c r="O94" s="60"/>
      <c r="P94" s="61"/>
      <c r="Q94" s="55"/>
    </row>
    <row r="95" spans="1:17" x14ac:dyDescent="0.2">
      <c r="A95" s="52"/>
      <c r="B95" s="75" t="s">
        <v>57</v>
      </c>
      <c r="C95" s="85">
        <v>1.3000000000000001E-8</v>
      </c>
      <c r="D95" s="76" t="s">
        <v>8</v>
      </c>
      <c r="E95" s="77" t="s">
        <v>203</v>
      </c>
      <c r="F95" s="60"/>
      <c r="G95" s="60"/>
      <c r="H95" s="60"/>
      <c r="I95" s="60"/>
      <c r="J95" s="60"/>
      <c r="K95" s="60"/>
      <c r="L95" s="60"/>
      <c r="M95" s="60"/>
      <c r="N95" s="60"/>
      <c r="O95" s="60"/>
      <c r="P95" s="61"/>
      <c r="Q95" s="55"/>
    </row>
    <row r="96" spans="1:17" ht="25.5" x14ac:dyDescent="0.2">
      <c r="A96" s="52"/>
      <c r="B96" s="75" t="s">
        <v>58</v>
      </c>
      <c r="C96" s="33">
        <v>0.01</v>
      </c>
      <c r="D96" s="76" t="s">
        <v>28</v>
      </c>
      <c r="E96" s="77" t="s">
        <v>237</v>
      </c>
      <c r="F96" s="60"/>
      <c r="G96" s="60"/>
      <c r="H96" s="60"/>
      <c r="I96" s="60"/>
      <c r="J96" s="60"/>
      <c r="K96" s="60"/>
      <c r="L96" s="60"/>
      <c r="M96" s="60"/>
      <c r="N96" s="60"/>
      <c r="O96" s="60"/>
      <c r="P96" s="61"/>
      <c r="Q96" s="55"/>
    </row>
    <row r="97" spans="1:17" x14ac:dyDescent="0.2">
      <c r="A97" s="52"/>
      <c r="B97" s="75" t="s">
        <v>59</v>
      </c>
      <c r="C97" s="85">
        <v>2E-8</v>
      </c>
      <c r="D97" s="76" t="s">
        <v>8</v>
      </c>
      <c r="E97" s="77" t="s">
        <v>72</v>
      </c>
      <c r="F97" s="60"/>
      <c r="G97" s="60"/>
      <c r="H97" s="60"/>
      <c r="I97" s="60"/>
      <c r="J97" s="60"/>
      <c r="K97" s="60"/>
      <c r="L97" s="60"/>
      <c r="M97" s="60"/>
      <c r="N97" s="60"/>
      <c r="O97" s="60"/>
      <c r="P97" s="61"/>
      <c r="Q97" s="55"/>
    </row>
    <row r="98" spans="1:17" x14ac:dyDescent="0.2">
      <c r="A98" s="52"/>
      <c r="B98" s="75" t="s">
        <v>60</v>
      </c>
      <c r="C98" s="37">
        <v>1</v>
      </c>
      <c r="D98" s="76" t="s">
        <v>3</v>
      </c>
      <c r="E98" s="77" t="s">
        <v>29</v>
      </c>
      <c r="F98" s="60"/>
      <c r="G98" s="60"/>
      <c r="H98" s="60"/>
      <c r="I98" s="60"/>
      <c r="J98" s="60"/>
      <c r="K98" s="60"/>
      <c r="L98" s="60"/>
      <c r="M98" s="60"/>
      <c r="N98" s="60"/>
      <c r="O98" s="60"/>
      <c r="P98" s="61"/>
      <c r="Q98" s="55"/>
    </row>
    <row r="99" spans="1:17" x14ac:dyDescent="0.2">
      <c r="A99" s="52"/>
      <c r="B99" s="75" t="s">
        <v>159</v>
      </c>
      <c r="C99" s="51">
        <v>0</v>
      </c>
      <c r="D99" s="76" t="s">
        <v>9</v>
      </c>
      <c r="E99" s="77" t="s">
        <v>187</v>
      </c>
      <c r="F99" s="60"/>
      <c r="G99" s="60"/>
      <c r="H99" s="60"/>
      <c r="I99" s="60"/>
      <c r="J99" s="60"/>
      <c r="K99" s="60"/>
      <c r="L99" s="60"/>
      <c r="M99" s="60"/>
      <c r="N99" s="60"/>
      <c r="O99" s="60"/>
      <c r="P99" s="61"/>
      <c r="Q99" s="55"/>
    </row>
    <row r="100" spans="1:17" x14ac:dyDescent="0.2">
      <c r="A100" s="52"/>
      <c r="B100" s="75" t="s">
        <v>117</v>
      </c>
      <c r="C100" s="51">
        <v>0</v>
      </c>
      <c r="D100" s="76" t="s">
        <v>9</v>
      </c>
      <c r="E100" s="77" t="s">
        <v>116</v>
      </c>
      <c r="F100" s="60"/>
      <c r="G100" s="60"/>
      <c r="H100" s="60"/>
      <c r="I100" s="60"/>
      <c r="J100" s="60"/>
      <c r="K100" s="60"/>
      <c r="L100" s="60"/>
      <c r="M100" s="60"/>
      <c r="N100" s="60"/>
      <c r="O100" s="60"/>
      <c r="P100" s="61"/>
      <c r="Q100" s="55"/>
    </row>
    <row r="101" spans="1:17" x14ac:dyDescent="0.2">
      <c r="A101" s="52"/>
      <c r="B101" s="83" t="s">
        <v>118</v>
      </c>
      <c r="C101" s="26">
        <v>2</v>
      </c>
      <c r="D101" s="76" t="s">
        <v>196</v>
      </c>
      <c r="E101" s="77" t="s">
        <v>145</v>
      </c>
      <c r="F101" s="60"/>
      <c r="G101" s="60"/>
      <c r="H101" s="60"/>
      <c r="I101" s="60"/>
      <c r="J101" s="60"/>
      <c r="K101" s="60"/>
      <c r="L101" s="60"/>
      <c r="M101" s="60"/>
      <c r="N101" s="60"/>
      <c r="O101" s="60"/>
      <c r="P101" s="61"/>
      <c r="Q101" s="55"/>
    </row>
    <row r="102" spans="1:17" x14ac:dyDescent="0.2">
      <c r="A102" s="52"/>
      <c r="B102" s="83" t="s">
        <v>119</v>
      </c>
      <c r="C102" s="29">
        <f>Rpcb*(ILrms^2)</f>
        <v>15.997420084927757</v>
      </c>
      <c r="D102" s="76" t="s">
        <v>10</v>
      </c>
      <c r="E102" s="77" t="s">
        <v>128</v>
      </c>
      <c r="F102" s="60"/>
      <c r="G102" s="60"/>
      <c r="H102" s="60"/>
      <c r="I102" s="60"/>
      <c r="J102" s="60"/>
      <c r="K102" s="60"/>
      <c r="L102" s="60"/>
      <c r="M102" s="60"/>
      <c r="N102" s="60"/>
      <c r="O102" s="60"/>
      <c r="P102" s="61"/>
      <c r="Q102" s="55"/>
    </row>
    <row r="103" spans="1:17" x14ac:dyDescent="0.2">
      <c r="A103" s="84"/>
      <c r="B103" s="75" t="s">
        <v>74</v>
      </c>
      <c r="C103" s="29">
        <f>(ILrms)^2*DCR*1000</f>
        <v>103.98323055203042</v>
      </c>
      <c r="D103" s="76" t="s">
        <v>10</v>
      </c>
      <c r="E103" s="77" t="s">
        <v>18</v>
      </c>
      <c r="F103" s="60"/>
      <c r="G103" s="60"/>
      <c r="H103" s="60"/>
      <c r="I103" s="60"/>
      <c r="J103" s="60"/>
      <c r="K103" s="60"/>
      <c r="L103" s="60"/>
      <c r="M103" s="60"/>
      <c r="N103" s="60"/>
      <c r="O103" s="60"/>
      <c r="P103" s="61"/>
      <c r="Q103" s="55"/>
    </row>
    <row r="104" spans="1:17" ht="38.1" customHeight="1" x14ac:dyDescent="0.2">
      <c r="A104" s="84"/>
      <c r="B104" s="75" t="s">
        <v>161</v>
      </c>
      <c r="C104" s="25">
        <v>521</v>
      </c>
      <c r="D104" s="76" t="s">
        <v>10</v>
      </c>
      <c r="E104" s="77" t="s">
        <v>229</v>
      </c>
      <c r="F104" s="60"/>
      <c r="G104" s="60"/>
      <c r="H104" s="60"/>
      <c r="I104" s="60"/>
      <c r="J104" s="60"/>
      <c r="K104" s="60"/>
      <c r="L104" s="60"/>
      <c r="M104" s="60"/>
      <c r="N104" s="60"/>
      <c r="O104" s="60"/>
      <c r="P104" s="61"/>
      <c r="Q104" s="55"/>
    </row>
    <row r="105" spans="1:17" x14ac:dyDescent="0.2">
      <c r="A105" s="84"/>
      <c r="B105" s="83" t="s">
        <v>234</v>
      </c>
      <c r="C105" s="29">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491.56580699559453</v>
      </c>
      <c r="D105" s="76" t="s">
        <v>10</v>
      </c>
      <c r="E105" s="77" t="s">
        <v>238</v>
      </c>
      <c r="F105" s="60"/>
      <c r="G105" s="60"/>
      <c r="H105" s="60"/>
      <c r="I105" s="60"/>
      <c r="J105" s="60"/>
      <c r="K105" s="60"/>
      <c r="L105" s="60"/>
      <c r="M105" s="60"/>
      <c r="N105" s="60"/>
      <c r="O105" s="60"/>
      <c r="P105" s="61"/>
      <c r="Q105" s="55"/>
    </row>
    <row r="106" spans="1:17" x14ac:dyDescent="0.2">
      <c r="A106" s="84"/>
      <c r="B106" s="92" t="s">
        <v>115</v>
      </c>
      <c r="C106" s="30">
        <f>Ioutmax*Ioutmax*R_1</f>
        <v>100</v>
      </c>
      <c r="D106" s="76" t="s">
        <v>10</v>
      </c>
      <c r="E106" s="93" t="s">
        <v>189</v>
      </c>
      <c r="F106" s="60"/>
      <c r="G106" s="60"/>
      <c r="H106" s="60"/>
      <c r="I106" s="60"/>
      <c r="J106" s="60"/>
      <c r="K106" s="60"/>
      <c r="L106" s="60"/>
      <c r="M106" s="60"/>
      <c r="N106" s="60"/>
      <c r="O106" s="60"/>
      <c r="P106" s="61"/>
      <c r="Q106" s="55"/>
    </row>
    <row r="107" spans="1:17" x14ac:dyDescent="0.2">
      <c r="A107" s="84"/>
      <c r="B107" s="92" t="s">
        <v>160</v>
      </c>
      <c r="C107" s="30">
        <f>IF(Vin_eff&lt;Vout, 2/3*C_bst_snubber*(Vout+BST_HS_Vd)*(Vout+BST_HS_Vd)*fsw*1000, 2/3*C_buck_snubber*(Vin_eff+BUCK_LS_Vd)*(Vin_eff+BUCK_LS_Vd)*fsw*1000)</f>
        <v>0</v>
      </c>
      <c r="D107" s="76" t="s">
        <v>10</v>
      </c>
      <c r="E107" s="93" t="s">
        <v>190</v>
      </c>
      <c r="F107" s="60"/>
      <c r="G107" s="60"/>
      <c r="H107" s="60"/>
      <c r="I107" s="60"/>
      <c r="J107" s="60"/>
      <c r="K107" s="60"/>
      <c r="L107" s="60"/>
      <c r="M107" s="60"/>
      <c r="N107" s="60"/>
      <c r="O107" s="60"/>
      <c r="P107" s="61"/>
      <c r="Q107" s="55"/>
    </row>
    <row r="108" spans="1:17" x14ac:dyDescent="0.2">
      <c r="A108" s="84"/>
      <c r="B108" s="92" t="s">
        <v>188</v>
      </c>
      <c r="C108" s="30">
        <f>IF(Vin_eff&lt;Vout, 1000*ESR*(G108+H108), 0)</f>
        <v>1.4739377741268336</v>
      </c>
      <c r="D108" s="88" t="s">
        <v>10</v>
      </c>
      <c r="E108" s="93" t="s">
        <v>191</v>
      </c>
      <c r="F108" s="111">
        <f>ESR*Cout_c*Cout_e/(Cout_c+Cout_e)</f>
        <v>9.9521531100478476E-11</v>
      </c>
      <c r="G108" s="111">
        <f>(fsw*(Cout_e/(Cout_c+Cout_e))^2*(Ioutmax^2*(Vout-Vin_eff)/Vout/fsw+2*Ioutmax*((1-EXP((-Vin_eff/Vout)/tou/fsw))/(1-EXP(-1/tou/fsw))*(ILpeak+ILvalley)/2*tou*(EXP(-1/tou*(1-Vin_eff/Vout)/fsw)-1))-((1-EXP((-Vin_eff/Vout)/tou/fsw))/(1-EXP(-1/tou/fsw))*(ILpeak+ILvalley)/2)^2*tou/2*(EXP(-2/tou*(1-Vin_eff/Vout)/fsw)-1)))</f>
        <v>0.9901661441357118</v>
      </c>
      <c r="H108" s="111">
        <f>(fsw*(Cout_e/(Cout_c+Cout_e))^2*((((ILpeak+ILvalley)/2-Ioutmax)^2*Vin_eff/Vout/fsw+2*((ILpeak+ILvalley)/2-Ioutmax)*((1-EXP(-(1-Vin_eff/Vout)/tou/fsw))/(1-EXP(-1/tou/fsw))*(ILpeak+ILvalley)/2*tou*(EXP(-1/tou*(Vin_eff/Vout)/fsw)-1))-((1-EXP(-(1-Vin_eff/Vout)/tou/fsw))/(1-EXP(-1/tou/fsw))*(ILpeak+ILvalley)/2)^2*tou/2*(EXP(-2/tou*(1-Vin_eff/Vout/fsw))-1))))</f>
        <v>0.48377162999112172</v>
      </c>
      <c r="I108" s="60"/>
      <c r="J108" s="60"/>
      <c r="K108" s="60"/>
      <c r="L108" s="60"/>
      <c r="M108" s="60"/>
      <c r="N108" s="60"/>
      <c r="O108" s="60"/>
      <c r="P108" s="61"/>
      <c r="Q108" s="55"/>
    </row>
    <row r="109" spans="1:17" x14ac:dyDescent="0.2">
      <c r="A109" s="84"/>
      <c r="B109" s="87" t="s">
        <v>206</v>
      </c>
      <c r="C109" s="31">
        <f>IF(Vin_eff&lt;Vout, Vout*Ioutmax/(Vout*Ioutmax+(C102+C103+C104+C105+C106+C107+C108)/1000), Vout*Ioutmax/(Vout*Ioutmax+(C102+C103+C104+C105+C106+C107)/1000))</f>
        <v>0.95109695656617177</v>
      </c>
      <c r="D109" s="88"/>
      <c r="E109" s="93" t="s">
        <v>168</v>
      </c>
      <c r="F109" s="60"/>
      <c r="G109" s="60"/>
      <c r="H109" s="60"/>
      <c r="I109" s="60"/>
      <c r="J109" s="60"/>
      <c r="K109" s="60"/>
      <c r="L109" s="60"/>
      <c r="M109" s="60"/>
      <c r="N109" s="60"/>
      <c r="O109" s="60"/>
      <c r="P109" s="61"/>
      <c r="Q109" s="55"/>
    </row>
    <row r="110" spans="1:17" ht="25.5" x14ac:dyDescent="0.2">
      <c r="A110" s="84"/>
      <c r="B110" s="75" t="s">
        <v>199</v>
      </c>
      <c r="C110" s="25">
        <v>33</v>
      </c>
      <c r="D110" s="76" t="s">
        <v>114</v>
      </c>
      <c r="E110" s="77" t="s">
        <v>235</v>
      </c>
      <c r="F110" s="60"/>
      <c r="G110" s="60"/>
      <c r="H110" s="60"/>
      <c r="I110" s="60"/>
      <c r="J110" s="60"/>
      <c r="K110" s="60"/>
      <c r="L110" s="60"/>
      <c r="M110" s="60"/>
      <c r="N110" s="60"/>
      <c r="O110" s="60"/>
      <c r="P110" s="61"/>
      <c r="Q110" s="55"/>
    </row>
    <row r="111" spans="1:17" ht="26.25" thickBot="1" x14ac:dyDescent="0.25">
      <c r="A111" s="84"/>
      <c r="B111" s="94" t="s">
        <v>239</v>
      </c>
      <c r="C111" s="32">
        <f>C110*(C105)/1000</f>
        <v>16.221671630854619</v>
      </c>
      <c r="D111" s="95" t="s">
        <v>71</v>
      </c>
      <c r="E111" s="96" t="s">
        <v>200</v>
      </c>
      <c r="F111" s="97"/>
      <c r="G111" s="97"/>
      <c r="H111" s="97"/>
      <c r="I111" s="97"/>
      <c r="J111" s="97"/>
      <c r="K111" s="97"/>
      <c r="L111" s="97"/>
      <c r="M111" s="97"/>
      <c r="N111" s="97"/>
      <c r="O111" s="97"/>
      <c r="P111" s="98"/>
      <c r="Q111" s="55"/>
    </row>
    <row r="112" spans="1:17" ht="13.5" thickTop="1" x14ac:dyDescent="0.2">
      <c r="A112" s="84"/>
      <c r="B112" s="99"/>
      <c r="C112" s="100"/>
      <c r="D112" s="99"/>
      <c r="E112" s="101"/>
      <c r="F112" s="102"/>
      <c r="G112" s="102"/>
      <c r="H112" s="102"/>
      <c r="I112" s="102"/>
      <c r="J112" s="102"/>
      <c r="K112" s="102"/>
      <c r="L112" s="102"/>
      <c r="M112" s="102"/>
      <c r="N112" s="102"/>
      <c r="O112" s="102"/>
      <c r="P112" s="102"/>
      <c r="Q112" s="55"/>
    </row>
    <row r="115" spans="3:8" x14ac:dyDescent="0.2">
      <c r="D115" s="105"/>
      <c r="H115" s="107"/>
    </row>
    <row r="116" spans="3:8" x14ac:dyDescent="0.2">
      <c r="C116" s="106"/>
    </row>
  </sheetData>
  <sheetProtection algorithmName="SHA-512" hashValue="8k5K6KrYURbRv2brCSelSII4DdxbgPNIWpahaB3uBh69fvB+uB7PguhqowPI0b5sMgklPa3VWEP0o9QuPJCMSQ==" saltValue="dWC3pQNg/IuoC79jtdqroQ=="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G48:G49"/>
    <mergeCell ref="P48:P49"/>
    <mergeCell ref="B48:B49"/>
    <mergeCell ref="C48:C49"/>
    <mergeCell ref="D48:D49"/>
    <mergeCell ref="E48:E49"/>
    <mergeCell ref="F48:F49"/>
    <mergeCell ref="G42:G43"/>
    <mergeCell ref="P42:P43"/>
    <mergeCell ref="P44:P45"/>
    <mergeCell ref="B44:B45"/>
    <mergeCell ref="C44:C45"/>
    <mergeCell ref="D44:D45"/>
    <mergeCell ref="E44:E45"/>
    <mergeCell ref="F44:F45"/>
    <mergeCell ref="G44:G45"/>
    <mergeCell ref="B42:B43"/>
    <mergeCell ref="C42:C43"/>
    <mergeCell ref="D42:D43"/>
    <mergeCell ref="E42:E43"/>
    <mergeCell ref="F42:F43"/>
    <mergeCell ref="G36:G37"/>
    <mergeCell ref="P36:P37"/>
    <mergeCell ref="G38:G39"/>
    <mergeCell ref="P38:P39"/>
    <mergeCell ref="B40:B41"/>
    <mergeCell ref="C40:C41"/>
    <mergeCell ref="D40:D41"/>
    <mergeCell ref="E40:E41"/>
    <mergeCell ref="F40:F41"/>
    <mergeCell ref="G40:G41"/>
    <mergeCell ref="P40:P41"/>
    <mergeCell ref="B38:B39"/>
    <mergeCell ref="C38:C39"/>
    <mergeCell ref="D38:D39"/>
    <mergeCell ref="E38:E39"/>
    <mergeCell ref="F38:F39"/>
    <mergeCell ref="B36:B37"/>
    <mergeCell ref="C36:C37"/>
    <mergeCell ref="D36:D37"/>
    <mergeCell ref="E36:E37"/>
    <mergeCell ref="F36:F37"/>
    <mergeCell ref="D34:D35"/>
    <mergeCell ref="B7:J7"/>
    <mergeCell ref="B2:P2"/>
    <mergeCell ref="B3:P3"/>
    <mergeCell ref="B4:P4"/>
    <mergeCell ref="B6:P6"/>
    <mergeCell ref="E34:E35"/>
    <mergeCell ref="F34:F35"/>
    <mergeCell ref="G34:G35"/>
    <mergeCell ref="P34:P35"/>
    <mergeCell ref="E60:E61"/>
    <mergeCell ref="F12:P12"/>
    <mergeCell ref="B77:E77"/>
    <mergeCell ref="F59:P59"/>
    <mergeCell ref="B13:E13"/>
    <mergeCell ref="B59:E59"/>
    <mergeCell ref="F31:P31"/>
    <mergeCell ref="B46:B47"/>
    <mergeCell ref="C46:C47"/>
    <mergeCell ref="D46:D47"/>
    <mergeCell ref="E46:E47"/>
    <mergeCell ref="F46:F47"/>
    <mergeCell ref="G46:G47"/>
    <mergeCell ref="P46:P47"/>
    <mergeCell ref="B34:B35"/>
    <mergeCell ref="C34:C35"/>
  </mergeCells>
  <phoneticPr fontId="2" type="noConversion"/>
  <conditionalFormatting sqref="C65">
    <cfRule type="expression" dxfId="12" priority="10">
      <formula>$C$62="Boost"</formula>
    </cfRule>
    <cfRule type="expression" dxfId="11" priority="11">
      <formula>$C$62="Buck"</formula>
    </cfRule>
  </conditionalFormatting>
  <conditionalFormatting sqref="C24">
    <cfRule type="expression" dxfId="10" priority="8">
      <formula>#REF!="Disable"</formula>
    </cfRule>
    <cfRule type="expression" dxfId="9" priority="9">
      <formula>#REF!="Enable"</formula>
    </cfRule>
  </conditionalFormatting>
  <conditionalFormatting sqref="C58">
    <cfRule type="expression" dxfId="8" priority="6">
      <formula>#REF!="External"</formula>
    </cfRule>
    <cfRule type="expression" dxfId="7" priority="7">
      <formula>#REF!="Internal"</formula>
    </cfRule>
  </conditionalFormatting>
  <conditionalFormatting sqref="C57">
    <cfRule type="expression" dxfId="6" priority="4">
      <formula>#REF!="External"</formula>
    </cfRule>
    <cfRule type="expression" dxfId="5" priority="5">
      <formula>#REF!="Internal"</formula>
    </cfRule>
  </conditionalFormatting>
  <conditionalFormatting sqref="C22">
    <cfRule type="expression" dxfId="4" priority="27" stopIfTrue="1">
      <formula>#REF!="External"</formula>
    </cfRule>
    <cfRule type="expression" dxfId="3" priority="28" stopIfTrue="1">
      <formula>#REF!="Internal"</formula>
    </cfRule>
  </conditionalFormatting>
  <conditionalFormatting sqref="C23">
    <cfRule type="expression" dxfId="2" priority="29">
      <formula>#REF!="External"</formula>
    </cfRule>
    <cfRule type="expression" dxfId="1" priority="30">
      <formula>#REF!="Internal"</formula>
    </cfRule>
  </conditionalFormatting>
  <conditionalFormatting sqref="C54">
    <cfRule type="cellIs" dxfId="0" priority="1" operator="greaterThan">
      <formula>3.3</formula>
    </cfRule>
  </conditionalFormatting>
  <dataValidations count="5">
    <dataValidation type="list" allowBlank="1" showInputMessage="1" showErrorMessage="1" sqref="C18" xr:uid="{00000000-0002-0000-0000-000000000000}">
      <formula1>"Internal, External"</formula1>
    </dataValidation>
    <dataValidation type="list" allowBlank="1" showInputMessage="1" showErrorMessage="1" sqref="C20" xr:uid="{00000000-0002-0000-0000-000002000000}">
      <formula1>"FPWM, APFM"</formula1>
    </dataValidation>
    <dataValidation type="list" allowBlank="1" showInputMessage="1" showErrorMessage="1" sqref="H47" xr:uid="{00000000-0002-0000-0000-00000A000000}">
      <formula1>"OFF -0,ON -1"</formula1>
    </dataValidation>
    <dataValidation type="list" allowBlank="1" showInputMessage="1" showErrorMessage="1" sqref="I47:K47" xr:uid="{00000000-0002-0000-0000-00000B000000}">
      <formula1>"DIS -0,ENA -1"</formula1>
    </dataValidation>
    <dataValidation type="custom" allowBlank="1" showInputMessage="1" showErrorMessage="1" sqref="S16"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66675</xdr:colOff>
                <xdr:row>12</xdr:row>
                <xdr:rowOff>38100</xdr:rowOff>
              </from>
              <to>
                <xdr:col>15</xdr:col>
                <xdr:colOff>200025</xdr:colOff>
                <xdr:row>32</xdr:row>
                <xdr:rowOff>161925</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zoomScale="85" zoomScaleNormal="85" workbookViewId="0">
      <selection activeCell="AA3" sqref="AA3:AA43"/>
    </sheetView>
  </sheetViews>
  <sheetFormatPr defaultRowHeight="12.75" x14ac:dyDescent="0.2"/>
  <cols>
    <col min="1" max="1" width="4" bestFit="1" customWidth="1"/>
    <col min="2" max="2" width="9.5703125" customWidth="1"/>
    <col min="3" max="3" width="10.5703125" bestFit="1" customWidth="1"/>
    <col min="5" max="5" width="8" customWidth="1"/>
    <col min="7" max="7" width="7.85546875" customWidth="1"/>
    <col min="8" max="9" width="8.42578125" customWidth="1"/>
    <col min="10" max="10" width="9.42578125" customWidth="1"/>
    <col min="11" max="11" width="9.5703125" customWidth="1"/>
    <col min="13" max="14" width="8.42578125" customWidth="1"/>
    <col min="15" max="16" width="9.5703125" customWidth="1"/>
    <col min="17" max="17" width="10" customWidth="1"/>
    <col min="18" max="18" width="10.5703125" customWidth="1"/>
    <col min="19" max="20" width="9.42578125" customWidth="1"/>
    <col min="21" max="23" width="10" customWidth="1"/>
    <col min="24" max="24" width="10.140625" customWidth="1"/>
    <col min="25" max="26" width="10" customWidth="1"/>
    <col min="27" max="30" width="10.42578125" customWidth="1"/>
    <col min="32" max="32" width="15.5703125" customWidth="1"/>
    <col min="33" max="33" width="12.42578125" bestFit="1" customWidth="1"/>
    <col min="34" max="34" width="5.5703125" customWidth="1"/>
  </cols>
  <sheetData>
    <row r="1" spans="1:34" ht="14.25" thickTop="1" thickBot="1" x14ac:dyDescent="0.25">
      <c r="A1" s="180" t="s">
        <v>139</v>
      </c>
      <c r="B1" s="182"/>
      <c r="C1" s="180" t="s">
        <v>129</v>
      </c>
      <c r="D1" s="181"/>
      <c r="E1" s="181"/>
      <c r="F1" s="181"/>
      <c r="G1" s="181"/>
      <c r="H1" s="181"/>
      <c r="I1" s="181"/>
      <c r="J1" s="182"/>
      <c r="K1" s="180" t="s">
        <v>157</v>
      </c>
      <c r="L1" s="181"/>
      <c r="M1" s="181"/>
      <c r="N1" s="181"/>
      <c r="O1" s="181"/>
      <c r="P1" s="181"/>
      <c r="Q1" s="180" t="s">
        <v>156</v>
      </c>
      <c r="R1" s="182"/>
      <c r="S1" s="180" t="s">
        <v>130</v>
      </c>
      <c r="T1" s="181"/>
      <c r="U1" s="181"/>
      <c r="V1" s="181"/>
      <c r="W1" s="181"/>
      <c r="X1" s="182"/>
      <c r="Y1" s="180" t="s">
        <v>155</v>
      </c>
      <c r="Z1" s="182"/>
      <c r="AA1" s="181" t="s">
        <v>133</v>
      </c>
      <c r="AB1" s="181"/>
      <c r="AC1" s="181"/>
      <c r="AD1" s="182"/>
    </row>
    <row r="2" spans="1:34" ht="26.25" thickTop="1" x14ac:dyDescent="0.2">
      <c r="A2" s="1"/>
      <c r="B2" s="2" t="s">
        <v>134</v>
      </c>
      <c r="C2" s="13" t="s">
        <v>100</v>
      </c>
      <c r="D2" s="2" t="s">
        <v>101</v>
      </c>
      <c r="E2" s="2" t="s">
        <v>102</v>
      </c>
      <c r="F2" s="2" t="s">
        <v>103</v>
      </c>
      <c r="G2" s="2" t="s">
        <v>104</v>
      </c>
      <c r="H2" s="2" t="s">
        <v>105</v>
      </c>
      <c r="I2" s="2" t="s">
        <v>112</v>
      </c>
      <c r="J2" s="16" t="s">
        <v>113</v>
      </c>
      <c r="K2" s="13" t="s">
        <v>106</v>
      </c>
      <c r="L2" s="2" t="s">
        <v>107</v>
      </c>
      <c r="M2" s="2" t="s">
        <v>98</v>
      </c>
      <c r="N2" s="2" t="s">
        <v>99</v>
      </c>
      <c r="O2" s="2" t="s">
        <v>108</v>
      </c>
      <c r="P2" s="16" t="s">
        <v>109</v>
      </c>
      <c r="Q2" s="2" t="s">
        <v>153</v>
      </c>
      <c r="R2" s="2" t="s">
        <v>154</v>
      </c>
      <c r="S2" s="13" t="s">
        <v>131</v>
      </c>
      <c r="T2" s="2" t="s">
        <v>132</v>
      </c>
      <c r="U2" s="2" t="s">
        <v>123</v>
      </c>
      <c r="V2" s="16" t="s">
        <v>122</v>
      </c>
      <c r="W2" s="13" t="s">
        <v>173</v>
      </c>
      <c r="X2" s="16" t="s">
        <v>172</v>
      </c>
      <c r="Y2" s="13" t="s">
        <v>151</v>
      </c>
      <c r="Z2" s="16" t="s">
        <v>152</v>
      </c>
      <c r="AA2" s="2" t="s">
        <v>136</v>
      </c>
      <c r="AB2" s="2" t="s">
        <v>137</v>
      </c>
      <c r="AC2" s="2" t="s">
        <v>135</v>
      </c>
      <c r="AD2" s="3" t="s">
        <v>138</v>
      </c>
      <c r="AF2" s="11" t="s">
        <v>144</v>
      </c>
      <c r="AG2" s="24" t="s">
        <v>24</v>
      </c>
      <c r="AH2" s="24" t="s">
        <v>175</v>
      </c>
    </row>
    <row r="3" spans="1:34" x14ac:dyDescent="0.2">
      <c r="A3" s="4">
        <v>1</v>
      </c>
      <c r="B3" s="20">
        <f>10*10^A3</f>
        <v>100</v>
      </c>
      <c r="C3" s="14">
        <f t="shared" ref="C3:C43" si="0">20*LOG(SQRT((B3/fzRHP)^2+1))</f>
        <v>4.0822310753250064E-6</v>
      </c>
      <c r="D3" s="5">
        <f t="shared" ref="D3:D43" si="1">-180/PI()*ATAN(B3/fzRHP)</f>
        <v>-5.554938241043518E-2</v>
      </c>
      <c r="E3" s="5">
        <f t="shared" ref="E3:E43" si="2">20*LOG(1/SQRT((B3/fp)^2+1))</f>
        <v>-6.7350733904952094E-3</v>
      </c>
      <c r="F3" s="5">
        <f t="shared" ref="F3:F43" si="3">-180/PI()*ATAN(B3/fp)</f>
        <v>-2.2560333530576688</v>
      </c>
      <c r="G3" s="5">
        <f t="shared" ref="G3:G43" si="4">20*LOG(SQRT((B3/fz_ESR)^2+1))</f>
        <v>7.4177225917071354E-10</v>
      </c>
      <c r="H3" s="5">
        <f t="shared" ref="H3:H43" si="5">180/PI()*ATAN(B3/fz_ESR)</f>
        <v>7.487999999573684E-4</v>
      </c>
      <c r="I3" s="5">
        <f t="shared" ref="I3:I43" si="6">20*LOG(1/SQRT((B3/(1/2/PI()/ESR/(Cout_c*Cout_e/(Cout_c+Cout_e))))^2+1))</f>
        <v>-1.7357894397959187E-14</v>
      </c>
      <c r="J3" s="17">
        <f t="shared" ref="J3:J43" si="7">-180/PI()*ATAN(B3/(1/2/PI()/(ESR)/(Cout_c*Cout_e/(Cout_c+Cout_e))))</f>
        <v>-3.5827751196172197E-6</v>
      </c>
      <c r="K3" s="14">
        <f t="shared" ref="K3:K43" si="8">20*LOG(1/SQRT((B3/(1/2/PI()/10000000/(Ccomp+Cp+0.000000000003)))^2+1))</f>
        <v>-36.053682057722952</v>
      </c>
      <c r="L3" s="5">
        <f t="shared" ref="L3:L43" si="9">-180/PI()*ATAN(B3/(1/2/PI()/10000000/(Ccomp+Cp+0.000000000003)))</f>
        <v>-89.097480717543945</v>
      </c>
      <c r="M3" s="5">
        <f t="shared" ref="M3:M43" si="10">20*LOG(SQRT((B3/fz_comp)^2+1))</f>
        <v>4.8134347973440208E-3</v>
      </c>
      <c r="N3" s="5">
        <f t="shared" ref="N3:N43" si="11">180/PI()*ATAN(B3/fz_comp)</f>
        <v>1.9072951775024931</v>
      </c>
      <c r="O3" s="5">
        <f t="shared" ref="O3:O43" si="12">20*LOG(1/SQRT((B3/fp_comp2)^2+1))</f>
        <v>-5.0057540322335756E-7</v>
      </c>
      <c r="P3" s="17">
        <f t="shared" ref="P3:P43" si="13">-180/PI()*ATAN(B3/fp_comp2)</f>
        <v>-1.9452043199983539E-2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-2.2292358754921799E-5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-0.22536000269067971</v>
      </c>
      <c r="W3" s="14">
        <v>0</v>
      </c>
      <c r="X3" s="17">
        <f t="shared" ref="X3:X43" si="18">IF(B3&lt;fsw, -180*B3*1/2/fsw, -90)</f>
        <v>-2.2499999999999999E-2</v>
      </c>
      <c r="Y3" s="14">
        <f>20*LOG(1/SQRT((B3/(1/2/PI()/30000/0.000000000005))^2+1))</f>
        <v>-3.8576832623748043E-8</v>
      </c>
      <c r="Z3" s="17">
        <f>-180/PI()*ATAN(B3/(1/2/PI()/30000/0.000000000005))</f>
        <v>-5.3999999840112396E-3</v>
      </c>
      <c r="AA3" s="5">
        <f t="shared" ref="AA3:AA43" si="19">IF(Op_mode="Boost", C3+E3+G3+I3+K3+M3+20*LOG(Vout_LP/Ioutmax/2*gm_PS*eff*Vin_LP/Vout_LP*gm_EA*10000000*1.129/Vout)+Q3+S3+U3+Y3, E3+G3+I3+K3+M3+20*LOG(Vout_LP/Ioutmax*gm_PS*gm_EA*10000000*1.129/Vout)+Q3+S3+U3+Y3)</f>
        <v>40.596285395844404</v>
      </c>
      <c r="AB3" s="5">
        <f t="shared" ref="AB3:AB43" si="20">IF(Op_mode="Boost", D3+F3+H3+J3+180+L3+N3+R3+T3+V3+X3+Z3, F3+H3+J3+180+L3+N3+R3+T3+V3+Z3)</f>
        <v>90.391875827340471</v>
      </c>
      <c r="AC3" s="5">
        <f>AA3+O3</f>
        <v>40.596284895269001</v>
      </c>
      <c r="AD3" s="6">
        <f>AB3+P3</f>
        <v>90.37242378414048</v>
      </c>
      <c r="AF3" t="s">
        <v>142</v>
      </c>
      <c r="AG3">
        <v>3.0000000000000001E-5</v>
      </c>
      <c r="AH3" t="s">
        <v>124</v>
      </c>
    </row>
    <row r="4" spans="1:34" x14ac:dyDescent="0.2">
      <c r="A4" s="4">
        <v>1.1000000000000001</v>
      </c>
      <c r="B4" s="21">
        <f t="shared" ref="B4:B43" si="21">10*10^A4</f>
        <v>125.8925411794168</v>
      </c>
      <c r="C4" s="14">
        <f t="shared" si="0"/>
        <v>6.4698984610554467E-6</v>
      </c>
      <c r="D4" s="5">
        <f t="shared" si="1"/>
        <v>-6.9932516310115531E-2</v>
      </c>
      <c r="E4" s="5">
        <f t="shared" si="2"/>
        <v>-1.0669536258971562E-2</v>
      </c>
      <c r="F4" s="5">
        <f t="shared" si="3"/>
        <v>-2.8393199382085865</v>
      </c>
      <c r="G4" s="5">
        <f t="shared" si="4"/>
        <v>1.1756309009448829E-9</v>
      </c>
      <c r="H4" s="5">
        <f t="shared" si="5"/>
        <v>9.4268334826641184E-4</v>
      </c>
      <c r="I4" s="5">
        <f t="shared" si="6"/>
        <v>-2.7001169063492082E-14</v>
      </c>
      <c r="J4" s="17">
        <f t="shared" si="7"/>
        <v>-4.5104466428300047E-6</v>
      </c>
      <c r="K4" s="14">
        <f t="shared" si="8"/>
        <v>-38.053284397130639</v>
      </c>
      <c r="L4" s="5">
        <f t="shared" si="9"/>
        <v>-89.283081569823565</v>
      </c>
      <c r="M4" s="5">
        <f t="shared" si="10"/>
        <v>7.6263093173729443E-3</v>
      </c>
      <c r="N4" s="5">
        <f t="shared" si="11"/>
        <v>2.4006239264718707</v>
      </c>
      <c r="O4" s="5">
        <f t="shared" si="12"/>
        <v>-7.9335852170172073E-7</v>
      </c>
      <c r="P4" s="17">
        <f t="shared" si="13"/>
        <v>-2.4488670945469384E-2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-3.5331062154775621E-5</v>
      </c>
      <c r="V4" s="17">
        <f t="shared" si="17"/>
        <v>-0.28371143616913042</v>
      </c>
      <c r="W4" s="14">
        <v>0</v>
      </c>
      <c r="X4" s="17">
        <f t="shared" si="18"/>
        <v>-2.8325821765368776E-2</v>
      </c>
      <c r="Y4" s="14">
        <f t="shared" ref="Y4:Y43" si="24">20*LOG(1/SQRT((B4/(1/2/PI()/30000/0.000000000005))^2+1))</f>
        <v>-6.1140159101059486E-8</v>
      </c>
      <c r="Z4" s="17">
        <f t="shared" ref="Z4:Z43" si="25">-180/PI()*ATAN(B4/(1/2/PI()/30000/0.000000000005))</f>
        <v>-6.7981971917867381E-3</v>
      </c>
      <c r="AA4" s="5">
        <f t="shared" si="19"/>
        <v>38.595585238421123</v>
      </c>
      <c r="AB4" s="5">
        <f t="shared" si="20"/>
        <v>90.074394939971924</v>
      </c>
      <c r="AC4" s="5">
        <f t="shared" ref="AC4:AC43" si="26">AA4+O4</f>
        <v>38.595584445062599</v>
      </c>
      <c r="AD4" s="6">
        <f t="shared" ref="AD4:AD43" si="27">AB4+P4</f>
        <v>90.049906269026451</v>
      </c>
      <c r="AF4" t="s">
        <v>140</v>
      </c>
      <c r="AG4">
        <v>100000</v>
      </c>
      <c r="AH4" s="12" t="s">
        <v>49</v>
      </c>
    </row>
    <row r="5" spans="1:34" x14ac:dyDescent="0.2">
      <c r="A5" s="4">
        <v>1.2</v>
      </c>
      <c r="B5" s="21">
        <f t="shared" si="21"/>
        <v>158.48931924611136</v>
      </c>
      <c r="C5" s="14">
        <f t="shared" si="0"/>
        <v>1.0254093560850089E-5</v>
      </c>
      <c r="D5" s="5">
        <f t="shared" si="1"/>
        <v>-8.8039796322547173E-2</v>
      </c>
      <c r="E5" s="5">
        <f t="shared" si="2"/>
        <v>-1.6897947572944556E-2</v>
      </c>
      <c r="F5" s="5">
        <f t="shared" si="3"/>
        <v>-3.5727829284833525</v>
      </c>
      <c r="G5" s="5">
        <f t="shared" si="4"/>
        <v>1.8632484581602841E-9</v>
      </c>
      <c r="H5" s="5">
        <f t="shared" si="5"/>
        <v>1.1867680223451626E-3</v>
      </c>
      <c r="I5" s="5">
        <f t="shared" si="6"/>
        <v>-4.2430408528344739E-14</v>
      </c>
      <c r="J5" s="17">
        <f t="shared" si="7"/>
        <v>-5.6783158972003723E-6</v>
      </c>
      <c r="K5" s="14">
        <f t="shared" si="8"/>
        <v>-40.053033471523008</v>
      </c>
      <c r="L5" s="5">
        <f t="shared" si="9"/>
        <v>-89.430520481085921</v>
      </c>
      <c r="M5" s="5">
        <f t="shared" si="10"/>
        <v>1.2080686460138062E-2</v>
      </c>
      <c r="N5" s="5">
        <f t="shared" si="11"/>
        <v>3.0211730790330806</v>
      </c>
      <c r="O5" s="5">
        <f t="shared" si="12"/>
        <v>-1.2573884519055038E-6</v>
      </c>
      <c r="P5" s="17">
        <f t="shared" si="13"/>
        <v>-3.0829409056308519E-2</v>
      </c>
      <c r="Q5" s="5">
        <f t="shared" si="22"/>
        <v>-2.0844350508270566E-5</v>
      </c>
      <c r="R5" s="5">
        <f t="shared" si="23"/>
        <v>-0.12552334002254481</v>
      </c>
      <c r="S5" s="14">
        <f t="shared" si="14"/>
        <v>1.6876573537434375E-4</v>
      </c>
      <c r="T5" s="5">
        <f t="shared" si="15"/>
        <v>0.35716690333929518</v>
      </c>
      <c r="U5" s="5">
        <f t="shared" si="16"/>
        <v>-5.5996096841214759E-5</v>
      </c>
      <c r="V5" s="17">
        <f t="shared" si="17"/>
        <v>-0.35717154055752759</v>
      </c>
      <c r="W5" s="14">
        <v>0</v>
      </c>
      <c r="X5" s="17">
        <f t="shared" si="18"/>
        <v>-3.5660096830375056E-2</v>
      </c>
      <c r="Y5" s="14">
        <f t="shared" si="24"/>
        <v>-9.6900620560394827E-8</v>
      </c>
      <c r="Z5" s="17">
        <f t="shared" si="25"/>
        <v>-8.5584231756376181E-3</v>
      </c>
      <c r="AA5" s="5">
        <f t="shared" si="19"/>
        <v>36.594099802493893</v>
      </c>
      <c r="AB5" s="5">
        <f t="shared" si="20"/>
        <v>89.761264465600902</v>
      </c>
      <c r="AC5" s="5">
        <f t="shared" si="26"/>
        <v>36.594098545105439</v>
      </c>
      <c r="AD5" s="6">
        <f t="shared" si="27"/>
        <v>89.730435056544593</v>
      </c>
      <c r="AF5" t="s">
        <v>141</v>
      </c>
      <c r="AG5">
        <v>6.2599999999999996E-11</v>
      </c>
      <c r="AH5" t="s">
        <v>9</v>
      </c>
    </row>
    <row r="6" spans="1:34" x14ac:dyDescent="0.2">
      <c r="A6" s="4">
        <v>1.3</v>
      </c>
      <c r="B6" s="21">
        <f t="shared" si="21"/>
        <v>199.52623149688804</v>
      </c>
      <c r="C6" s="14">
        <f t="shared" si="0"/>
        <v>1.6251631856940004E-5</v>
      </c>
      <c r="D6" s="5">
        <f t="shared" si="1"/>
        <v>-0.11083548581891893</v>
      </c>
      <c r="E6" s="5">
        <f t="shared" si="2"/>
        <v>-2.6751053531564796E-2</v>
      </c>
      <c r="F6" s="5">
        <f t="shared" si="3"/>
        <v>-4.4944646989175814</v>
      </c>
      <c r="G6" s="5">
        <f t="shared" si="4"/>
        <v>2.9530484283945405E-9</v>
      </c>
      <c r="H6" s="5">
        <f t="shared" si="5"/>
        <v>1.4940524211100633E-3</v>
      </c>
      <c r="I6" s="5">
        <f t="shared" si="6"/>
        <v>-6.7502922658730367E-14</v>
      </c>
      <c r="J6" s="17">
        <f t="shared" si="7"/>
        <v>-7.1485761791803347E-6</v>
      </c>
      <c r="K6" s="14">
        <f t="shared" si="8"/>
        <v>-42.052875140707997</v>
      </c>
      <c r="L6" s="5">
        <f t="shared" si="9"/>
        <v>-89.547640841781799</v>
      </c>
      <c r="M6" s="5">
        <f t="shared" si="10"/>
        <v>1.9131053376423849E-2</v>
      </c>
      <c r="N6" s="5">
        <f t="shared" si="11"/>
        <v>3.8013729614662628</v>
      </c>
      <c r="O6" s="5">
        <f t="shared" si="12"/>
        <v>-1.992826230759284E-6</v>
      </c>
      <c r="P6" s="17">
        <f t="shared" si="13"/>
        <v>-3.8811924300769692E-2</v>
      </c>
      <c r="Q6" s="5">
        <f t="shared" si="22"/>
        <v>-3.30360228520592E-5</v>
      </c>
      <c r="R6" s="5">
        <f t="shared" si="23"/>
        <v>-0.15802437465688313</v>
      </c>
      <c r="S6" s="14">
        <f t="shared" si="14"/>
        <v>2.6747262549834858E-4</v>
      </c>
      <c r="T6" s="5">
        <f t="shared" si="15"/>
        <v>0.44964308431875261</v>
      </c>
      <c r="U6" s="5">
        <f t="shared" si="16"/>
        <v>-8.8748176686076344E-5</v>
      </c>
      <c r="V6" s="17">
        <f t="shared" si="17"/>
        <v>-0.44965233664550497</v>
      </c>
      <c r="W6" s="14">
        <v>0</v>
      </c>
      <c r="X6" s="17">
        <f t="shared" si="18"/>
        <v>-4.4893402086799809E-2</v>
      </c>
      <c r="Y6" s="14">
        <f t="shared" si="24"/>
        <v>-1.535771340734222E-7</v>
      </c>
      <c r="Z6" s="17">
        <f t="shared" si="25"/>
        <v>-1.0774416373828727E-2</v>
      </c>
      <c r="AA6" s="5">
        <f t="shared" si="19"/>
        <v>34.591515099356066</v>
      </c>
      <c r="AB6" s="5">
        <f t="shared" si="20"/>
        <v>89.436217393348628</v>
      </c>
      <c r="AC6" s="5">
        <f t="shared" si="26"/>
        <v>34.591513106529838</v>
      </c>
      <c r="AD6" s="6">
        <f t="shared" si="27"/>
        <v>89.397405469047854</v>
      </c>
      <c r="AF6" t="s">
        <v>143</v>
      </c>
      <c r="AG6">
        <f>0.1*MIN(Vin, Vout)</f>
        <v>0.9</v>
      </c>
      <c r="AH6" t="s">
        <v>3</v>
      </c>
    </row>
    <row r="7" spans="1:34" x14ac:dyDescent="0.2">
      <c r="A7" s="4">
        <v>1.4</v>
      </c>
      <c r="B7" s="21">
        <f t="shared" si="21"/>
        <v>251.188643150958</v>
      </c>
      <c r="C7" s="14">
        <f t="shared" si="0"/>
        <v>2.575707250861159E-5</v>
      </c>
      <c r="D7" s="5">
        <f t="shared" si="1"/>
        <v>-0.13953350782649029</v>
      </c>
      <c r="E7" s="5">
        <f t="shared" si="2"/>
        <v>-4.2321527568300737E-2</v>
      </c>
      <c r="F7" s="5">
        <f t="shared" si="3"/>
        <v>-5.6514307154077077</v>
      </c>
      <c r="G7" s="5">
        <f t="shared" si="4"/>
        <v>4.6802669249087759E-9</v>
      </c>
      <c r="H7" s="5">
        <f t="shared" si="5"/>
        <v>1.8809005592387092E-3</v>
      </c>
      <c r="I7" s="5">
        <f t="shared" si="6"/>
        <v>-1.0800467625396883E-13</v>
      </c>
      <c r="J7" s="17">
        <f t="shared" si="7"/>
        <v>-8.9995242101165445E-6</v>
      </c>
      <c r="K7" s="14">
        <f t="shared" si="8"/>
        <v>-44.052775237747298</v>
      </c>
      <c r="L7" s="5">
        <f t="shared" si="9"/>
        <v>-89.640675593142575</v>
      </c>
      <c r="M7" s="5">
        <f t="shared" si="10"/>
        <v>3.028173959616285E-2</v>
      </c>
      <c r="N7" s="5">
        <f t="shared" si="11"/>
        <v>4.7815478905019653</v>
      </c>
      <c r="O7" s="5">
        <f t="shared" si="12"/>
        <v>-3.1584163029148949E-6</v>
      </c>
      <c r="P7" s="17">
        <f t="shared" si="13"/>
        <v>-4.8861313411622323E-2</v>
      </c>
      <c r="Q7" s="5">
        <f t="shared" si="22"/>
        <v>-5.2358451248504887E-5</v>
      </c>
      <c r="R7" s="5">
        <f t="shared" si="23"/>
        <v>-0.19894060589872517</v>
      </c>
      <c r="S7" s="14">
        <f t="shared" si="14"/>
        <v>4.2390790845322254E-4</v>
      </c>
      <c r="T7" s="5">
        <f t="shared" si="15"/>
        <v>0.56606030837128074</v>
      </c>
      <c r="U7" s="5">
        <f t="shared" si="16"/>
        <v>-1.4065724513355189E-4</v>
      </c>
      <c r="V7" s="17">
        <f t="shared" si="17"/>
        <v>-0.56607876874736973</v>
      </c>
      <c r="W7" s="14">
        <v>0</v>
      </c>
      <c r="X7" s="17">
        <f t="shared" si="18"/>
        <v>-5.6517444708965553E-2</v>
      </c>
      <c r="Y7" s="14">
        <f t="shared" si="24"/>
        <v>-2.4340335245430343E-7</v>
      </c>
      <c r="Z7" s="17">
        <f t="shared" si="25"/>
        <v>-1.3564186476746985E-2</v>
      </c>
      <c r="AA7" s="5">
        <f t="shared" si="19"/>
        <v>32.587289835627494</v>
      </c>
      <c r="AB7" s="5">
        <f t="shared" si="20"/>
        <v>89.082739277699702</v>
      </c>
      <c r="AC7" s="5">
        <f t="shared" si="26"/>
        <v>32.587286677211189</v>
      </c>
      <c r="AD7" s="6">
        <f t="shared" si="27"/>
        <v>89.033877964288081</v>
      </c>
    </row>
    <row r="8" spans="1:34" x14ac:dyDescent="0.2">
      <c r="A8" s="4">
        <v>1.5</v>
      </c>
      <c r="B8" s="21">
        <f t="shared" si="21"/>
        <v>316.22776601683802</v>
      </c>
      <c r="C8" s="14">
        <f t="shared" si="0"/>
        <v>4.0822138071742865E-5</v>
      </c>
      <c r="D8" s="5">
        <f t="shared" si="1"/>
        <v>-0.17566207568353501</v>
      </c>
      <c r="E8" s="5">
        <f t="shared" si="2"/>
        <v>-6.6885283690053143E-2</v>
      </c>
      <c r="F8" s="5">
        <f t="shared" si="3"/>
        <v>-7.10130627009538</v>
      </c>
      <c r="G8" s="5">
        <f t="shared" si="4"/>
        <v>7.4177245175114463E-9</v>
      </c>
      <c r="H8" s="5">
        <f t="shared" si="5"/>
        <v>2.3679135105859552E-3</v>
      </c>
      <c r="I8" s="5">
        <f t="shared" si="6"/>
        <v>-1.6972163411338019E-13</v>
      </c>
      <c r="J8" s="17">
        <f t="shared" si="7"/>
        <v>-1.1329729722172498E-5</v>
      </c>
      <c r="K8" s="14">
        <f t="shared" si="8"/>
        <v>-46.052712202058039</v>
      </c>
      <c r="L8" s="5">
        <f t="shared" si="9"/>
        <v>-89.714577097281094</v>
      </c>
      <c r="M8" s="5">
        <f t="shared" si="10"/>
        <v>4.7895949676102917E-2</v>
      </c>
      <c r="N8" s="5">
        <f t="shared" si="11"/>
        <v>6.0114697367379071</v>
      </c>
      <c r="O8" s="5">
        <f t="shared" si="12"/>
        <v>-5.0057514326070715E-6</v>
      </c>
      <c r="P8" s="17">
        <f t="shared" si="13"/>
        <v>-6.1512740385747382E-2</v>
      </c>
      <c r="Q8" s="5">
        <f t="shared" si="22"/>
        <v>-8.298226038036435E-5</v>
      </c>
      <c r="R8" s="5">
        <f t="shared" si="23"/>
        <v>-0.2504507955260869</v>
      </c>
      <c r="S8" s="14">
        <f t="shared" si="14"/>
        <v>6.7182958160482906E-4</v>
      </c>
      <c r="T8" s="5">
        <f t="shared" si="15"/>
        <v>0.7126141463447041</v>
      </c>
      <c r="U8" s="5">
        <f t="shared" si="16"/>
        <v>-2.2292888061607483E-4</v>
      </c>
      <c r="V8" s="17">
        <f t="shared" si="17"/>
        <v>-0.71265097823724688</v>
      </c>
      <c r="W8" s="14">
        <v>0</v>
      </c>
      <c r="X8" s="17">
        <f t="shared" si="18"/>
        <v>-7.1151247353788555E-2</v>
      </c>
      <c r="Y8" s="14">
        <f t="shared" si="24"/>
        <v>-3.8576830887491155E-7</v>
      </c>
      <c r="Z8" s="17">
        <f t="shared" si="25"/>
        <v>-1.7076298859300319E-2</v>
      </c>
      <c r="AA8" s="5">
        <f t="shared" si="19"/>
        <v>30.580553276941473</v>
      </c>
      <c r="AB8" s="5">
        <f t="shared" si="20"/>
        <v>88.683565703827057</v>
      </c>
      <c r="AC8" s="5">
        <f t="shared" si="26"/>
        <v>30.58054827119004</v>
      </c>
      <c r="AD8" s="6">
        <f t="shared" si="27"/>
        <v>88.622052963441305</v>
      </c>
    </row>
    <row r="9" spans="1:34" x14ac:dyDescent="0.2">
      <c r="A9" s="4">
        <v>1.6</v>
      </c>
      <c r="B9" s="21">
        <f t="shared" si="21"/>
        <v>398.10717055349755</v>
      </c>
      <c r="C9" s="14">
        <f t="shared" si="0"/>
        <v>6.4698550884542257E-5</v>
      </c>
      <c r="D9" s="5">
        <f t="shared" si="1"/>
        <v>-0.22114504569896462</v>
      </c>
      <c r="E9" s="5">
        <f t="shared" si="2"/>
        <v>-0.1055338427720854</v>
      </c>
      <c r="F9" s="5">
        <f t="shared" si="3"/>
        <v>-8.913464727438388</v>
      </c>
      <c r="G9" s="5">
        <f t="shared" si="4"/>
        <v>1.1756301287668657E-8</v>
      </c>
      <c r="H9" s="5">
        <f t="shared" si="5"/>
        <v>2.9810264904147218E-3</v>
      </c>
      <c r="I9" s="5">
        <f t="shared" si="6"/>
        <v>-2.700116906349246E-13</v>
      </c>
      <c r="J9" s="17">
        <f t="shared" si="7"/>
        <v>-1.4263284656002527E-5</v>
      </c>
      <c r="K9" s="14">
        <f t="shared" si="8"/>
        <v>-48.052672428756182</v>
      </c>
      <c r="L9" s="5">
        <f t="shared" si="9"/>
        <v>-89.773279837420844</v>
      </c>
      <c r="M9" s="5">
        <f t="shared" si="10"/>
        <v>7.5667074005974624E-2</v>
      </c>
      <c r="N9" s="5">
        <f t="shared" si="11"/>
        <v>7.5518474021999031</v>
      </c>
      <c r="O9" s="5">
        <f t="shared" si="12"/>
        <v>-7.933578695770147E-6</v>
      </c>
      <c r="P9" s="17">
        <f t="shared" si="13"/>
        <v>-7.743993461848106E-2</v>
      </c>
      <c r="Q9" s="5">
        <f t="shared" si="22"/>
        <v>-1.3151728467446024E-4</v>
      </c>
      <c r="R9" s="5">
        <f t="shared" si="23"/>
        <v>-0.31529769633857607</v>
      </c>
      <c r="S9" s="14">
        <f t="shared" si="14"/>
        <v>1.0647299653402055E-3</v>
      </c>
      <c r="T9" s="5">
        <f t="shared" si="15"/>
        <v>0.89710100333404108</v>
      </c>
      <c r="U9" s="5">
        <f t="shared" si="16"/>
        <v>-3.533239165673575E-4</v>
      </c>
      <c r="V9" s="17">
        <f t="shared" si="17"/>
        <v>-0.8971744881938738</v>
      </c>
      <c r="W9" s="14">
        <v>0</v>
      </c>
      <c r="X9" s="17">
        <f t="shared" si="18"/>
        <v>-8.9574113374536954E-2</v>
      </c>
      <c r="Y9" s="14">
        <f t="shared" si="24"/>
        <v>-6.1140154962446974E-7</v>
      </c>
      <c r="Z9" s="17">
        <f t="shared" si="25"/>
        <v>-2.149778620106645E-2</v>
      </c>
      <c r="AA9" s="5">
        <f t="shared" si="19"/>
        <v>28.569953240932712</v>
      </c>
      <c r="AB9" s="5">
        <f t="shared" si="20"/>
        <v>88.220481474073452</v>
      </c>
      <c r="AC9" s="5">
        <f t="shared" si="26"/>
        <v>28.569945307354015</v>
      </c>
      <c r="AD9" s="6">
        <f t="shared" si="27"/>
        <v>88.14304153945497</v>
      </c>
    </row>
    <row r="10" spans="1:34" x14ac:dyDescent="0.2">
      <c r="A10" s="4">
        <v>1.7</v>
      </c>
      <c r="B10" s="21">
        <f t="shared" si="21"/>
        <v>501.18723362727235</v>
      </c>
      <c r="C10" s="14">
        <f t="shared" si="0"/>
        <v>1.0253984612796769E-4</v>
      </c>
      <c r="D10" s="5">
        <f t="shared" si="1"/>
        <v>-0.27840430911463759</v>
      </c>
      <c r="E10" s="5">
        <f t="shared" si="2"/>
        <v>-0.16609175553670152</v>
      </c>
      <c r="F10" s="5">
        <f t="shared" si="3"/>
        <v>-11.169135068435528</v>
      </c>
      <c r="G10" s="5">
        <f t="shared" si="4"/>
        <v>1.8632482634961698E-8</v>
      </c>
      <c r="H10" s="5">
        <f t="shared" si="5"/>
        <v>3.7528900000340223E-3</v>
      </c>
      <c r="I10" s="5">
        <f t="shared" si="6"/>
        <v>-4.2623274021656338E-13</v>
      </c>
      <c r="J10" s="17">
        <f t="shared" si="7"/>
        <v>-1.7956411509095177E-5</v>
      </c>
      <c r="K10" s="14">
        <f t="shared" si="8"/>
        <v>-50.052647333311818</v>
      </c>
      <c r="L10" s="5">
        <f t="shared" si="9"/>
        <v>-89.819909426601015</v>
      </c>
      <c r="M10" s="5">
        <f t="shared" si="10"/>
        <v>0.11932078137257275</v>
      </c>
      <c r="N10" s="5">
        <f t="shared" si="11"/>
        <v>9.4753165802683554</v>
      </c>
      <c r="O10" s="5">
        <f t="shared" si="12"/>
        <v>-1.2573868148610486E-5</v>
      </c>
      <c r="P10" s="17">
        <f t="shared" si="13"/>
        <v>-9.7491066856899761E-2</v>
      </c>
      <c r="Q10" s="5">
        <f t="shared" si="22"/>
        <v>-2.0843900322962698E-4</v>
      </c>
      <c r="R10" s="5">
        <f t="shared" si="23"/>
        <v>-0.39693393869951704</v>
      </c>
      <c r="S10" s="14">
        <f t="shared" si="14"/>
        <v>1.687362307627383E-3</v>
      </c>
      <c r="T10" s="5">
        <f t="shared" si="15"/>
        <v>1.1293292771845249</v>
      </c>
      <c r="U10" s="5">
        <f t="shared" si="16"/>
        <v>-5.5999436168259551E-4</v>
      </c>
      <c r="V10" s="17">
        <f t="shared" si="17"/>
        <v>-1.1294758847577491</v>
      </c>
      <c r="W10" s="14">
        <v>0</v>
      </c>
      <c r="X10" s="17">
        <f t="shared" si="18"/>
        <v>-0.11276712756613627</v>
      </c>
      <c r="Y10" s="14">
        <f t="shared" si="24"/>
        <v>-9.6900611538725013E-7</v>
      </c>
      <c r="Z10" s="17">
        <f t="shared" si="25"/>
        <v>-2.7064108603007456E-2</v>
      </c>
      <c r="AA10" s="5">
        <f t="shared" si="19"/>
        <v>26.553450661724373</v>
      </c>
      <c r="AB10" s="5">
        <f t="shared" si="20"/>
        <v>87.674690927263796</v>
      </c>
      <c r="AC10" s="5">
        <f t="shared" si="26"/>
        <v>26.553438087856225</v>
      </c>
      <c r="AD10" s="6">
        <f t="shared" si="27"/>
        <v>87.577199860406893</v>
      </c>
    </row>
    <row r="11" spans="1:34" x14ac:dyDescent="0.2">
      <c r="A11" s="4">
        <v>1.8</v>
      </c>
      <c r="B11" s="21">
        <f t="shared" si="21"/>
        <v>630.95734448019368</v>
      </c>
      <c r="C11" s="14">
        <f t="shared" si="0"/>
        <v>1.6251358196005971E-4</v>
      </c>
      <c r="D11" s="5">
        <f t="shared" si="1"/>
        <v>-0.35048864613380692</v>
      </c>
      <c r="E11" s="5">
        <f t="shared" si="2"/>
        <v>-0.26037270452290073</v>
      </c>
      <c r="F11" s="5">
        <f t="shared" si="3"/>
        <v>-13.959063933661701</v>
      </c>
      <c r="G11" s="5">
        <f t="shared" si="4"/>
        <v>2.9530493882040755E-8</v>
      </c>
      <c r="H11" s="5">
        <f t="shared" si="5"/>
        <v>4.7246085847591325E-3</v>
      </c>
      <c r="I11" s="5">
        <f t="shared" si="6"/>
        <v>-6.7502922658732724E-13</v>
      </c>
      <c r="J11" s="17">
        <f t="shared" si="7"/>
        <v>-2.2605782753432751E-5</v>
      </c>
      <c r="K11" s="14">
        <f t="shared" si="8"/>
        <v>-52.052631499082281</v>
      </c>
      <c r="L11" s="5">
        <f t="shared" si="9"/>
        <v>-89.856948798888141</v>
      </c>
      <c r="M11" s="5">
        <f t="shared" si="10"/>
        <v>0.18762079643449964</v>
      </c>
      <c r="N11" s="5">
        <f t="shared" si="11"/>
        <v>11.866054654130481</v>
      </c>
      <c r="O11" s="5">
        <f t="shared" si="12"/>
        <v>-1.9928221158641503E-5</v>
      </c>
      <c r="P11" s="17">
        <f t="shared" si="13"/>
        <v>-0.12273391220972227</v>
      </c>
      <c r="Q11" s="5">
        <f t="shared" si="22"/>
        <v>-3.3034892060042185E-4</v>
      </c>
      <c r="R11" s="5">
        <f t="shared" si="23"/>
        <v>-0.49970554646103144</v>
      </c>
      <c r="S11" s="14">
        <f t="shared" si="14"/>
        <v>2.6739852561500342E-3</v>
      </c>
      <c r="T11" s="5">
        <f t="shared" si="15"/>
        <v>1.4216336592600793</v>
      </c>
      <c r="U11" s="5">
        <f t="shared" si="16"/>
        <v>-8.8756563774571885E-4</v>
      </c>
      <c r="V11" s="17">
        <f t="shared" si="17"/>
        <v>-1.4219261355703661</v>
      </c>
      <c r="W11" s="14">
        <v>0</v>
      </c>
      <c r="X11" s="17">
        <f t="shared" si="18"/>
        <v>-0.14196540250804357</v>
      </c>
      <c r="Y11" s="14">
        <f t="shared" si="24"/>
        <v>-1.5357710945554844E-6</v>
      </c>
      <c r="Z11" s="17">
        <f t="shared" si="25"/>
        <v>-3.4071692585736599E-2</v>
      </c>
      <c r="AA11" s="5">
        <f t="shared" si="19"/>
        <v>24.528082121653341</v>
      </c>
      <c r="AB11" s="5">
        <f t="shared" si="20"/>
        <v>87.028220160383754</v>
      </c>
      <c r="AC11" s="5">
        <f t="shared" si="26"/>
        <v>24.528062193432181</v>
      </c>
      <c r="AD11" s="6">
        <f t="shared" si="27"/>
        <v>86.905486248174029</v>
      </c>
    </row>
    <row r="12" spans="1:34" x14ac:dyDescent="0.2">
      <c r="A12" s="4">
        <v>1.9</v>
      </c>
      <c r="B12" s="21">
        <f t="shared" si="21"/>
        <v>794.32823472428197</v>
      </c>
      <c r="C12" s="14">
        <f t="shared" si="0"/>
        <v>2.5756385115629729E-4</v>
      </c>
      <c r="D12" s="5">
        <f t="shared" si="1"/>
        <v>-0.44123584414851735</v>
      </c>
      <c r="E12" s="5">
        <f t="shared" si="2"/>
        <v>-0.40572784609893164</v>
      </c>
      <c r="F12" s="5">
        <f t="shared" si="3"/>
        <v>-17.376475013845923</v>
      </c>
      <c r="G12" s="5">
        <f t="shared" si="4"/>
        <v>4.6802678778877118E-8</v>
      </c>
      <c r="H12" s="5">
        <f t="shared" si="5"/>
        <v>5.9479298002490417E-3</v>
      </c>
      <c r="I12" s="5">
        <f t="shared" si="6"/>
        <v>-1.0723321428073214E-12</v>
      </c>
      <c r="J12" s="17">
        <f t="shared" si="7"/>
        <v>-2.8458994361793942E-5</v>
      </c>
      <c r="K12" s="14">
        <f t="shared" si="8"/>
        <v>-54.052621508329167</v>
      </c>
      <c r="L12" s="5">
        <f t="shared" si="9"/>
        <v>-89.886370304812232</v>
      </c>
      <c r="M12" s="5">
        <f t="shared" si="10"/>
        <v>0.29371575007134887</v>
      </c>
      <c r="N12" s="5">
        <f t="shared" si="11"/>
        <v>14.816436086170279</v>
      </c>
      <c r="O12" s="5">
        <f t="shared" si="12"/>
        <v>-3.1584059667781994E-5</v>
      </c>
      <c r="P12" s="17">
        <f t="shared" si="13"/>
        <v>-0.15451270273961451</v>
      </c>
      <c r="Q12" s="5">
        <f t="shared" si="22"/>
        <v>-5.2355610920028282E-4</v>
      </c>
      <c r="R12" s="5">
        <f t="shared" si="23"/>
        <v>-0.62908268187008598</v>
      </c>
      <c r="S12" s="14">
        <f t="shared" si="14"/>
        <v>4.2372182709462768E-3</v>
      </c>
      <c r="T12" s="5">
        <f t="shared" si="15"/>
        <v>1.7895159935178246</v>
      </c>
      <c r="U12" s="5">
        <f t="shared" si="16"/>
        <v>-1.4067830887921967E-3</v>
      </c>
      <c r="V12" s="17">
        <f t="shared" si="17"/>
        <v>-1.7900994205837941</v>
      </c>
      <c r="W12" s="14">
        <v>0</v>
      </c>
      <c r="X12" s="17">
        <f t="shared" si="18"/>
        <v>-0.17872385281296346</v>
      </c>
      <c r="Y12" s="14">
        <f t="shared" si="24"/>
        <v>-2.4340329028339434E-6</v>
      </c>
      <c r="Z12" s="17">
        <f t="shared" si="25"/>
        <v>-4.2893716661751957E-2</v>
      </c>
      <c r="AA12" s="5">
        <f t="shared" si="19"/>
        <v>22.489776902121601</v>
      </c>
      <c r="AB12" s="5">
        <f t="shared" si="20"/>
        <v>86.266990715758723</v>
      </c>
      <c r="AC12" s="5">
        <f t="shared" si="26"/>
        <v>22.489745318061935</v>
      </c>
      <c r="AD12" s="6">
        <f t="shared" si="27"/>
        <v>86.112478013019114</v>
      </c>
    </row>
    <row r="13" spans="1:34" x14ac:dyDescent="0.2">
      <c r="A13" s="4">
        <v>2</v>
      </c>
      <c r="B13" s="20">
        <f t="shared" si="21"/>
        <v>1000</v>
      </c>
      <c r="C13" s="14">
        <f t="shared" si="0"/>
        <v>4.0820411464408493E-4</v>
      </c>
      <c r="D13" s="5">
        <f t="shared" si="1"/>
        <v>-0.55547659423237339</v>
      </c>
      <c r="E13" s="5">
        <f t="shared" si="2"/>
        <v>-0.626575969043903</v>
      </c>
      <c r="F13" s="5">
        <f t="shared" si="3"/>
        <v>-21.502244008640204</v>
      </c>
      <c r="G13" s="5">
        <f t="shared" si="4"/>
        <v>7.4177246818707195E-8</v>
      </c>
      <c r="H13" s="5">
        <f t="shared" si="5"/>
        <v>7.4879999573684635E-3</v>
      </c>
      <c r="I13" s="5">
        <f t="shared" si="6"/>
        <v>-1.6972163411339511E-12</v>
      </c>
      <c r="J13" s="17">
        <f t="shared" si="7"/>
        <v>-3.5827751196167574E-5</v>
      </c>
      <c r="K13" s="14">
        <f t="shared" si="8"/>
        <v>-56.052615204578267</v>
      </c>
      <c r="L13" s="5">
        <f t="shared" si="9"/>
        <v>-89.909740681138999</v>
      </c>
      <c r="M13" s="5">
        <f t="shared" si="10"/>
        <v>0.45672963220305757</v>
      </c>
      <c r="N13" s="5">
        <f t="shared" si="11"/>
        <v>18.418213340213448</v>
      </c>
      <c r="O13" s="5">
        <f t="shared" si="12"/>
        <v>-5.0057254695349479E-5</v>
      </c>
      <c r="P13" s="17">
        <f t="shared" si="13"/>
        <v>-0.19451969211969916</v>
      </c>
      <c r="Q13" s="5">
        <f t="shared" si="22"/>
        <v>-8.2975126166051334E-4</v>
      </c>
      <c r="R13" s="5">
        <f t="shared" si="23"/>
        <v>-0.79194956183949483</v>
      </c>
      <c r="S13" s="14">
        <f t="shared" si="14"/>
        <v>6.71362361830117E-3</v>
      </c>
      <c r="T13" s="5">
        <f t="shared" si="15"/>
        <v>2.2524389227607688</v>
      </c>
      <c r="U13" s="5">
        <f t="shared" si="16"/>
        <v>-2.2298177575125005E-3</v>
      </c>
      <c r="V13" s="17">
        <f t="shared" si="17"/>
        <v>-2.2536025706894147</v>
      </c>
      <c r="W13" s="14">
        <v>0</v>
      </c>
      <c r="X13" s="17">
        <f t="shared" si="18"/>
        <v>-0.22500000000000001</v>
      </c>
      <c r="Y13" s="14">
        <f t="shared" si="24"/>
        <v>-3.8576815424639383E-6</v>
      </c>
      <c r="Z13" s="17">
        <f t="shared" si="25"/>
        <v>-5.3999984011249391E-2</v>
      </c>
      <c r="AA13" s="5">
        <f t="shared" si="19"/>
        <v>20.433445384574199</v>
      </c>
      <c r="AB13" s="5">
        <f t="shared" si="20"/>
        <v>85.386091034628663</v>
      </c>
      <c r="AC13" s="5">
        <f t="shared" si="26"/>
        <v>20.433395327319502</v>
      </c>
      <c r="AD13" s="6">
        <f t="shared" si="27"/>
        <v>85.191571342508965</v>
      </c>
    </row>
    <row r="14" spans="1:34" x14ac:dyDescent="0.2">
      <c r="A14" s="4">
        <v>2.1</v>
      </c>
      <c r="B14" s="21">
        <f t="shared" si="21"/>
        <v>1258.9254117941678</v>
      </c>
      <c r="C14" s="14">
        <f t="shared" si="0"/>
        <v>6.4694214015128529E-4</v>
      </c>
      <c r="D14" s="5">
        <f t="shared" si="1"/>
        <v>-0.69929078613213869</v>
      </c>
      <c r="E14" s="5">
        <f t="shared" si="2"/>
        <v>-0.95510088344353861</v>
      </c>
      <c r="F14" s="5">
        <f t="shared" si="3"/>
        <v>-26.379611928685385</v>
      </c>
      <c r="G14" s="5">
        <f t="shared" si="4"/>
        <v>1.1756301408929766E-7</v>
      </c>
      <c r="H14" s="5">
        <f t="shared" si="5"/>
        <v>9.4268333984536302E-3</v>
      </c>
      <c r="I14" s="5">
        <f t="shared" si="6"/>
        <v>-2.692402286617195E-12</v>
      </c>
      <c r="J14" s="17">
        <f t="shared" si="7"/>
        <v>-4.5104466428290814E-5</v>
      </c>
      <c r="K14" s="14">
        <f t="shared" si="8"/>
        <v>-58.052611227175646</v>
      </c>
      <c r="L14" s="5">
        <f t="shared" si="9"/>
        <v>-89.928304452694718</v>
      </c>
      <c r="M14" s="5">
        <f t="shared" si="10"/>
        <v>0.70317400380952244</v>
      </c>
      <c r="N14" s="5">
        <f t="shared" si="11"/>
        <v>22.74505231236537</v>
      </c>
      <c r="O14" s="5">
        <f t="shared" si="12"/>
        <v>-7.9335134781756081E-5</v>
      </c>
      <c r="P14" s="17">
        <f t="shared" si="13"/>
        <v>-0.24488523320577141</v>
      </c>
      <c r="Q14" s="5">
        <f t="shared" si="22"/>
        <v>-1.3149936580596211E-3</v>
      </c>
      <c r="R14" s="5">
        <f t="shared" si="23"/>
        <v>-0.99696829552674737</v>
      </c>
      <c r="S14" s="14">
        <f t="shared" si="14"/>
        <v>1.0635571396248425E-2</v>
      </c>
      <c r="T14" s="5">
        <f t="shared" si="15"/>
        <v>2.8347989096976138</v>
      </c>
      <c r="U14" s="5">
        <f t="shared" si="16"/>
        <v>-3.5345672502005944E-3</v>
      </c>
      <c r="V14" s="17">
        <f t="shared" si="17"/>
        <v>-2.8371192958552851</v>
      </c>
      <c r="W14" s="14">
        <v>0</v>
      </c>
      <c r="X14" s="17">
        <f t="shared" si="18"/>
        <v>-0.28325821765368775</v>
      </c>
      <c r="Y14" s="14">
        <f t="shared" si="24"/>
        <v>-6.1140116286050641E-6</v>
      </c>
      <c r="Z14" s="17">
        <f t="shared" si="25"/>
        <v>-6.7981940335143445E-2</v>
      </c>
      <c r="AA14" s="5">
        <f t="shared" si="19"/>
        <v>18.353737300152709</v>
      </c>
      <c r="AB14" s="5">
        <f t="shared" si="20"/>
        <v>84.396698034111907</v>
      </c>
      <c r="AC14" s="5">
        <f t="shared" si="26"/>
        <v>18.353657965017927</v>
      </c>
      <c r="AD14" s="6">
        <f t="shared" si="27"/>
        <v>84.151812800906129</v>
      </c>
    </row>
    <row r="15" spans="1:34" x14ac:dyDescent="0.2">
      <c r="A15" s="4">
        <v>2.2000000000000002</v>
      </c>
      <c r="B15" s="21">
        <f t="shared" si="21"/>
        <v>1584.8931924611154</v>
      </c>
      <c r="C15" s="14">
        <f t="shared" si="0"/>
        <v>1.0252895310001351E-3</v>
      </c>
      <c r="D15" s="5">
        <f t="shared" si="1"/>
        <v>-0.88032937577587023</v>
      </c>
      <c r="E15" s="5">
        <f t="shared" si="2"/>
        <v>-1.4296716841138477</v>
      </c>
      <c r="F15" s="5">
        <f t="shared" si="3"/>
        <v>-31.979737885368042</v>
      </c>
      <c r="G15" s="5">
        <f t="shared" si="4"/>
        <v>1.8632481876503134E-7</v>
      </c>
      <c r="H15" s="5">
        <f t="shared" si="5"/>
        <v>1.1867680055429632E-2</v>
      </c>
      <c r="I15" s="5">
        <f t="shared" si="6"/>
        <v>-4.2661847120327902E-12</v>
      </c>
      <c r="J15" s="17">
        <f t="shared" si="7"/>
        <v>-5.6783158971985385E-5</v>
      </c>
      <c r="K15" s="14">
        <f t="shared" si="8"/>
        <v>-60.052608717602368</v>
      </c>
      <c r="L15" s="5">
        <f t="shared" si="9"/>
        <v>-89.943050191501911</v>
      </c>
      <c r="M15" s="5">
        <f t="shared" si="10"/>
        <v>1.0671952770572524</v>
      </c>
      <c r="N15" s="5">
        <f t="shared" si="11"/>
        <v>27.824348954823495</v>
      </c>
      <c r="O15" s="5">
        <f t="shared" si="12"/>
        <v>-1.2573704331781928E-4</v>
      </c>
      <c r="P15" s="17">
        <f t="shared" si="13"/>
        <v>-0.30829114507831468</v>
      </c>
      <c r="Q15" s="5">
        <f t="shared" si="22"/>
        <v>-2.0839399890951221E-3</v>
      </c>
      <c r="R15" s="5">
        <f t="shared" si="23"/>
        <v>-1.2550346452872989</v>
      </c>
      <c r="S15" s="14">
        <f t="shared" si="14"/>
        <v>1.6844193916419007E-2</v>
      </c>
      <c r="T15" s="5">
        <f t="shared" si="15"/>
        <v>3.5670994346331484</v>
      </c>
      <c r="U15" s="5">
        <f t="shared" si="16"/>
        <v>-5.6032773011511407E-3</v>
      </c>
      <c r="V15" s="17">
        <f t="shared" si="17"/>
        <v>-3.5717248037863203</v>
      </c>
      <c r="W15" s="14">
        <v>0</v>
      </c>
      <c r="X15" s="17">
        <f t="shared" si="18"/>
        <v>-0.35660096830375099</v>
      </c>
      <c r="Y15" s="14">
        <f t="shared" si="24"/>
        <v>-9.6900514205164675E-6</v>
      </c>
      <c r="Z15" s="17">
        <f t="shared" si="25"/>
        <v>-8.5584168740588856E-2</v>
      </c>
      <c r="AA15" s="5">
        <f t="shared" si="19"/>
        <v>16.246936088552879</v>
      </c>
      <c r="AB15" s="5">
        <f t="shared" si="20"/>
        <v>83.331197247589316</v>
      </c>
      <c r="AC15" s="5">
        <f t="shared" si="26"/>
        <v>16.246810351509559</v>
      </c>
      <c r="AD15" s="6">
        <f t="shared" si="27"/>
        <v>83.022906102511001</v>
      </c>
    </row>
    <row r="16" spans="1:34" x14ac:dyDescent="0.2">
      <c r="A16" s="7">
        <v>2.2999999999999998</v>
      </c>
      <c r="B16" s="22">
        <f t="shared" si="21"/>
        <v>1995.2623149688802</v>
      </c>
      <c r="C16" s="14">
        <f t="shared" si="0"/>
        <v>1.6248622268380569E-3</v>
      </c>
      <c r="D16" s="8">
        <f t="shared" si="1"/>
        <v>-1.1082180196850491</v>
      </c>
      <c r="E16" s="5">
        <f t="shared" si="2"/>
        <v>-2.089427471956935</v>
      </c>
      <c r="F16" s="8">
        <f t="shared" si="3"/>
        <v>-38.168940496349698</v>
      </c>
      <c r="G16" s="5">
        <f t="shared" si="4"/>
        <v>2.9530493430247627E-7</v>
      </c>
      <c r="H16" s="5">
        <f t="shared" si="5"/>
        <v>1.4940523875852657E-2</v>
      </c>
      <c r="I16" s="5">
        <f t="shared" si="6"/>
        <v>-6.7618641954742812E-12</v>
      </c>
      <c r="J16" s="17">
        <f t="shared" si="7"/>
        <v>-7.1485761791766615E-5</v>
      </c>
      <c r="K16" s="14">
        <f t="shared" si="8"/>
        <v>-62.052607134167928</v>
      </c>
      <c r="L16" s="5">
        <f t="shared" si="9"/>
        <v>-89.954763153650063</v>
      </c>
      <c r="M16" s="5">
        <f t="shared" si="10"/>
        <v>1.588087564739906</v>
      </c>
      <c r="N16" s="8">
        <f t="shared" si="11"/>
        <v>33.601651163761034</v>
      </c>
      <c r="O16" s="5">
        <f t="shared" si="12"/>
        <v>-1.9927809674328463E-4</v>
      </c>
      <c r="P16" s="17">
        <f t="shared" si="13"/>
        <v>-0.38811336605324231</v>
      </c>
      <c r="Q16" s="5">
        <f t="shared" si="22"/>
        <v>-3.302358981219515E-3</v>
      </c>
      <c r="R16" s="5">
        <f t="shared" si="23"/>
        <v>-1.5798472457547021</v>
      </c>
      <c r="S16" s="14">
        <f t="shared" si="14"/>
        <v>2.6666052486810102E-2</v>
      </c>
      <c r="T16" s="5">
        <f t="shared" si="15"/>
        <v>4.4873257931958337</v>
      </c>
      <c r="U16" s="5">
        <f t="shared" si="16"/>
        <v>-8.8840210091079772E-3</v>
      </c>
      <c r="V16" s="17">
        <f t="shared" si="17"/>
        <v>-4.4965407068687204</v>
      </c>
      <c r="W16" s="14">
        <v>0</v>
      </c>
      <c r="X16" s="17">
        <f t="shared" si="18"/>
        <v>-0.44893402086799805</v>
      </c>
      <c r="Y16" s="14">
        <f t="shared" si="24"/>
        <v>-1.5357686507960409E-5</v>
      </c>
      <c r="Z16" s="17">
        <f t="shared" si="25"/>
        <v>-0.10774403800536084</v>
      </c>
      <c r="AA16" s="5">
        <f t="shared" si="19"/>
        <v>14.113990881735566</v>
      </c>
      <c r="AB16" s="5">
        <f t="shared" si="20"/>
        <v>82.238858313889338</v>
      </c>
      <c r="AC16" s="5">
        <f t="shared" si="26"/>
        <v>14.113791603638822</v>
      </c>
      <c r="AD16" s="6">
        <f t="shared" si="27"/>
        <v>81.850744947836091</v>
      </c>
    </row>
    <row r="17" spans="1:30" x14ac:dyDescent="0.2">
      <c r="A17" s="4">
        <v>2.4</v>
      </c>
      <c r="B17" s="21">
        <f t="shared" si="21"/>
        <v>2511.8864315095807</v>
      </c>
      <c r="C17" s="14">
        <f t="shared" si="0"/>
        <v>2.5749513878419714E-3</v>
      </c>
      <c r="D17" s="5">
        <f t="shared" si="1"/>
        <v>-1.3950620857510938</v>
      </c>
      <c r="E17" s="5">
        <f t="shared" si="2"/>
        <v>-2.9650126620079078</v>
      </c>
      <c r="F17" s="5">
        <f t="shared" si="3"/>
        <v>-44.699697471332065</v>
      </c>
      <c r="G17" s="5">
        <f t="shared" si="4"/>
        <v>4.6802677065427665E-7</v>
      </c>
      <c r="H17" s="5">
        <f t="shared" si="5"/>
        <v>1.880900492347946E-2</v>
      </c>
      <c r="I17" s="5">
        <f t="shared" si="6"/>
        <v>-1.0715606808346737E-11</v>
      </c>
      <c r="J17" s="17">
        <f t="shared" si="7"/>
        <v>-8.9995242101092207E-5</v>
      </c>
      <c r="K17" s="14">
        <f t="shared" si="8"/>
        <v>-64.052606135088041</v>
      </c>
      <c r="L17" s="5">
        <f t="shared" si="9"/>
        <v>-89.964067092938933</v>
      </c>
      <c r="M17" s="5">
        <f t="shared" si="10"/>
        <v>2.3037211057376528</v>
      </c>
      <c r="N17" s="5">
        <f t="shared" si="11"/>
        <v>39.911819097965861</v>
      </c>
      <c r="O17" s="5">
        <f t="shared" si="12"/>
        <v>-3.1583026087561421E-4</v>
      </c>
      <c r="P17" s="17">
        <f t="shared" si="13"/>
        <v>-0.48860140824117848</v>
      </c>
      <c r="Q17" s="5">
        <f t="shared" si="22"/>
        <v>-5.2327230211146047E-3</v>
      </c>
      <c r="R17" s="5">
        <f t="shared" si="23"/>
        <v>-1.9886151489575756</v>
      </c>
      <c r="S17" s="14">
        <f t="shared" si="14"/>
        <v>4.2187291359481863E-2</v>
      </c>
      <c r="T17" s="5">
        <f t="shared" si="15"/>
        <v>5.6424754788682518</v>
      </c>
      <c r="U17" s="5">
        <f t="shared" si="16"/>
        <v>-1.4088805274591436E-2</v>
      </c>
      <c r="V17" s="17">
        <f t="shared" si="17"/>
        <v>-5.6608178288352224</v>
      </c>
      <c r="W17" s="14">
        <v>0</v>
      </c>
      <c r="X17" s="17">
        <f t="shared" si="18"/>
        <v>-0.5651744470896557</v>
      </c>
      <c r="Y17" s="14">
        <f t="shared" si="24"/>
        <v>-2.4340267629658012E-5</v>
      </c>
      <c r="Z17" s="17">
        <f t="shared" si="25"/>
        <v>-0.13564161389761448</v>
      </c>
      <c r="AA17" s="5">
        <f t="shared" si="19"/>
        <v>11.963367601627283</v>
      </c>
      <c r="AB17" s="5">
        <f t="shared" si="20"/>
        <v>81.163937897713311</v>
      </c>
      <c r="AC17" s="5">
        <f t="shared" si="26"/>
        <v>11.963051771366407</v>
      </c>
      <c r="AD17" s="6">
        <f t="shared" si="27"/>
        <v>80.67533648947213</v>
      </c>
    </row>
    <row r="18" spans="1:30" x14ac:dyDescent="0.2">
      <c r="A18" s="4">
        <v>2.5</v>
      </c>
      <c r="B18" s="21">
        <f t="shared" si="21"/>
        <v>3162.2776601683827</v>
      </c>
      <c r="C18" s="14">
        <f t="shared" si="0"/>
        <v>4.080315608445427E-3</v>
      </c>
      <c r="D18" s="5">
        <f t="shared" si="1"/>
        <v>-1.7560761795781892</v>
      </c>
      <c r="E18" s="5">
        <f t="shared" si="2"/>
        <v>-4.0688255620338083</v>
      </c>
      <c r="F18" s="5">
        <f t="shared" si="3"/>
        <v>-51.246030776517316</v>
      </c>
      <c r="G18" s="5">
        <f t="shared" si="4"/>
        <v>7.4177241846565153E-7</v>
      </c>
      <c r="H18" s="5">
        <f t="shared" si="5"/>
        <v>2.3679133771213428E-2</v>
      </c>
      <c r="I18" s="5">
        <f t="shared" si="6"/>
        <v>-1.6981806686019987E-11</v>
      </c>
      <c r="J18" s="17">
        <f t="shared" si="7"/>
        <v>-1.1329729722157886E-4</v>
      </c>
      <c r="K18" s="14">
        <f t="shared" si="8"/>
        <v>-66.052605504711138</v>
      </c>
      <c r="L18" s="5">
        <f t="shared" si="9"/>
        <v>-89.971457475984707</v>
      </c>
      <c r="M18" s="5">
        <f t="shared" si="10"/>
        <v>3.2406602609192579</v>
      </c>
      <c r="N18" s="5">
        <f t="shared" si="11"/>
        <v>46.480615277953035</v>
      </c>
      <c r="O18" s="5">
        <f t="shared" si="12"/>
        <v>-5.0054658540699451E-4</v>
      </c>
      <c r="P18" s="17">
        <f t="shared" si="13"/>
        <v>-0.61510400826391953</v>
      </c>
      <c r="Q18" s="5">
        <f t="shared" si="22"/>
        <v>-8.2903873858568566E-3</v>
      </c>
      <c r="R18" s="5">
        <f t="shared" si="23"/>
        <v>-2.5029305556209982</v>
      </c>
      <c r="S18" s="14">
        <f t="shared" si="14"/>
        <v>6.6673731674115236E-2</v>
      </c>
      <c r="T18" s="5">
        <f t="shared" si="15"/>
        <v>7.0900957812013239</v>
      </c>
      <c r="U18" s="5">
        <f t="shared" si="16"/>
        <v>-2.2350717241768472E-2</v>
      </c>
      <c r="V18" s="17">
        <f t="shared" si="17"/>
        <v>-7.1265558580485058</v>
      </c>
      <c r="W18" s="14">
        <v>0</v>
      </c>
      <c r="X18" s="17">
        <f t="shared" si="18"/>
        <v>-0.71151247353788616</v>
      </c>
      <c r="Y18" s="14">
        <f t="shared" si="24"/>
        <v>-3.8576661238921431E-5</v>
      </c>
      <c r="Z18" s="17">
        <f t="shared" si="25"/>
        <v>-0.1707624880428292</v>
      </c>
      <c r="AA18" s="5">
        <f t="shared" si="19"/>
        <v>9.8111527527089724</v>
      </c>
      <c r="AB18" s="5">
        <f t="shared" si="20"/>
        <v>80.108951088297943</v>
      </c>
      <c r="AC18" s="5">
        <f t="shared" si="26"/>
        <v>9.8106522061235655</v>
      </c>
      <c r="AD18" s="6">
        <f t="shared" si="27"/>
        <v>79.49384708003403</v>
      </c>
    </row>
    <row r="19" spans="1:30" x14ac:dyDescent="0.2">
      <c r="A19" s="4">
        <v>2.6</v>
      </c>
      <c r="B19" s="21">
        <f t="shared" si="21"/>
        <v>3981.071705534976</v>
      </c>
      <c r="C19" s="14">
        <f t="shared" si="0"/>
        <v>6.4650887915367657E-3</v>
      </c>
      <c r="D19" s="5">
        <f t="shared" si="1"/>
        <v>-2.2103642441005733</v>
      </c>
      <c r="E19" s="5">
        <f t="shared" si="2"/>
        <v>-5.3904745459145023</v>
      </c>
      <c r="F19" s="5">
        <f t="shared" si="3"/>
        <v>-57.478159545488481</v>
      </c>
      <c r="G19" s="5">
        <f t="shared" si="4"/>
        <v>1.1756299979283728E-6</v>
      </c>
      <c r="H19" s="5">
        <f t="shared" si="5"/>
        <v>2.981026224117822E-2</v>
      </c>
      <c r="I19" s="5">
        <f t="shared" si="6"/>
        <v>-2.6914379591543941E-11</v>
      </c>
      <c r="J19" s="17">
        <f t="shared" si="7"/>
        <v>-1.4263284655973357E-4</v>
      </c>
      <c r="K19" s="14">
        <f t="shared" si="8"/>
        <v>-68.052605106970162</v>
      </c>
      <c r="L19" s="5">
        <f t="shared" si="9"/>
        <v>-89.977327866592233</v>
      </c>
      <c r="M19" s="5">
        <f t="shared" si="10"/>
        <v>4.4052580947244717</v>
      </c>
      <c r="N19" s="5">
        <f t="shared" si="11"/>
        <v>52.972739753312098</v>
      </c>
      <c r="O19" s="5">
        <f t="shared" si="12"/>
        <v>-7.9328613857381088E-4</v>
      </c>
      <c r="P19" s="17">
        <f t="shared" si="13"/>
        <v>-0.77435266774545974</v>
      </c>
      <c r="Q19" s="5">
        <f t="shared" si="22"/>
        <v>-1.3132053444384607E-2</v>
      </c>
      <c r="R19" s="5">
        <f t="shared" si="23"/>
        <v>-3.1498317638413829</v>
      </c>
      <c r="S19" s="14">
        <f t="shared" si="14"/>
        <v>0.10520152134001419</v>
      </c>
      <c r="T19" s="5">
        <f t="shared" si="15"/>
        <v>8.8994764017017314</v>
      </c>
      <c r="U19" s="5">
        <f t="shared" si="16"/>
        <v>-3.5477067561054565E-2</v>
      </c>
      <c r="V19" s="17">
        <f t="shared" si="17"/>
        <v>-8.9717924953812638</v>
      </c>
      <c r="W19" s="14">
        <v>0</v>
      </c>
      <c r="X19" s="17">
        <f t="shared" si="18"/>
        <v>-0.89574113374536957</v>
      </c>
      <c r="Y19" s="14">
        <f t="shared" si="24"/>
        <v>-6.1139728964450081E-5</v>
      </c>
      <c r="Z19" s="17">
        <f t="shared" si="25"/>
        <v>-0.21497686328490972</v>
      </c>
      <c r="AA19" s="5">
        <f t="shared" si="19"/>
        <v>7.6770244176255753</v>
      </c>
      <c r="AB19" s="5">
        <f t="shared" si="20"/>
        <v>79.003689871974245</v>
      </c>
      <c r="AC19" s="5">
        <f t="shared" si="26"/>
        <v>7.6762311314870013</v>
      </c>
      <c r="AD19" s="6">
        <f t="shared" si="27"/>
        <v>78.229337204228784</v>
      </c>
    </row>
    <row r="20" spans="1:30" x14ac:dyDescent="0.2">
      <c r="A20" s="4">
        <v>2.7</v>
      </c>
      <c r="B20" s="21">
        <f t="shared" si="21"/>
        <v>5011.8723362727269</v>
      </c>
      <c r="C20" s="14">
        <f t="shared" si="0"/>
        <v>1.024201922724958E-2</v>
      </c>
      <c r="D20" s="5">
        <f t="shared" si="1"/>
        <v>-2.781876953791397</v>
      </c>
      <c r="E20" s="5">
        <f t="shared" si="2"/>
        <v>-6.9006094751583005</v>
      </c>
      <c r="F20" s="5">
        <f t="shared" si="3"/>
        <v>-63.139214368280854</v>
      </c>
      <c r="G20" s="5">
        <f t="shared" si="4"/>
        <v>1.8632478322806924E-6</v>
      </c>
      <c r="H20" s="5">
        <f t="shared" si="5"/>
        <v>3.7528894687019067E-2</v>
      </c>
      <c r="I20" s="5">
        <f t="shared" si="6"/>
        <v>-4.2656061155622845E-11</v>
      </c>
      <c r="J20" s="17">
        <f t="shared" si="7"/>
        <v>-1.7956411509036988E-4</v>
      </c>
      <c r="K20" s="14">
        <f t="shared" si="8"/>
        <v>-70.052604856012536</v>
      </c>
      <c r="L20" s="5">
        <f t="shared" si="9"/>
        <v>-89.981990883945883</v>
      </c>
      <c r="M20" s="5">
        <f t="shared" si="10"/>
        <v>5.7812936761466291</v>
      </c>
      <c r="N20" s="5">
        <f t="shared" si="11"/>
        <v>59.071560816397152</v>
      </c>
      <c r="O20" s="5">
        <f t="shared" si="12"/>
        <v>-1.2572066478216777E-3</v>
      </c>
      <c r="P20" s="17">
        <f t="shared" si="13"/>
        <v>-0.97481753886713773</v>
      </c>
      <c r="Q20" s="5">
        <f t="shared" si="22"/>
        <v>-2.0794537616627883E-2</v>
      </c>
      <c r="R20" s="5">
        <f t="shared" si="23"/>
        <v>-3.9630705996733835</v>
      </c>
      <c r="S20" s="14">
        <f t="shared" si="14"/>
        <v>0.1655723436146086</v>
      </c>
      <c r="T20" s="5">
        <f t="shared" si="15"/>
        <v>11.151768288446663</v>
      </c>
      <c r="U20" s="5">
        <f t="shared" si="16"/>
        <v>-5.6360525763615887E-2</v>
      </c>
      <c r="V20" s="17">
        <f t="shared" si="17"/>
        <v>-11.294714476953018</v>
      </c>
      <c r="W20" s="14">
        <v>0</v>
      </c>
      <c r="X20" s="17">
        <f t="shared" si="18"/>
        <v>-1.1276712756613636</v>
      </c>
      <c r="Y20" s="14">
        <f t="shared" si="24"/>
        <v>-9.6899541286150974E-5</v>
      </c>
      <c r="Z20" s="17">
        <f t="shared" si="25"/>
        <v>-0.27063909332015651</v>
      </c>
      <c r="AA20" s="5">
        <f t="shared" si="19"/>
        <v>5.5784920588868401</v>
      </c>
      <c r="AB20" s="5">
        <f t="shared" si="20"/>
        <v>77.701500783789669</v>
      </c>
      <c r="AC20" s="5">
        <f t="shared" si="26"/>
        <v>5.5772348522390187</v>
      </c>
      <c r="AD20" s="6">
        <f t="shared" si="27"/>
        <v>76.726683244922526</v>
      </c>
    </row>
    <row r="21" spans="1:30" x14ac:dyDescent="0.2">
      <c r="A21" s="4">
        <v>2.8</v>
      </c>
      <c r="B21" s="21">
        <f t="shared" si="21"/>
        <v>6309.5734448019321</v>
      </c>
      <c r="C21" s="14">
        <f t="shared" si="0"/>
        <v>1.6221330371167998E-2</v>
      </c>
      <c r="D21" s="5">
        <f t="shared" si="1"/>
        <v>-3.5005680555447172</v>
      </c>
      <c r="E21" s="5">
        <f t="shared" si="2"/>
        <v>-8.5604383285200516</v>
      </c>
      <c r="F21" s="5">
        <f t="shared" si="3"/>
        <v>-68.084960125089182</v>
      </c>
      <c r="G21" s="5">
        <f t="shared" si="4"/>
        <v>2.9530484360693291E-6</v>
      </c>
      <c r="H21" s="5">
        <f t="shared" si="5"/>
        <v>4.724607524612337E-2</v>
      </c>
      <c r="I21" s="5">
        <f t="shared" si="6"/>
        <v>-6.7605141370447841E-11</v>
      </c>
      <c r="J21" s="17">
        <f t="shared" si="7"/>
        <v>-2.2605782753316606E-4</v>
      </c>
      <c r="K21" s="14">
        <f t="shared" si="8"/>
        <v>-72.052604697668968</v>
      </c>
      <c r="L21" s="5">
        <f t="shared" si="9"/>
        <v>-89.98569485046194</v>
      </c>
      <c r="M21" s="5">
        <f t="shared" si="10"/>
        <v>7.3358278064477922</v>
      </c>
      <c r="N21" s="5">
        <f t="shared" si="11"/>
        <v>64.548761273412069</v>
      </c>
      <c r="O21" s="5">
        <f t="shared" si="12"/>
        <v>-1.9923696082963828E-3</v>
      </c>
      <c r="P21" s="17">
        <f t="shared" si="13"/>
        <v>-1.2271533229746168</v>
      </c>
      <c r="Q21" s="5">
        <f t="shared" si="22"/>
        <v>-3.2911131508391096E-2</v>
      </c>
      <c r="R21" s="5">
        <f t="shared" si="23"/>
        <v>-4.9845687419598743</v>
      </c>
      <c r="S21" s="14">
        <f t="shared" si="14"/>
        <v>0.25956714409122583</v>
      </c>
      <c r="T21" s="5">
        <f t="shared" si="15"/>
        <v>13.937669267292851</v>
      </c>
      <c r="U21" s="5">
        <f t="shared" si="16"/>
        <v>-8.9654387819805753E-2</v>
      </c>
      <c r="V21" s="17">
        <f t="shared" si="17"/>
        <v>-14.218735995384469</v>
      </c>
      <c r="W21" s="14">
        <v>0</v>
      </c>
      <c r="X21" s="17">
        <f t="shared" si="18"/>
        <v>-1.4196540250804348</v>
      </c>
      <c r="Y21" s="14">
        <f t="shared" si="24"/>
        <v>-1.5357442126543266E-4</v>
      </c>
      <c r="Z21" s="17">
        <f t="shared" si="25"/>
        <v>-0.34071294990980416</v>
      </c>
      <c r="AA21" s="5">
        <f t="shared" si="19"/>
        <v>3.5277055647380795</v>
      </c>
      <c r="AB21" s="5">
        <f t="shared" si="20"/>
        <v>75.998555814693091</v>
      </c>
      <c r="AC21" s="5">
        <f t="shared" si="26"/>
        <v>3.5257131951297831</v>
      </c>
      <c r="AD21" s="6">
        <f t="shared" si="27"/>
        <v>74.771402491718476</v>
      </c>
    </row>
    <row r="22" spans="1:30" x14ac:dyDescent="0.2">
      <c r="A22" s="4">
        <v>2.9</v>
      </c>
      <c r="B22" s="21">
        <f t="shared" si="21"/>
        <v>7943.2823472428208</v>
      </c>
      <c r="C22" s="14">
        <f t="shared" si="0"/>
        <v>2.568106926466E-2</v>
      </c>
      <c r="D22" s="5">
        <f t="shared" si="1"/>
        <v>-4.4037534647724117</v>
      </c>
      <c r="E22" s="5">
        <f t="shared" si="2"/>
        <v>-10.331231807623073</v>
      </c>
      <c r="F22" s="5">
        <f t="shared" si="3"/>
        <v>-72.278192890559666</v>
      </c>
      <c r="G22" s="5">
        <f t="shared" si="4"/>
        <v>4.6802654318557366E-6</v>
      </c>
      <c r="H22" s="5">
        <f t="shared" si="5"/>
        <v>5.9479276849786107E-2</v>
      </c>
      <c r="I22" s="5">
        <f t="shared" si="6"/>
        <v>-1.0714642480939659E-10</v>
      </c>
      <c r="J22" s="17">
        <f t="shared" si="7"/>
        <v>-2.8458994361562246E-4</v>
      </c>
      <c r="K22" s="14">
        <f t="shared" si="8"/>
        <v>-74.052604597760947</v>
      </c>
      <c r="L22" s="5">
        <f t="shared" si="9"/>
        <v>-89.98863701573282</v>
      </c>
      <c r="M22" s="5">
        <f t="shared" si="10"/>
        <v>9.0292674779090554</v>
      </c>
      <c r="N22" s="5">
        <f t="shared" si="11"/>
        <v>69.291118607993269</v>
      </c>
      <c r="O22" s="5">
        <f t="shared" si="12"/>
        <v>-3.1572695245799401E-3</v>
      </c>
      <c r="P22" s="17">
        <f t="shared" si="13"/>
        <v>-1.5447563696689077</v>
      </c>
      <c r="Q22" s="5">
        <f t="shared" si="22"/>
        <v>-5.2045660904162988E-2</v>
      </c>
      <c r="R22" s="5">
        <f t="shared" si="23"/>
        <v>-6.2659790782400488</v>
      </c>
      <c r="S22" s="14">
        <f t="shared" si="14"/>
        <v>0.40449308178000021</v>
      </c>
      <c r="T22" s="5">
        <f t="shared" si="15"/>
        <v>17.350425989038623</v>
      </c>
      <c r="U22" s="5">
        <f t="shared" si="16"/>
        <v>-0.14289722596361107</v>
      </c>
      <c r="V22" s="17">
        <f t="shared" si="17"/>
        <v>-17.898584147989975</v>
      </c>
      <c r="W22" s="14">
        <v>0</v>
      </c>
      <c r="X22" s="17">
        <f t="shared" si="18"/>
        <v>-1.7872385281296348</v>
      </c>
      <c r="Y22" s="14">
        <f t="shared" si="24"/>
        <v>-2.4339653776593397E-4</v>
      </c>
      <c r="Z22" s="17">
        <f t="shared" si="25"/>
        <v>-0.4289292336586128</v>
      </c>
      <c r="AA22" s="5">
        <f t="shared" si="19"/>
        <v>1.5322720711079865</v>
      </c>
      <c r="AB22" s="5">
        <f t="shared" si="20"/>
        <v>73.649424924854898</v>
      </c>
      <c r="AC22" s="5">
        <f t="shared" si="26"/>
        <v>1.5291148015834066</v>
      </c>
      <c r="AD22" s="6">
        <f t="shared" si="27"/>
        <v>72.104668555185995</v>
      </c>
    </row>
    <row r="23" spans="1:30" x14ac:dyDescent="0.2">
      <c r="A23" s="4">
        <v>3</v>
      </c>
      <c r="B23" s="20">
        <f t="shared" si="21"/>
        <v>10000</v>
      </c>
      <c r="C23" s="14">
        <f t="shared" si="0"/>
        <v>4.0631665192261752E-2</v>
      </c>
      <c r="D23" s="5">
        <f t="shared" si="1"/>
        <v>-5.5376325852167083</v>
      </c>
      <c r="E23" s="5">
        <f t="shared" si="2"/>
        <v>-12.180129567010498</v>
      </c>
      <c r="F23" s="5">
        <f t="shared" si="3"/>
        <v>-75.757105633153074</v>
      </c>
      <c r="G23" s="5">
        <f t="shared" si="4"/>
        <v>7.4177184834869198E-6</v>
      </c>
      <c r="H23" s="5">
        <f t="shared" si="5"/>
        <v>7.4879957368506972E-2</v>
      </c>
      <c r="I23" s="5">
        <f t="shared" si="6"/>
        <v>-1.6981613820676077E-10</v>
      </c>
      <c r="J23" s="17">
        <f t="shared" si="7"/>
        <v>-3.582775119570527E-4</v>
      </c>
      <c r="K23" s="14">
        <f t="shared" si="8"/>
        <v>-76.05260453472323</v>
      </c>
      <c r="L23" s="5">
        <f t="shared" si="9"/>
        <v>-89.990974060722195</v>
      </c>
      <c r="M23" s="5">
        <f t="shared" si="10"/>
        <v>10.8240789073337</v>
      </c>
      <c r="N23" s="5">
        <f t="shared" si="11"/>
        <v>73.285389882734378</v>
      </c>
      <c r="O23" s="5">
        <f t="shared" si="12"/>
        <v>-5.0028716726655161E-3</v>
      </c>
      <c r="P23" s="17">
        <f t="shared" si="13"/>
        <v>-1.944457552267379</v>
      </c>
      <c r="Q23" s="5">
        <f t="shared" si="22"/>
        <v>-8.2200208034019451E-2</v>
      </c>
      <c r="R23" s="5">
        <f t="shared" si="23"/>
        <v>-7.8701265958336517</v>
      </c>
      <c r="S23" s="14">
        <f t="shared" si="14"/>
        <v>0.62471589375774927</v>
      </c>
      <c r="T23" s="5">
        <f t="shared" si="15"/>
        <v>21.471073927769854</v>
      </c>
      <c r="U23" s="5">
        <f t="shared" si="16"/>
        <v>-0.22841267703439583</v>
      </c>
      <c r="V23" s="17">
        <f t="shared" si="17"/>
        <v>-22.527008304951703</v>
      </c>
      <c r="W23" s="14">
        <v>0</v>
      </c>
      <c r="X23" s="17">
        <f t="shared" si="18"/>
        <v>-2.25</v>
      </c>
      <c r="Y23" s="14">
        <f t="shared" si="24"/>
        <v>-3.8575119349709068E-4</v>
      </c>
      <c r="Z23" s="17">
        <f t="shared" si="25"/>
        <v>-0.53998401209295088</v>
      </c>
      <c r="AA23" s="5">
        <f t="shared" si="19"/>
        <v>-0.40245040337772914</v>
      </c>
      <c r="AB23" s="5">
        <f t="shared" si="20"/>
        <v>70.358154298390488</v>
      </c>
      <c r="AC23" s="5">
        <f t="shared" si="26"/>
        <v>-0.40745327505039464</v>
      </c>
      <c r="AD23" s="6">
        <f t="shared" si="27"/>
        <v>68.413696746123108</v>
      </c>
    </row>
    <row r="24" spans="1:30" x14ac:dyDescent="0.2">
      <c r="A24" s="4">
        <v>3.1</v>
      </c>
      <c r="B24" s="21">
        <f t="shared" si="21"/>
        <v>12589.25411794168</v>
      </c>
      <c r="C24" s="14">
        <f t="shared" si="0"/>
        <v>6.4221839284469784E-2</v>
      </c>
      <c r="D24" s="5">
        <f t="shared" si="1"/>
        <v>-6.9588349029562133</v>
      </c>
      <c r="E24" s="5">
        <f t="shared" si="2"/>
        <v>-14.082012504346311</v>
      </c>
      <c r="F24" s="5">
        <f t="shared" si="3"/>
        <v>-78.600361043216736</v>
      </c>
      <c r="G24" s="5">
        <f t="shared" si="4"/>
        <v>1.1756285657766837E-5</v>
      </c>
      <c r="H24" s="5">
        <f t="shared" si="5"/>
        <v>9.4268249774186838E-2</v>
      </c>
      <c r="I24" s="5">
        <f t="shared" si="6"/>
        <v>-2.6913993860932597E-10</v>
      </c>
      <c r="J24" s="17">
        <f t="shared" si="7"/>
        <v>-4.5104466427368407E-4</v>
      </c>
      <c r="K24" s="14">
        <f t="shared" si="8"/>
        <v>-78.052604494949136</v>
      </c>
      <c r="L24" s="5">
        <f t="shared" si="9"/>
        <v>-89.992830441564834</v>
      </c>
      <c r="M24" s="5">
        <f t="shared" si="10"/>
        <v>12.689440956441802</v>
      </c>
      <c r="N24" s="5">
        <f t="shared" si="11"/>
        <v>76.583893575418827</v>
      </c>
      <c r="O24" s="5">
        <f t="shared" si="12"/>
        <v>-7.9263483136885002E-3</v>
      </c>
      <c r="P24" s="17">
        <f t="shared" si="13"/>
        <v>-2.4473776989273994</v>
      </c>
      <c r="Q24" s="5">
        <f t="shared" si="22"/>
        <v>-0.12956716177017313</v>
      </c>
      <c r="R24" s="5">
        <f t="shared" si="23"/>
        <v>-9.8718305101423525</v>
      </c>
      <c r="S24" s="14">
        <f t="shared" si="14"/>
        <v>0.95236736694601143</v>
      </c>
      <c r="T24" s="5">
        <f t="shared" si="15"/>
        <v>26.343226364159168</v>
      </c>
      <c r="U24" s="5">
        <f t="shared" si="16"/>
        <v>-0.36654195838706882</v>
      </c>
      <c r="V24" s="17">
        <f t="shared" si="17"/>
        <v>-28.34037898666206</v>
      </c>
      <c r="W24" s="14">
        <v>0</v>
      </c>
      <c r="X24" s="17">
        <f t="shared" si="18"/>
        <v>-2.8325821765368779</v>
      </c>
      <c r="Y24" s="14">
        <f t="shared" si="24"/>
        <v>-6.1135856061658679E-4</v>
      </c>
      <c r="Z24" s="17">
        <f t="shared" si="25"/>
        <v>-0.67978782329471155</v>
      </c>
      <c r="AA24" s="5">
        <f t="shared" si="19"/>
        <v>-2.2734471085389658</v>
      </c>
      <c r="AB24" s="5">
        <f t="shared" si="20"/>
        <v>65.744331260314112</v>
      </c>
      <c r="AC24" s="5">
        <f t="shared" si="26"/>
        <v>-2.2813734568526542</v>
      </c>
      <c r="AD24" s="6">
        <f t="shared" si="27"/>
        <v>63.296953561386715</v>
      </c>
    </row>
    <row r="25" spans="1:30" x14ac:dyDescent="0.2">
      <c r="A25" s="4">
        <v>3.2</v>
      </c>
      <c r="B25" s="21">
        <f t="shared" si="21"/>
        <v>15848.931924611155</v>
      </c>
      <c r="C25" s="14">
        <f t="shared" si="0"/>
        <v>0.10134923431495622</v>
      </c>
      <c r="D25" s="5">
        <f t="shared" si="1"/>
        <v>-8.7356617441491675</v>
      </c>
      <c r="E25" s="5">
        <f t="shared" si="2"/>
        <v>-16.018944482044468</v>
      </c>
      <c r="F25" s="5">
        <f t="shared" si="3"/>
        <v>-80.900815073016105</v>
      </c>
      <c r="G25" s="5">
        <f t="shared" si="4"/>
        <v>1.8632442357747075E-5</v>
      </c>
      <c r="H25" s="5">
        <f t="shared" si="5"/>
        <v>0.11867663253272065</v>
      </c>
      <c r="I25" s="5">
        <f t="shared" si="6"/>
        <v>-4.265567542557887E-10</v>
      </c>
      <c r="J25" s="17">
        <f t="shared" si="7"/>
        <v>-5.6783158970144933E-4</v>
      </c>
      <c r="K25" s="14">
        <f t="shared" si="8"/>
        <v>-80.052604469853378</v>
      </c>
      <c r="L25" s="5">
        <f t="shared" si="9"/>
        <v>-89.99430501729347</v>
      </c>
      <c r="M25" s="5">
        <f t="shared" si="10"/>
        <v>14.602291036698002</v>
      </c>
      <c r="N25" s="5">
        <f t="shared" si="11"/>
        <v>79.271252613984359</v>
      </c>
      <c r="O25" s="5">
        <f t="shared" si="12"/>
        <v>-1.2555719171214627E-2</v>
      </c>
      <c r="P25" s="17">
        <f t="shared" si="13"/>
        <v>-3.079971071665685</v>
      </c>
      <c r="Q25" s="5">
        <f t="shared" si="22"/>
        <v>-0.20359627491361529</v>
      </c>
      <c r="R25" s="5">
        <f t="shared" si="23"/>
        <v>-12.357125151353884</v>
      </c>
      <c r="S25" s="14">
        <f t="shared" si="14"/>
        <v>1.4257873001250014</v>
      </c>
      <c r="T25" s="5">
        <f t="shared" si="15"/>
        <v>31.938667423320322</v>
      </c>
      <c r="U25" s="5">
        <f t="shared" si="16"/>
        <v>-0.59105809431524292</v>
      </c>
      <c r="V25" s="17">
        <f t="shared" si="17"/>
        <v>-35.617626618011002</v>
      </c>
      <c r="W25" s="14">
        <v>0</v>
      </c>
      <c r="X25" s="17">
        <f t="shared" si="18"/>
        <v>-3.5660096830375099</v>
      </c>
      <c r="Y25" s="14">
        <f t="shared" si="24"/>
        <v>-9.6889813583300581E-4</v>
      </c>
      <c r="Z25" s="17">
        <f t="shared" si="25"/>
        <v>-0.85577868005241375</v>
      </c>
      <c r="AA25" s="5">
        <f t="shared" si="19"/>
        <v>-4.0858775653232389</v>
      </c>
      <c r="AB25" s="5">
        <f t="shared" si="20"/>
        <v>59.30070687133415</v>
      </c>
      <c r="AC25" s="5">
        <f t="shared" si="26"/>
        <v>-4.0984332844944538</v>
      </c>
      <c r="AD25" s="6">
        <f t="shared" si="27"/>
        <v>56.220735799668468</v>
      </c>
    </row>
    <row r="26" spans="1:30" x14ac:dyDescent="0.2">
      <c r="A26" s="7">
        <v>3.3</v>
      </c>
      <c r="B26" s="22">
        <f t="shared" si="21"/>
        <v>19952.623149688803</v>
      </c>
      <c r="C26" s="14">
        <f t="shared" si="0"/>
        <v>0.15954965992093267</v>
      </c>
      <c r="D26" s="8">
        <f t="shared" si="1"/>
        <v>-10.948333830204453</v>
      </c>
      <c r="E26" s="5">
        <f t="shared" si="2"/>
        <v>-17.978674785332043</v>
      </c>
      <c r="F26" s="8">
        <f t="shared" si="3"/>
        <v>-82.74982455458462</v>
      </c>
      <c r="G26" s="5">
        <f t="shared" si="4"/>
        <v>2.9530393999060703E-5</v>
      </c>
      <c r="H26" s="5">
        <f t="shared" si="5"/>
        <v>0.14940490351191829</v>
      </c>
      <c r="I26" s="5">
        <f t="shared" si="6"/>
        <v>-6.7604755641829062E-10</v>
      </c>
      <c r="J26" s="17">
        <f t="shared" si="7"/>
        <v>-7.1485761788094406E-4</v>
      </c>
      <c r="K26" s="14">
        <f t="shared" si="8"/>
        <v>-82.052604454019018</v>
      </c>
      <c r="L26" s="5">
        <f t="shared" si="9"/>
        <v>-89.995476314434441</v>
      </c>
      <c r="M26" s="5">
        <f t="shared" si="10"/>
        <v>16.546389486207929</v>
      </c>
      <c r="N26" s="8">
        <f t="shared" si="11"/>
        <v>81.441068244862521</v>
      </c>
      <c r="O26" s="5">
        <f t="shared" si="12"/>
        <v>-1.9882684317331437E-2</v>
      </c>
      <c r="P26" s="17">
        <f t="shared" si="13"/>
        <v>-3.8752728319184269</v>
      </c>
      <c r="Q26" s="5">
        <f t="shared" si="22"/>
        <v>-0.31839935762967708</v>
      </c>
      <c r="R26" s="5">
        <f t="shared" si="23"/>
        <v>-15.419136699584552</v>
      </c>
      <c r="S26" s="14">
        <f t="shared" si="14"/>
        <v>2.0841379451638131</v>
      </c>
      <c r="T26" s="5">
        <f t="shared" si="15"/>
        <v>38.124515819904452</v>
      </c>
      <c r="U26" s="5">
        <f t="shared" si="16"/>
        <v>-0.95758929469801124</v>
      </c>
      <c r="V26" s="17">
        <f t="shared" si="17"/>
        <v>-44.657685211984237</v>
      </c>
      <c r="W26" s="14">
        <v>0</v>
      </c>
      <c r="X26" s="17">
        <f t="shared" si="18"/>
        <v>-4.4893402086799803</v>
      </c>
      <c r="Y26" s="14">
        <f t="shared" si="24"/>
        <v>-1.5354998871882511E-3</v>
      </c>
      <c r="Z26" s="17">
        <f t="shared" si="25"/>
        <v>-1.0773146737951071</v>
      </c>
      <c r="AA26" s="5">
        <f t="shared" si="19"/>
        <v>-5.8668483197697734</v>
      </c>
      <c r="AB26" s="5">
        <f t="shared" si="20"/>
        <v>50.37716261739363</v>
      </c>
      <c r="AC26" s="5">
        <f t="shared" si="26"/>
        <v>-5.886731004087105</v>
      </c>
      <c r="AD26" s="6">
        <f t="shared" si="27"/>
        <v>46.5018897854752</v>
      </c>
    </row>
    <row r="27" spans="1:30" x14ac:dyDescent="0.2">
      <c r="A27" s="4">
        <v>3.4</v>
      </c>
      <c r="B27" s="21">
        <f t="shared" si="21"/>
        <v>25118.864315095812</v>
      </c>
      <c r="C27" s="14">
        <f t="shared" si="0"/>
        <v>0.25022263227854125</v>
      </c>
      <c r="D27" s="5">
        <f t="shared" si="1"/>
        <v>-13.686947753328884</v>
      </c>
      <c r="E27" s="5">
        <f t="shared" si="2"/>
        <v>-19.95307284579717</v>
      </c>
      <c r="F27" s="5">
        <f t="shared" si="3"/>
        <v>-84.229633404499808</v>
      </c>
      <c r="G27" s="5">
        <f t="shared" si="4"/>
        <v>4.6802427352313642E-5</v>
      </c>
      <c r="H27" s="5">
        <f t="shared" si="5"/>
        <v>0.18808938033148312</v>
      </c>
      <c r="I27" s="5">
        <f t="shared" si="6"/>
        <v>-1.0714642481534436E-9</v>
      </c>
      <c r="J27" s="17">
        <f t="shared" si="7"/>
        <v>-8.9995242093765201E-4</v>
      </c>
      <c r="K27" s="14">
        <f t="shared" si="8"/>
        <v>-84.052604444028205</v>
      </c>
      <c r="L27" s="5">
        <f t="shared" si="9"/>
        <v>-89.996406708827507</v>
      </c>
      <c r="M27" s="5">
        <f t="shared" si="10"/>
        <v>18.510744128424808</v>
      </c>
      <c r="N27" s="5">
        <f t="shared" si="11"/>
        <v>83.18272773316319</v>
      </c>
      <c r="O27" s="5">
        <f t="shared" si="12"/>
        <v>-3.146987997239005E-2</v>
      </c>
      <c r="P27" s="17">
        <f t="shared" si="13"/>
        <v>-4.8743391035863555</v>
      </c>
      <c r="Q27" s="5">
        <f t="shared" si="22"/>
        <v>-0.49435315656678225</v>
      </c>
      <c r="R27" s="5">
        <f t="shared" si="23"/>
        <v>-19.147934569609838</v>
      </c>
      <c r="S27" s="14">
        <f t="shared" si="14"/>
        <v>2.9581587819233728</v>
      </c>
      <c r="T27" s="5">
        <f t="shared" si="15"/>
        <v>44.653973496748613</v>
      </c>
      <c r="U27" s="5">
        <f t="shared" si="16"/>
        <v>-1.5540626100979358</v>
      </c>
      <c r="V27" s="17">
        <f t="shared" si="17"/>
        <v>-55.703741681244644</v>
      </c>
      <c r="W27" s="14">
        <v>0</v>
      </c>
      <c r="X27" s="17">
        <f t="shared" si="18"/>
        <v>-5.6517444708965581</v>
      </c>
      <c r="Y27" s="14">
        <f t="shared" si="24"/>
        <v>-2.4333517528940802E-3</v>
      </c>
      <c r="Z27" s="17">
        <f t="shared" si="25"/>
        <v>-1.3561653534395415</v>
      </c>
      <c r="AA27" s="5">
        <f t="shared" si="19"/>
        <v>-7.6855056134748416</v>
      </c>
      <c r="AB27" s="5">
        <f t="shared" si="20"/>
        <v>38.251316715975562</v>
      </c>
      <c r="AC27" s="5">
        <f t="shared" si="26"/>
        <v>-7.7169754934472321</v>
      </c>
      <c r="AD27" s="6">
        <f t="shared" si="27"/>
        <v>33.376977612389204</v>
      </c>
    </row>
    <row r="28" spans="1:30" x14ac:dyDescent="0.2">
      <c r="A28" s="4">
        <v>3.5</v>
      </c>
      <c r="B28" s="21">
        <f t="shared" si="21"/>
        <v>31622.776601683803</v>
      </c>
      <c r="C28" s="14">
        <f t="shared" si="0"/>
        <v>0.39016086740833783</v>
      </c>
      <c r="D28" s="5">
        <f t="shared" si="1"/>
        <v>-17.044969704979131</v>
      </c>
      <c r="E28" s="5">
        <f t="shared" si="2"/>
        <v>-21.936841111411766</v>
      </c>
      <c r="F28" s="5">
        <f t="shared" si="3"/>
        <v>-85.410714659981934</v>
      </c>
      <c r="G28" s="5">
        <f t="shared" si="4"/>
        <v>7.4176614725783775E-5</v>
      </c>
      <c r="H28" s="5">
        <f t="shared" si="5"/>
        <v>0.23679000307966214</v>
      </c>
      <c r="I28" s="5">
        <f t="shared" si="6"/>
        <v>-1.6981575249071427E-9</v>
      </c>
      <c r="J28" s="17">
        <f t="shared" si="7"/>
        <v>-1.1329729720695946E-3</v>
      </c>
      <c r="K28" s="14">
        <f t="shared" si="8"/>
        <v>-86.05260443772444</v>
      </c>
      <c r="L28" s="5">
        <f t="shared" si="9"/>
        <v>-89.997145747364726</v>
      </c>
      <c r="M28" s="5">
        <f t="shared" si="10"/>
        <v>20.488101956597419</v>
      </c>
      <c r="N28" s="5">
        <f t="shared" si="11"/>
        <v>84.575414689873369</v>
      </c>
      <c r="O28" s="5">
        <f t="shared" si="12"/>
        <v>-4.9771254942992803E-2</v>
      </c>
      <c r="P28" s="17">
        <f t="shared" si="13"/>
        <v>-6.1278049476969834</v>
      </c>
      <c r="Q28" s="5">
        <f t="shared" si="22"/>
        <v>-0.75939306477023416</v>
      </c>
      <c r="R28" s="5">
        <f t="shared" si="23"/>
        <v>-23.611191258808496</v>
      </c>
      <c r="S28" s="14">
        <f t="shared" si="14"/>
        <v>4.0603993223843915</v>
      </c>
      <c r="T28" s="5">
        <f t="shared" si="15"/>
        <v>51.201378736991217</v>
      </c>
      <c r="U28" s="5">
        <f t="shared" si="16"/>
        <v>-2.505338871356618</v>
      </c>
      <c r="V28" s="17">
        <f t="shared" si="17"/>
        <v>-68.772973866939623</v>
      </c>
      <c r="W28" s="14">
        <v>0</v>
      </c>
      <c r="X28" s="17">
        <f t="shared" si="18"/>
        <v>-7.1151247353788563</v>
      </c>
      <c r="Y28" s="14">
        <f t="shared" si="24"/>
        <v>-3.8559709495343516E-3</v>
      </c>
      <c r="Z28" s="17">
        <f t="shared" si="25"/>
        <v>-1.7071245968306352</v>
      </c>
      <c r="AA28" s="5">
        <f t="shared" si="19"/>
        <v>-9.6674486841203446</v>
      </c>
      <c r="AB28" s="5">
        <f t="shared" si="20"/>
        <v>22.353205886688773</v>
      </c>
      <c r="AC28" s="5">
        <f t="shared" si="26"/>
        <v>-9.7172199390633374</v>
      </c>
      <c r="AD28" s="6">
        <f t="shared" si="27"/>
        <v>16.22540093899179</v>
      </c>
    </row>
    <row r="29" spans="1:30" x14ac:dyDescent="0.2">
      <c r="A29" s="4">
        <v>3.6</v>
      </c>
      <c r="B29" s="21">
        <f t="shared" si="21"/>
        <v>39810.717055349771</v>
      </c>
      <c r="C29" s="14">
        <f t="shared" si="0"/>
        <v>0.60310589946101922</v>
      </c>
      <c r="D29" s="5">
        <f t="shared" si="1"/>
        <v>-21.105233609887041</v>
      </c>
      <c r="E29" s="5">
        <f t="shared" si="2"/>
        <v>-23.92656827653736</v>
      </c>
      <c r="F29" s="5">
        <f t="shared" si="3"/>
        <v>-86.351723649501082</v>
      </c>
      <c r="G29" s="5">
        <f t="shared" si="4"/>
        <v>1.1756142451333043E-4</v>
      </c>
      <c r="H29" s="5">
        <f t="shared" si="5"/>
        <v>0.29809995948602747</v>
      </c>
      <c r="I29" s="5">
        <f t="shared" si="6"/>
        <v>-2.6913993864685393E-9</v>
      </c>
      <c r="J29" s="17">
        <f t="shared" si="7"/>
        <v>-1.4263284653056423E-3</v>
      </c>
      <c r="K29" s="14">
        <f t="shared" si="8"/>
        <v>-88.052604433747035</v>
      </c>
      <c r="L29" s="5">
        <f t="shared" si="9"/>
        <v>-89.997732786542073</v>
      </c>
      <c r="M29" s="5">
        <f t="shared" si="10"/>
        <v>22.47375473368561</v>
      </c>
      <c r="N29" s="5">
        <f t="shared" si="11"/>
        <v>85.686346555077776</v>
      </c>
      <c r="O29" s="5">
        <f t="shared" si="12"/>
        <v>-7.8619921237150392E-2</v>
      </c>
      <c r="P29" s="17">
        <f t="shared" si="13"/>
        <v>-7.6973532208073525</v>
      </c>
      <c r="Q29" s="5">
        <f t="shared" si="22"/>
        <v>-1.1488919197553591</v>
      </c>
      <c r="R29" s="5">
        <f t="shared" si="23"/>
        <v>-28.824157997824511</v>
      </c>
      <c r="S29" s="14">
        <f t="shared" si="14"/>
        <v>5.3806221878008467</v>
      </c>
      <c r="T29" s="5">
        <f t="shared" si="15"/>
        <v>57.436688240465173</v>
      </c>
      <c r="U29" s="5">
        <f t="shared" si="16"/>
        <v>-3.9525983251450691</v>
      </c>
      <c r="V29" s="17">
        <f t="shared" si="17"/>
        <v>-83.413738327716857</v>
      </c>
      <c r="W29" s="14">
        <v>0</v>
      </c>
      <c r="X29" s="17">
        <f t="shared" si="18"/>
        <v>-8.9574113374536992</v>
      </c>
      <c r="Y29" s="14">
        <f t="shared" si="24"/>
        <v>-6.1097162988863829E-3</v>
      </c>
      <c r="Z29" s="17">
        <f t="shared" si="25"/>
        <v>-2.1487707497674631</v>
      </c>
      <c r="AA29" s="5">
        <f t="shared" si="19"/>
        <v>-11.977323841017586</v>
      </c>
      <c r="AB29" s="5">
        <f t="shared" si="20"/>
        <v>2.6209399678709477</v>
      </c>
      <c r="AC29" s="5">
        <f t="shared" si="26"/>
        <v>-12.055943762254737</v>
      </c>
      <c r="AD29" s="6">
        <f t="shared" si="27"/>
        <v>-5.0764132529364048</v>
      </c>
    </row>
    <row r="30" spans="1:30" x14ac:dyDescent="0.2">
      <c r="A30" s="4">
        <v>3.7</v>
      </c>
      <c r="B30" s="21">
        <f t="shared" si="21"/>
        <v>50118.723362727324</v>
      </c>
      <c r="C30" s="14">
        <f t="shared" si="0"/>
        <v>0.92056947142944334</v>
      </c>
      <c r="D30" s="5">
        <f t="shared" si="1"/>
        <v>-25.915627154400184</v>
      </c>
      <c r="E30" s="5">
        <f t="shared" si="2"/>
        <v>-25.920074030737791</v>
      </c>
      <c r="F30" s="5">
        <f t="shared" si="3"/>
        <v>-87.100625611153063</v>
      </c>
      <c r="G30" s="5">
        <f t="shared" si="4"/>
        <v>1.8632082643697269E-4</v>
      </c>
      <c r="H30" s="5">
        <f t="shared" si="5"/>
        <v>0.37528363368576279</v>
      </c>
      <c r="I30" s="5">
        <f t="shared" si="6"/>
        <v>-4.2655791154301442E-9</v>
      </c>
      <c r="J30" s="17">
        <f t="shared" si="7"/>
        <v>-1.7956411503216951E-3</v>
      </c>
      <c r="K30" s="14">
        <f t="shared" si="8"/>
        <v>-90.052604431237455</v>
      </c>
      <c r="L30" s="5">
        <f t="shared" si="9"/>
        <v>-89.99819908833588</v>
      </c>
      <c r="M30" s="5">
        <f t="shared" si="10"/>
        <v>24.464677799798086</v>
      </c>
      <c r="N30" s="5">
        <f t="shared" si="11"/>
        <v>86.571153822770995</v>
      </c>
      <c r="O30" s="5">
        <f t="shared" si="12"/>
        <v>-0.12395302748956016</v>
      </c>
      <c r="P30" s="17">
        <f t="shared" si="13"/>
        <v>-9.6566305547584719</v>
      </c>
      <c r="Q30" s="5">
        <f t="shared" si="22"/>
        <v>-1.7024999496285151</v>
      </c>
      <c r="R30" s="5">
        <f t="shared" si="23"/>
        <v>-34.713888015181389</v>
      </c>
      <c r="S30" s="14">
        <f t="shared" si="14"/>
        <v>6.8895792197809245</v>
      </c>
      <c r="T30" s="5">
        <f t="shared" si="15"/>
        <v>63.102334182848118</v>
      </c>
      <c r="U30" s="5">
        <f t="shared" si="16"/>
        <v>-5.9934403483871348</v>
      </c>
      <c r="V30" s="17">
        <f t="shared" si="17"/>
        <v>-98.606204513546913</v>
      </c>
      <c r="W30" s="14">
        <v>0</v>
      </c>
      <c r="X30" s="17">
        <f t="shared" si="18"/>
        <v>-11.276712756613646</v>
      </c>
      <c r="Y30" s="14">
        <f t="shared" si="24"/>
        <v>-9.6792679566549498E-3</v>
      </c>
      <c r="Z30" s="17">
        <f t="shared" si="25"/>
        <v>-2.7044008864695801</v>
      </c>
      <c r="AA30" s="5">
        <f t="shared" si="19"/>
        <v>-14.75143676959271</v>
      </c>
      <c r="AB30" s="5">
        <f t="shared" si="20"/>
        <v>-20.268682027546099</v>
      </c>
      <c r="AC30" s="5">
        <f t="shared" si="26"/>
        <v>-14.875389797082271</v>
      </c>
      <c r="AD30" s="6">
        <f t="shared" si="27"/>
        <v>-29.925312582304571</v>
      </c>
    </row>
    <row r="31" spans="1:30" x14ac:dyDescent="0.2">
      <c r="A31" s="4">
        <v>3.8</v>
      </c>
      <c r="B31" s="21">
        <f t="shared" si="21"/>
        <v>63095.734448019386</v>
      </c>
      <c r="C31" s="14">
        <f t="shared" si="0"/>
        <v>1.380525839222793</v>
      </c>
      <c r="D31" s="5">
        <f t="shared" si="1"/>
        <v>-31.455197790080359</v>
      </c>
      <c r="E31" s="5">
        <f t="shared" si="2"/>
        <v>-27.915971436285041</v>
      </c>
      <c r="F31" s="5">
        <f t="shared" si="3"/>
        <v>-87.696219544412429</v>
      </c>
      <c r="G31" s="5">
        <f t="shared" si="4"/>
        <v>2.9529490457451028E-4</v>
      </c>
      <c r="H31" s="5">
        <f t="shared" si="5"/>
        <v>0.47245015142577268</v>
      </c>
      <c r="I31" s="5">
        <f t="shared" si="6"/>
        <v>-6.7604890671352898E-9</v>
      </c>
      <c r="J31" s="17">
        <f t="shared" si="7"/>
        <v>-2.2605782741704091E-3</v>
      </c>
      <c r="K31" s="14">
        <f t="shared" si="8"/>
        <v>-92.052604429654025</v>
      </c>
      <c r="L31" s="5">
        <f t="shared" si="9"/>
        <v>-89.998569485016773</v>
      </c>
      <c r="M31" s="5">
        <f t="shared" si="10"/>
        <v>26.458940865011634</v>
      </c>
      <c r="N31" s="5">
        <f t="shared" si="11"/>
        <v>87.275170652388354</v>
      </c>
      <c r="O31" s="5">
        <f t="shared" si="12"/>
        <v>-0.19484569845995131</v>
      </c>
      <c r="P31" s="17">
        <f t="shared" si="13"/>
        <v>-12.090686864919727</v>
      </c>
      <c r="Q31" s="5">
        <f t="shared" si="22"/>
        <v>-2.4568177055581373</v>
      </c>
      <c r="R31" s="5">
        <f t="shared" si="23"/>
        <v>-41.094052585212204</v>
      </c>
      <c r="S31" s="14">
        <f t="shared" si="14"/>
        <v>8.5485081303002488</v>
      </c>
      <c r="T31" s="5">
        <f t="shared" si="15"/>
        <v>68.053275016491853</v>
      </c>
      <c r="U31" s="5">
        <f t="shared" si="16"/>
        <v>-8.6200028319910089</v>
      </c>
      <c r="V31" s="17">
        <f t="shared" si="17"/>
        <v>-113.08437291975993</v>
      </c>
      <c r="W31" s="14">
        <v>0</v>
      </c>
      <c r="X31" s="17">
        <f t="shared" si="18"/>
        <v>-14.196540250804361</v>
      </c>
      <c r="Y31" s="14">
        <f t="shared" si="24"/>
        <v>-1.5330623196755964E-2</v>
      </c>
      <c r="Z31" s="17">
        <f t="shared" si="25"/>
        <v>-3.4031619653639114</v>
      </c>
      <c r="AA31" s="5">
        <f t="shared" si="19"/>
        <v>-18.020608453220664</v>
      </c>
      <c r="AB31" s="5">
        <f t="shared" si="20"/>
        <v>-45.129479298618158</v>
      </c>
      <c r="AC31" s="5">
        <f t="shared" si="26"/>
        <v>-18.215454151680614</v>
      </c>
      <c r="AD31" s="6">
        <f t="shared" si="27"/>
        <v>-57.220166163537883</v>
      </c>
    </row>
    <row r="32" spans="1:30" x14ac:dyDescent="0.2">
      <c r="A32" s="4">
        <v>3.9</v>
      </c>
      <c r="B32" s="21">
        <f t="shared" si="21"/>
        <v>79432.82347242815</v>
      </c>
      <c r="C32" s="14">
        <f t="shared" si="0"/>
        <v>2.0223765918793584</v>
      </c>
      <c r="D32" s="5">
        <f t="shared" si="1"/>
        <v>-37.600481135772029</v>
      </c>
      <c r="E32" s="5">
        <f t="shared" si="2"/>
        <v>-29.913380878669017</v>
      </c>
      <c r="F32" s="5">
        <f t="shared" si="3"/>
        <v>-88.169678181986711</v>
      </c>
      <c r="G32" s="5">
        <f t="shared" si="4"/>
        <v>4.6800157824708211E-4</v>
      </c>
      <c r="H32" s="5">
        <f t="shared" si="5"/>
        <v>0.59477161716104288</v>
      </c>
      <c r="I32" s="5">
        <f t="shared" si="6"/>
        <v>-1.0714654059411812E-8</v>
      </c>
      <c r="J32" s="17">
        <f t="shared" si="7"/>
        <v>-2.8458994338392152E-3</v>
      </c>
      <c r="K32" s="14">
        <f t="shared" si="8"/>
        <v>-94.052604428654917</v>
      </c>
      <c r="L32" s="5">
        <f t="shared" si="9"/>
        <v>-89.998863701558534</v>
      </c>
      <c r="M32" s="5">
        <f t="shared" si="10"/>
        <v>28.455317200672386</v>
      </c>
      <c r="N32" s="5">
        <f t="shared" si="11"/>
        <v>87.834988903012487</v>
      </c>
      <c r="O32" s="5">
        <f t="shared" si="12"/>
        <v>-0.30488503007063955</v>
      </c>
      <c r="P32" s="17">
        <f t="shared" si="13"/>
        <v>-15.092281572678045</v>
      </c>
      <c r="Q32" s="5">
        <f t="shared" si="22"/>
        <v>-3.4352776927370501</v>
      </c>
      <c r="R32" s="5">
        <f t="shared" si="23"/>
        <v>-47.674421686569886</v>
      </c>
      <c r="S32" s="14">
        <f t="shared" si="14"/>
        <v>10.318654123875486</v>
      </c>
      <c r="T32" s="5">
        <f t="shared" si="15"/>
        <v>72.251658554835927</v>
      </c>
      <c r="U32" s="5">
        <f t="shared" si="16"/>
        <v>-11.724521495048425</v>
      </c>
      <c r="V32" s="17">
        <f t="shared" si="17"/>
        <v>-125.89621211830325</v>
      </c>
      <c r="W32" s="14">
        <v>0</v>
      </c>
      <c r="X32" s="17">
        <f t="shared" si="18"/>
        <v>-17.872385281296332</v>
      </c>
      <c r="Y32" s="14">
        <f t="shared" si="24"/>
        <v>-2.4272381071907167E-2</v>
      </c>
      <c r="Z32" s="17">
        <f t="shared" si="25"/>
        <v>-4.281385945012568</v>
      </c>
      <c r="AA32" s="5">
        <f t="shared" si="19"/>
        <v>-21.70139251810496</v>
      </c>
      <c r="AB32" s="5">
        <f t="shared" si="20"/>
        <v>-70.814854874923697</v>
      </c>
      <c r="AC32" s="5">
        <f t="shared" si="26"/>
        <v>-22.0062775481756</v>
      </c>
      <c r="AD32" s="6">
        <f t="shared" si="27"/>
        <v>-85.907136447601744</v>
      </c>
    </row>
    <row r="33" spans="1:30" x14ac:dyDescent="0.2">
      <c r="A33" s="4">
        <v>4</v>
      </c>
      <c r="B33" s="20">
        <f t="shared" si="21"/>
        <v>100000</v>
      </c>
      <c r="C33" s="14">
        <f t="shared" si="0"/>
        <v>2.877947640559352</v>
      </c>
      <c r="D33" s="5">
        <f t="shared" si="1"/>
        <v>-44.113367539430314</v>
      </c>
      <c r="E33" s="5">
        <f t="shared" si="2"/>
        <v>-31.911745551869856</v>
      </c>
      <c r="F33" s="5">
        <f t="shared" si="3"/>
        <v>-88.545941184917652</v>
      </c>
      <c r="G33" s="5">
        <f t="shared" si="4"/>
        <v>7.4170914196239118E-4</v>
      </c>
      <c r="H33" s="5">
        <f t="shared" si="5"/>
        <v>0.74875737283162169</v>
      </c>
      <c r="I33" s="5">
        <f t="shared" si="6"/>
        <v>-1.6981581049976358E-8</v>
      </c>
      <c r="J33" s="17">
        <f t="shared" si="7"/>
        <v>-3.5827751149474906E-3</v>
      </c>
      <c r="K33" s="14">
        <f t="shared" si="8"/>
        <v>-96.052604428024551</v>
      </c>
      <c r="L33" s="5">
        <f t="shared" si="9"/>
        <v>-89.999097406064834</v>
      </c>
      <c r="M33" s="5">
        <f t="shared" si="10"/>
        <v>30.453029266370123</v>
      </c>
      <c r="N33" s="5">
        <f t="shared" si="11"/>
        <v>88.279968489889157</v>
      </c>
      <c r="O33" s="5">
        <f t="shared" si="12"/>
        <v>-0.47376808567123807</v>
      </c>
      <c r="P33" s="17">
        <f t="shared" si="13"/>
        <v>-18.752463651991043</v>
      </c>
      <c r="Q33" s="5">
        <f t="shared" si="22"/>
        <v>-4.6400571362863383</v>
      </c>
      <c r="R33" s="5">
        <f t="shared" si="23"/>
        <v>-54.116835785734267</v>
      </c>
      <c r="S33" s="14">
        <f t="shared" si="14"/>
        <v>12.167105903024449</v>
      </c>
      <c r="T33" s="5">
        <f t="shared" si="15"/>
        <v>75.735281312304636</v>
      </c>
      <c r="U33" s="5">
        <f t="shared" si="16"/>
        <v>-15.165321639245713</v>
      </c>
      <c r="V33" s="17">
        <f t="shared" si="17"/>
        <v>-136.6652907428473</v>
      </c>
      <c r="W33" s="14">
        <v>0</v>
      </c>
      <c r="X33" s="17">
        <f t="shared" si="18"/>
        <v>-22.5</v>
      </c>
      <c r="Y33" s="14">
        <f t="shared" si="24"/>
        <v>-3.8406508311962344E-2</v>
      </c>
      <c r="Z33" s="17">
        <f t="shared" si="25"/>
        <v>-5.3840959173935685</v>
      </c>
      <c r="AA33" s="5">
        <f t="shared" si="19"/>
        <v>-25.657462310838579</v>
      </c>
      <c r="AB33" s="5">
        <f t="shared" si="20"/>
        <v>-96.564204176477475</v>
      </c>
      <c r="AC33" s="5">
        <f t="shared" si="26"/>
        <v>-26.131230396509817</v>
      </c>
      <c r="AD33" s="6">
        <f t="shared" si="27"/>
        <v>-115.31666782846852</v>
      </c>
    </row>
    <row r="34" spans="1:30" x14ac:dyDescent="0.2">
      <c r="A34" s="4">
        <v>4.0999999999999996</v>
      </c>
      <c r="B34" s="21">
        <f t="shared" si="21"/>
        <v>125892.54117941672</v>
      </c>
      <c r="C34" s="14">
        <f t="shared" si="0"/>
        <v>3.9615579070713256</v>
      </c>
      <c r="D34" s="5">
        <f t="shared" si="1"/>
        <v>-50.672217507462207</v>
      </c>
      <c r="E34" s="5">
        <f t="shared" si="2"/>
        <v>-33.910713413487215</v>
      </c>
      <c r="F34" s="5">
        <f t="shared" si="3"/>
        <v>-88.844908519620944</v>
      </c>
      <c r="G34" s="5">
        <f t="shared" si="4"/>
        <v>1.1754710647774304E-3</v>
      </c>
      <c r="H34" s="5">
        <f t="shared" si="5"/>
        <v>0.94259830106573883</v>
      </c>
      <c r="I34" s="5">
        <f t="shared" si="6"/>
        <v>-2.6913993902213312E-8</v>
      </c>
      <c r="J34" s="17">
        <f t="shared" si="7"/>
        <v>-4.5104466335126672E-3</v>
      </c>
      <c r="K34" s="14">
        <f t="shared" si="8"/>
        <v>-98.052604427626804</v>
      </c>
      <c r="L34" s="5">
        <f t="shared" si="9"/>
        <v>-89.999283044152776</v>
      </c>
      <c r="M34" s="5">
        <f t="shared" si="10"/>
        <v>32.451585056995356</v>
      </c>
      <c r="N34" s="5">
        <f t="shared" si="11"/>
        <v>88.633578936552425</v>
      </c>
      <c r="O34" s="5">
        <f t="shared" si="12"/>
        <v>-0.72866359286380988</v>
      </c>
      <c r="P34" s="17">
        <f t="shared" si="13"/>
        <v>-23.1422492050221</v>
      </c>
      <c r="Q34" s="5">
        <f t="shared" si="22"/>
        <v>-6.0512646860105228</v>
      </c>
      <c r="R34" s="5">
        <f t="shared" si="23"/>
        <v>-60.116510881720551</v>
      </c>
      <c r="S34" s="14">
        <f t="shared" si="14"/>
        <v>14.068690800228401</v>
      </c>
      <c r="T34" s="5">
        <f t="shared" si="15"/>
        <v>78.582628650439531</v>
      </c>
      <c r="U34" s="5">
        <f t="shared" si="16"/>
        <v>-18.822097983810554</v>
      </c>
      <c r="V34" s="17">
        <f t="shared" si="17"/>
        <v>-145.45269316609037</v>
      </c>
      <c r="W34" s="14">
        <v>0</v>
      </c>
      <c r="X34" s="17">
        <f t="shared" si="18"/>
        <v>-28.325821765368762</v>
      </c>
      <c r="Y34" s="14">
        <f t="shared" si="24"/>
        <v>-6.071378943837262E-2</v>
      </c>
      <c r="Z34" s="17">
        <f t="shared" si="25"/>
        <v>-6.7665622434197772</v>
      </c>
      <c r="AA34" s="5">
        <f t="shared" si="19"/>
        <v>-29.762536641142063</v>
      </c>
      <c r="AB34" s="5">
        <f t="shared" si="20"/>
        <v>-122.02370168641119</v>
      </c>
      <c r="AC34" s="5">
        <f t="shared" si="26"/>
        <v>-30.491200234005873</v>
      </c>
      <c r="AD34" s="6">
        <f t="shared" si="27"/>
        <v>-145.16595089143328</v>
      </c>
    </row>
    <row r="35" spans="1:30" x14ac:dyDescent="0.2">
      <c r="A35" s="4">
        <v>4.2</v>
      </c>
      <c r="B35" s="21">
        <f t="shared" si="21"/>
        <v>158489.31924611147</v>
      </c>
      <c r="C35" s="14">
        <f t="shared" si="0"/>
        <v>5.2648079874836498</v>
      </c>
      <c r="D35" s="5">
        <f t="shared" si="1"/>
        <v>-56.944179951722596</v>
      </c>
      <c r="E35" s="5">
        <f t="shared" si="2"/>
        <v>-35.910062051958541</v>
      </c>
      <c r="F35" s="5">
        <f t="shared" si="3"/>
        <v>-89.082432349830086</v>
      </c>
      <c r="G35" s="5">
        <f t="shared" si="4"/>
        <v>1.862848653314938E-3</v>
      </c>
      <c r="H35" s="5">
        <f t="shared" si="5"/>
        <v>1.1865983469855892</v>
      </c>
      <c r="I35" s="5">
        <f t="shared" si="6"/>
        <v>-4.2655804749151857E-8</v>
      </c>
      <c r="J35" s="17">
        <f t="shared" si="7"/>
        <v>-5.6783158786098487E-3</v>
      </c>
      <c r="K35" s="14">
        <f t="shared" si="8"/>
        <v>-100.05260442737587</v>
      </c>
      <c r="L35" s="5">
        <f t="shared" si="9"/>
        <v>-89.999430501727502</v>
      </c>
      <c r="M35" s="5">
        <f t="shared" si="10"/>
        <v>34.450673575312379</v>
      </c>
      <c r="N35" s="5">
        <f t="shared" si="11"/>
        <v>88.914537229063697</v>
      </c>
      <c r="O35" s="5">
        <f t="shared" si="12"/>
        <v>-1.104295751630481</v>
      </c>
      <c r="P35" s="17">
        <f t="shared" si="13"/>
        <v>-28.283572706148959</v>
      </c>
      <c r="Q35" s="5">
        <f t="shared" si="22"/>
        <v>-7.6339808562719016</v>
      </c>
      <c r="R35" s="5">
        <f t="shared" si="23"/>
        <v>-65.465461788190765</v>
      </c>
      <c r="S35" s="14">
        <f t="shared" si="14"/>
        <v>16.005427605745226</v>
      </c>
      <c r="T35" s="5">
        <f t="shared" si="15"/>
        <v>80.886523372699529</v>
      </c>
      <c r="U35" s="5">
        <f t="shared" si="16"/>
        <v>-22.611793004183006</v>
      </c>
      <c r="V35" s="17">
        <f t="shared" si="17"/>
        <v>-152.51654878699654</v>
      </c>
      <c r="W35" s="14">
        <v>0</v>
      </c>
      <c r="X35" s="17">
        <f t="shared" si="18"/>
        <v>-35.660096830375075</v>
      </c>
      <c r="Y35" s="14">
        <f t="shared" si="24"/>
        <v>-9.5835405384645175E-2</v>
      </c>
      <c r="Z35" s="17">
        <f t="shared" si="25"/>
        <v>-8.4956096281859264</v>
      </c>
      <c r="AA35" s="5">
        <f t="shared" si="19"/>
        <v>-33.929655319849672</v>
      </c>
      <c r="AB35" s="5">
        <f t="shared" si="20"/>
        <v>-147.18177920415829</v>
      </c>
      <c r="AC35" s="5">
        <f t="shared" si="26"/>
        <v>-35.033951071480153</v>
      </c>
      <c r="AD35" s="6">
        <f t="shared" si="27"/>
        <v>-175.46535191030725</v>
      </c>
    </row>
    <row r="36" spans="1:30" x14ac:dyDescent="0.2">
      <c r="A36" s="4">
        <v>4.3</v>
      </c>
      <c r="B36" s="21">
        <f t="shared" si="21"/>
        <v>199526.23149688792</v>
      </c>
      <c r="C36" s="14">
        <f t="shared" si="0"/>
        <v>6.7596919932313373</v>
      </c>
      <c r="D36" s="5">
        <f t="shared" si="1"/>
        <v>-62.663580890617972</v>
      </c>
      <c r="E36" s="5">
        <f t="shared" si="2"/>
        <v>-37.909651020346622</v>
      </c>
      <c r="F36" s="5">
        <f t="shared" si="3"/>
        <v>-89.271127113555181</v>
      </c>
      <c r="G36" s="5">
        <f t="shared" si="4"/>
        <v>2.9520459097726998E-3</v>
      </c>
      <c r="H36" s="5">
        <f t="shared" si="5"/>
        <v>1.4937139252042912</v>
      </c>
      <c r="I36" s="5">
        <f t="shared" si="6"/>
        <v>-6.7604893801120464E-8</v>
      </c>
      <c r="J36" s="17">
        <f t="shared" si="7"/>
        <v>-7.1485761420873534E-3</v>
      </c>
      <c r="K36" s="14">
        <f t="shared" si="8"/>
        <v>-102.0526044272175</v>
      </c>
      <c r="L36" s="5">
        <f t="shared" si="9"/>
        <v>-89.999547631442525</v>
      </c>
      <c r="M36" s="5">
        <f t="shared" si="10"/>
        <v>36.450098370805307</v>
      </c>
      <c r="N36" s="5">
        <f t="shared" si="11"/>
        <v>89.137748205467801</v>
      </c>
      <c r="O36" s="5">
        <f t="shared" si="12"/>
        <v>-1.6401519518647167</v>
      </c>
      <c r="P36" s="17">
        <f t="shared" si="13"/>
        <v>-34.113554600834867</v>
      </c>
      <c r="Q36" s="5">
        <f t="shared" si="22"/>
        <v>-9.3484445148987092</v>
      </c>
      <c r="R36" s="5">
        <f t="shared" si="23"/>
        <v>-70.070638456918203</v>
      </c>
      <c r="S36" s="14">
        <f t="shared" si="14"/>
        <v>17.96503179374006</v>
      </c>
      <c r="T36" s="5">
        <f t="shared" si="15"/>
        <v>82.73836633410501</v>
      </c>
      <c r="U36" s="5">
        <f t="shared" si="16"/>
        <v>-26.482301961226856</v>
      </c>
      <c r="V36" s="17">
        <f t="shared" si="17"/>
        <v>-158.1558995508739</v>
      </c>
      <c r="W36" s="14">
        <v>0</v>
      </c>
      <c r="X36" s="17">
        <f t="shared" si="18"/>
        <v>-44.893402086799775</v>
      </c>
      <c r="Y36" s="14">
        <f t="shared" si="24"/>
        <v>-0.15092407031784399</v>
      </c>
      <c r="Z36" s="17">
        <f t="shared" si="25"/>
        <v>-10.65004171398151</v>
      </c>
      <c r="AA36" s="5">
        <f t="shared" si="19"/>
        <v>-38.114303407140412</v>
      </c>
      <c r="AB36" s="5">
        <f t="shared" si="20"/>
        <v>-172.34155755555406</v>
      </c>
      <c r="AC36" s="5">
        <f t="shared" si="26"/>
        <v>-39.754455359005128</v>
      </c>
      <c r="AD36" s="6">
        <f t="shared" si="27"/>
        <v>-206.45511215638894</v>
      </c>
    </row>
    <row r="37" spans="1:30" x14ac:dyDescent="0.2">
      <c r="A37" s="4">
        <v>4.4000000000000004</v>
      </c>
      <c r="B37" s="21">
        <f t="shared" si="21"/>
        <v>251188.64315095858</v>
      </c>
      <c r="C37" s="14">
        <f t="shared" si="0"/>
        <v>8.407835363356627</v>
      </c>
      <c r="D37" s="5">
        <f t="shared" si="1"/>
        <v>-67.675819592014633</v>
      </c>
      <c r="E37" s="5">
        <f t="shared" si="2"/>
        <v>-39.909391656914799</v>
      </c>
      <c r="F37" s="5">
        <f t="shared" si="3"/>
        <v>-89.421024161081803</v>
      </c>
      <c r="G37" s="5">
        <f t="shared" si="4"/>
        <v>4.6777478685753457E-3</v>
      </c>
      <c r="H37" s="5">
        <f t="shared" si="5"/>
        <v>1.8802253321417128</v>
      </c>
      <c r="I37" s="5">
        <f t="shared" si="6"/>
        <v>-1.0714653829591315E-7</v>
      </c>
      <c r="J37" s="17">
        <f t="shared" si="7"/>
        <v>-8.9995241361063467E-3</v>
      </c>
      <c r="K37" s="14">
        <f t="shared" si="8"/>
        <v>-104.05260442711763</v>
      </c>
      <c r="L37" s="5">
        <f t="shared" si="9"/>
        <v>-89.999640670882286</v>
      </c>
      <c r="M37" s="5">
        <f t="shared" si="10"/>
        <v>38.449735402094298</v>
      </c>
      <c r="N37" s="5">
        <f t="shared" si="11"/>
        <v>89.315069972575159</v>
      </c>
      <c r="O37" s="5">
        <f t="shared" si="12"/>
        <v>-2.3735582847388512</v>
      </c>
      <c r="P37" s="17">
        <f t="shared" si="13"/>
        <v>-40.457246349893012</v>
      </c>
      <c r="Q37" s="5">
        <f t="shared" si="22"/>
        <v>-11.158118580733529</v>
      </c>
      <c r="R37" s="5">
        <f t="shared" si="23"/>
        <v>-73.933425333650433</v>
      </c>
      <c r="S37" s="14">
        <f t="shared" si="14"/>
        <v>19.93934906278151</v>
      </c>
      <c r="T37" s="5">
        <f t="shared" si="15"/>
        <v>84.220477918408861</v>
      </c>
      <c r="U37" s="5">
        <f t="shared" si="16"/>
        <v>-30.402068565086111</v>
      </c>
      <c r="V37" s="17">
        <f t="shared" si="17"/>
        <v>-162.64457649444344</v>
      </c>
      <c r="W37" s="14">
        <v>0</v>
      </c>
      <c r="X37" s="17">
        <f t="shared" si="18"/>
        <v>-56.517444708965684</v>
      </c>
      <c r="Y37" s="14">
        <f t="shared" si="24"/>
        <v>-0.23682710262829465</v>
      </c>
      <c r="Z37" s="17">
        <f t="shared" si="25"/>
        <v>-13.318976409682179</v>
      </c>
      <c r="AA37" s="5">
        <f t="shared" si="19"/>
        <v>-42.305564412740374</v>
      </c>
      <c r="AB37" s="5">
        <f t="shared" si="20"/>
        <v>-198.10413367173084</v>
      </c>
      <c r="AC37" s="5">
        <f t="shared" si="26"/>
        <v>-44.679122697479222</v>
      </c>
      <c r="AD37" s="6">
        <f t="shared" si="27"/>
        <v>-238.56138002162385</v>
      </c>
    </row>
    <row r="38" spans="1:30" x14ac:dyDescent="0.2">
      <c r="A38" s="4">
        <v>4.5</v>
      </c>
      <c r="B38" s="21">
        <f t="shared" si="21"/>
        <v>316227.76601683837</v>
      </c>
      <c r="C38" s="14">
        <f t="shared" si="0"/>
        <v>10.170203451738644</v>
      </c>
      <c r="D38" s="5">
        <f t="shared" si="1"/>
        <v>-71.935256691157406</v>
      </c>
      <c r="E38" s="5">
        <f t="shared" si="2"/>
        <v>-41.90922800168245</v>
      </c>
      <c r="F38" s="5">
        <f t="shared" si="3"/>
        <v>-89.540097367057754</v>
      </c>
      <c r="G38" s="5">
        <f t="shared" si="4"/>
        <v>7.4113973072546351E-3</v>
      </c>
      <c r="H38" s="5">
        <f t="shared" si="5"/>
        <v>2.3665667642457269</v>
      </c>
      <c r="I38" s="5">
        <f t="shared" si="6"/>
        <v>-1.698158168154143E-7</v>
      </c>
      <c r="J38" s="17">
        <f t="shared" si="7"/>
        <v>-1.1329729574502711E-2</v>
      </c>
      <c r="K38" s="14">
        <f t="shared" si="8"/>
        <v>-106.05260442705458</v>
      </c>
      <c r="L38" s="5">
        <f t="shared" si="9"/>
        <v>-89.999714574736245</v>
      </c>
      <c r="M38" s="5">
        <f t="shared" si="10"/>
        <v>40.449506368710566</v>
      </c>
      <c r="N38" s="5">
        <f t="shared" si="11"/>
        <v>89.455931176176335</v>
      </c>
      <c r="O38" s="5">
        <f t="shared" si="12"/>
        <v>-3.329668720900933</v>
      </c>
      <c r="P38" s="17">
        <f t="shared" si="13"/>
        <v>-47.032800166619758</v>
      </c>
      <c r="Q38" s="5">
        <f t="shared" si="22"/>
        <v>-13.033592463019355</v>
      </c>
      <c r="R38" s="5">
        <f t="shared" si="23"/>
        <v>-77.114232996407623</v>
      </c>
      <c r="S38" s="14">
        <f t="shared" si="14"/>
        <v>21.923065858268874</v>
      </c>
      <c r="T38" s="5">
        <f t="shared" si="15"/>
        <v>85.403414923988436</v>
      </c>
      <c r="U38" s="5">
        <f t="shared" si="16"/>
        <v>-34.352081335184877</v>
      </c>
      <c r="V38" s="17">
        <f t="shared" si="17"/>
        <v>-166.21292864726027</v>
      </c>
      <c r="W38" s="14">
        <v>0</v>
      </c>
      <c r="X38" s="17">
        <f t="shared" si="18"/>
        <v>-71.151247353788634</v>
      </c>
      <c r="Y38" s="14">
        <f t="shared" si="24"/>
        <v>-0.36958658151584989</v>
      </c>
      <c r="Z38" s="17">
        <f t="shared" si="25"/>
        <v>-16.596037696673623</v>
      </c>
      <c r="AA38" s="5">
        <f t="shared" si="19"/>
        <v>-46.515057451462056</v>
      </c>
      <c r="AB38" s="5">
        <f t="shared" si="20"/>
        <v>-225.33493219224553</v>
      </c>
      <c r="AC38" s="5">
        <f t="shared" si="26"/>
        <v>-49.844726172362989</v>
      </c>
      <c r="AD38" s="6">
        <f t="shared" si="27"/>
        <v>-272.36773235886528</v>
      </c>
    </row>
    <row r="39" spans="1:30" x14ac:dyDescent="0.2">
      <c r="A39" s="4">
        <v>4.5999999999999996</v>
      </c>
      <c r="B39" s="21">
        <f t="shared" si="21"/>
        <v>398107.17055349739</v>
      </c>
      <c r="C39" s="14">
        <f t="shared" si="0"/>
        <v>12.013289114359818</v>
      </c>
      <c r="D39" s="5">
        <f t="shared" si="1"/>
        <v>-75.47486903902913</v>
      </c>
      <c r="E39" s="5">
        <f t="shared" si="2"/>
        <v>-43.909124739038404</v>
      </c>
      <c r="F39" s="5">
        <f t="shared" si="3"/>
        <v>-89.634683458031517</v>
      </c>
      <c r="G39" s="5">
        <f t="shared" si="4"/>
        <v>1.1740418140604014E-2</v>
      </c>
      <c r="H39" s="5">
        <f t="shared" si="5"/>
        <v>2.9783409854206586</v>
      </c>
      <c r="I39" s="5">
        <f t="shared" si="6"/>
        <v>-2.6913992831001288E-7</v>
      </c>
      <c r="J39" s="17">
        <f t="shared" si="7"/>
        <v>-1.4263284361362538E-2</v>
      </c>
      <c r="K39" s="14">
        <f t="shared" si="8"/>
        <v>-108.0526044270148</v>
      </c>
      <c r="L39" s="5">
        <f t="shared" si="9"/>
        <v>-89.999773278654089</v>
      </c>
      <c r="M39" s="5">
        <f t="shared" si="10"/>
        <v>42.449361852199928</v>
      </c>
      <c r="N39" s="5">
        <f t="shared" si="11"/>
        <v>89.567825977886443</v>
      </c>
      <c r="O39" s="5">
        <f t="shared" si="12"/>
        <v>-4.5129134504941231</v>
      </c>
      <c r="P39" s="17">
        <f t="shared" si="13"/>
        <v>-53.50324767308684</v>
      </c>
      <c r="Q39" s="5">
        <f t="shared" si="22"/>
        <v>-14.953143982365336</v>
      </c>
      <c r="R39" s="5">
        <f t="shared" si="23"/>
        <v>-79.700721489836283</v>
      </c>
      <c r="S39" s="14">
        <f t="shared" si="14"/>
        <v>23.91276034882257</v>
      </c>
      <c r="T39" s="5">
        <f t="shared" si="15"/>
        <v>86.345911509455334</v>
      </c>
      <c r="U39" s="5">
        <f t="shared" si="16"/>
        <v>-38.320808258437253</v>
      </c>
      <c r="V39" s="17">
        <f t="shared" si="17"/>
        <v>-169.04823221973612</v>
      </c>
      <c r="W39" s="14">
        <v>0</v>
      </c>
      <c r="X39" s="17">
        <f t="shared" si="18"/>
        <v>-89.574113374536907</v>
      </c>
      <c r="Y39" s="14">
        <f t="shared" si="24"/>
        <v>-0.57202058266375577</v>
      </c>
      <c r="Z39" s="17">
        <f t="shared" si="25"/>
        <v>-20.566450991810179</v>
      </c>
      <c r="AA39" s="5">
        <f t="shared" si="19"/>
        <v>-50.768702074351012</v>
      </c>
      <c r="AB39" s="5">
        <f t="shared" si="20"/>
        <v>-255.12102866323315</v>
      </c>
      <c r="AC39" s="5">
        <f t="shared" si="26"/>
        <v>-55.281615524845137</v>
      </c>
      <c r="AD39" s="6">
        <f t="shared" si="27"/>
        <v>-308.62427633632001</v>
      </c>
    </row>
    <row r="40" spans="1:30" x14ac:dyDescent="0.2">
      <c r="A40" s="4">
        <v>4.7</v>
      </c>
      <c r="B40" s="21">
        <f t="shared" si="21"/>
        <v>501187.23362727294</v>
      </c>
      <c r="C40" s="14">
        <f t="shared" si="0"/>
        <v>13.911283930484885</v>
      </c>
      <c r="D40" s="5">
        <f t="shared" si="1"/>
        <v>-78.370947612742953</v>
      </c>
      <c r="E40" s="5">
        <f t="shared" si="2"/>
        <v>-45.909059583451409</v>
      </c>
      <c r="F40" s="5">
        <f t="shared" si="3"/>
        <v>-89.709817304932102</v>
      </c>
      <c r="G40" s="5">
        <f t="shared" si="4"/>
        <v>1.8592626925163357E-2</v>
      </c>
      <c r="H40" s="5">
        <f t="shared" si="5"/>
        <v>3.7475367862780726</v>
      </c>
      <c r="I40" s="5">
        <f t="shared" si="6"/>
        <v>-4.2655803184559064E-7</v>
      </c>
      <c r="J40" s="17">
        <f t="shared" si="7"/>
        <v>-1.7956410921211162E-2</v>
      </c>
      <c r="K40" s="14">
        <f t="shared" si="8"/>
        <v>-110.0526044269897</v>
      </c>
      <c r="L40" s="5">
        <f t="shared" si="9"/>
        <v>-89.99981990883353</v>
      </c>
      <c r="M40" s="5">
        <f t="shared" si="10"/>
        <v>44.449270665971746</v>
      </c>
      <c r="N40" s="5">
        <f t="shared" si="11"/>
        <v>89.656709569292758</v>
      </c>
      <c r="O40" s="5">
        <f t="shared" si="12"/>
        <v>-5.9053470376035957</v>
      </c>
      <c r="P40" s="17">
        <f t="shared" si="13"/>
        <v>-59.557148213869226</v>
      </c>
      <c r="Q40" s="5">
        <f t="shared" si="22"/>
        <v>-16.901606785745479</v>
      </c>
      <c r="R40" s="5">
        <f t="shared" si="23"/>
        <v>-81.786452230016096</v>
      </c>
      <c r="S40" s="14">
        <f t="shared" si="14"/>
        <v>25.906245406886388</v>
      </c>
      <c r="T40" s="5">
        <f t="shared" si="15"/>
        <v>87.096001944354953</v>
      </c>
      <c r="U40" s="5">
        <f t="shared" si="16"/>
        <v>-42.301185864204143</v>
      </c>
      <c r="V40" s="17">
        <f t="shared" si="17"/>
        <v>-171.30063675812613</v>
      </c>
      <c r="W40" s="14">
        <v>0</v>
      </c>
      <c r="X40" s="17">
        <f t="shared" si="18"/>
        <v>-90</v>
      </c>
      <c r="Y40" s="14">
        <f t="shared" si="24"/>
        <v>-0.87469752374367771</v>
      </c>
      <c r="Z40" s="17">
        <f t="shared" si="25"/>
        <v>-25.284075402004209</v>
      </c>
      <c r="AA40" s="5">
        <f t="shared" si="19"/>
        <v>-55.101913529638736</v>
      </c>
      <c r="AB40" s="5">
        <f t="shared" si="20"/>
        <v>-265.96945732765045</v>
      </c>
      <c r="AC40" s="5">
        <f t="shared" si="26"/>
        <v>-61.007260567242334</v>
      </c>
      <c r="AD40" s="6">
        <f t="shared" si="27"/>
        <v>-325.52660554151964</v>
      </c>
    </row>
    <row r="41" spans="1:30" x14ac:dyDescent="0.2">
      <c r="A41" s="4">
        <v>4.8</v>
      </c>
      <c r="B41" s="21">
        <f t="shared" si="21"/>
        <v>630957.34448019345</v>
      </c>
      <c r="C41" s="14">
        <f t="shared" si="0"/>
        <v>15.845668021478241</v>
      </c>
      <c r="D41" s="5">
        <f t="shared" si="1"/>
        <v>-80.715865799646252</v>
      </c>
      <c r="E41" s="5">
        <f t="shared" si="2"/>
        <v>-47.909018472552283</v>
      </c>
      <c r="F41" s="5">
        <f t="shared" si="3"/>
        <v>-89.769498964760373</v>
      </c>
      <c r="G41" s="5">
        <f t="shared" si="4"/>
        <v>2.9430548726501613E-2</v>
      </c>
      <c r="H41" s="5">
        <f t="shared" si="5"/>
        <v>4.7139435151828772</v>
      </c>
      <c r="I41" s="5">
        <f t="shared" si="6"/>
        <v>-6.7604890093708642E-7</v>
      </c>
      <c r="J41" s="17">
        <f t="shared" si="7"/>
        <v>-2.2605781580449916E-2</v>
      </c>
      <c r="K41" s="14">
        <f t="shared" si="8"/>
        <v>-112.05260442697386</v>
      </c>
      <c r="L41" s="5">
        <f t="shared" si="9"/>
        <v>-89.999856948501645</v>
      </c>
      <c r="M41" s="5">
        <f t="shared" si="10"/>
        <v>46.449213130366203</v>
      </c>
      <c r="N41" s="5">
        <f t="shared" si="11"/>
        <v>89.727313513987312</v>
      </c>
      <c r="O41" s="5">
        <f t="shared" si="12"/>
        <v>-7.4730714698473477</v>
      </c>
      <c r="P41" s="17">
        <f t="shared" si="13"/>
        <v>-64.975491390421439</v>
      </c>
      <c r="Q41" s="5">
        <f t="shared" si="22"/>
        <v>-18.868771490191396</v>
      </c>
      <c r="R41" s="5">
        <f t="shared" si="23"/>
        <v>-83.459246928609076</v>
      </c>
      <c r="S41" s="14">
        <f t="shared" si="14"/>
        <v>27.902129722101808</v>
      </c>
      <c r="T41" s="5">
        <f t="shared" si="15"/>
        <v>87.692543358697279</v>
      </c>
      <c r="U41" s="5">
        <f t="shared" si="16"/>
        <v>-46.288849457791869</v>
      </c>
      <c r="V41" s="17">
        <f t="shared" si="17"/>
        <v>-173.08984619253698</v>
      </c>
      <c r="W41" s="14">
        <v>0</v>
      </c>
      <c r="X41" s="17">
        <f t="shared" si="18"/>
        <v>-90</v>
      </c>
      <c r="Y41" s="14">
        <f t="shared" si="24"/>
        <v>-1.3149818237897504</v>
      </c>
      <c r="Z41" s="17">
        <f t="shared" si="25"/>
        <v>-30.738395398521529</v>
      </c>
      <c r="AA41" s="5">
        <f t="shared" si="19"/>
        <v>-59.555936473889773</v>
      </c>
      <c r="AB41" s="5">
        <f t="shared" si="20"/>
        <v>-275.6615156262888</v>
      </c>
      <c r="AC41" s="5">
        <f t="shared" si="26"/>
        <v>-67.029007943737128</v>
      </c>
      <c r="AD41" s="6">
        <f t="shared" si="27"/>
        <v>-340.63700701671024</v>
      </c>
    </row>
    <row r="42" spans="1:30" x14ac:dyDescent="0.2">
      <c r="A42" s="4">
        <v>4.9000000000000004</v>
      </c>
      <c r="B42" s="21">
        <f t="shared" si="21"/>
        <v>794328.2347242824</v>
      </c>
      <c r="C42" s="14">
        <f t="shared" si="0"/>
        <v>17.803751210843291</v>
      </c>
      <c r="D42" s="5">
        <f t="shared" si="1"/>
        <v>-82.601517542437875</v>
      </c>
      <c r="E42" s="5">
        <f t="shared" si="2"/>
        <v>-49.90899253312832</v>
      </c>
      <c r="F42" s="5">
        <f t="shared" si="3"/>
        <v>-89.816906155049722</v>
      </c>
      <c r="G42" s="5">
        <f t="shared" si="4"/>
        <v>4.6552287295754127E-2</v>
      </c>
      <c r="H42" s="5">
        <f t="shared" si="5"/>
        <v>5.9267005406760607</v>
      </c>
      <c r="I42" s="5">
        <f t="shared" si="6"/>
        <v>-1.0714652543930021E-6</v>
      </c>
      <c r="J42" s="17">
        <f t="shared" si="7"/>
        <v>-2.8458992021385649E-2</v>
      </c>
      <c r="K42" s="14">
        <f t="shared" si="8"/>
        <v>-114.05260442696388</v>
      </c>
      <c r="L42" s="5">
        <f t="shared" si="9"/>
        <v>-89.999886370155835</v>
      </c>
      <c r="M42" s="5">
        <f t="shared" si="10"/>
        <v>48.449176827461145</v>
      </c>
      <c r="N42" s="5">
        <f t="shared" si="11"/>
        <v>89.783396821399251</v>
      </c>
      <c r="O42" s="5">
        <f t="shared" si="12"/>
        <v>-9.1763808521676147</v>
      </c>
      <c r="P42" s="17">
        <f t="shared" si="13"/>
        <v>-69.654459884695839</v>
      </c>
      <c r="Q42" s="5">
        <f t="shared" si="22"/>
        <v>-20.847925351687017</v>
      </c>
      <c r="R42" s="5">
        <f t="shared" si="23"/>
        <v>-84.796163864600402</v>
      </c>
      <c r="S42" s="14">
        <f t="shared" si="14"/>
        <v>29.89953089228554</v>
      </c>
      <c r="T42" s="5">
        <f t="shared" si="15"/>
        <v>88.166756338743042</v>
      </c>
      <c r="U42" s="5">
        <f t="shared" si="16"/>
        <v>-50.28108364004207</v>
      </c>
      <c r="V42" s="17">
        <f t="shared" si="17"/>
        <v>-174.5110768282141</v>
      </c>
      <c r="W42" s="14">
        <v>0</v>
      </c>
      <c r="X42" s="17">
        <f t="shared" si="18"/>
        <v>-90</v>
      </c>
      <c r="Y42" s="14">
        <f t="shared" si="24"/>
        <v>-1.9325179030433333</v>
      </c>
      <c r="Z42" s="17">
        <f t="shared" si="25"/>
        <v>-36.819874550601085</v>
      </c>
      <c r="AA42" s="5">
        <f t="shared" si="19"/>
        <v>-64.172265257658609</v>
      </c>
      <c r="AB42" s="5">
        <f t="shared" si="20"/>
        <v>-284.69703060226203</v>
      </c>
      <c r="AC42" s="5">
        <f t="shared" si="26"/>
        <v>-73.34864610982622</v>
      </c>
      <c r="AD42" s="6">
        <f t="shared" si="27"/>
        <v>-354.35149048695786</v>
      </c>
    </row>
    <row r="43" spans="1:30" ht="13.5" thickBot="1" x14ac:dyDescent="0.25">
      <c r="A43" s="9">
        <v>5</v>
      </c>
      <c r="B43" s="23">
        <f t="shared" si="21"/>
        <v>1000000</v>
      </c>
      <c r="C43" s="15">
        <f t="shared" si="0"/>
        <v>19.77709380121409</v>
      </c>
      <c r="D43" s="10">
        <f t="shared" si="1"/>
        <v>-84.111118088804517</v>
      </c>
      <c r="E43" s="10">
        <f t="shared" si="2"/>
        <v>-51.908976166378515</v>
      </c>
      <c r="F43" s="10">
        <f t="shared" si="3"/>
        <v>-89.854563206654788</v>
      </c>
      <c r="G43" s="10">
        <f t="shared" si="4"/>
        <v>7.3550898571070875E-2</v>
      </c>
      <c r="H43" s="10">
        <f t="shared" si="5"/>
        <v>7.4458000896420886</v>
      </c>
      <c r="I43" s="10">
        <f t="shared" si="6"/>
        <v>-1.6981578643215004E-6</v>
      </c>
      <c r="J43" s="18">
        <f t="shared" si="7"/>
        <v>-3.5827746526439483E-2</v>
      </c>
      <c r="K43" s="15">
        <f t="shared" si="8"/>
        <v>-116.05260442695757</v>
      </c>
      <c r="L43" s="10">
        <f t="shared" si="9"/>
        <v>-89.999909740606483</v>
      </c>
      <c r="M43" s="10">
        <f t="shared" si="10"/>
        <v>50.449153921720409</v>
      </c>
      <c r="N43" s="10">
        <f t="shared" si="11"/>
        <v>89.827945677020836</v>
      </c>
      <c r="O43" s="10">
        <f t="shared" si="12"/>
        <v>-10.97818484241637</v>
      </c>
      <c r="P43" s="18">
        <f t="shared" si="13"/>
        <v>-73.587721154835833</v>
      </c>
      <c r="Q43" s="10">
        <f t="shared" si="22"/>
        <v>-22.834720655594815</v>
      </c>
      <c r="R43" s="10">
        <f t="shared" si="23"/>
        <v>-85.862250788822308</v>
      </c>
      <c r="S43" s="15">
        <f t="shared" si="14"/>
        <v>31.897890340991559</v>
      </c>
      <c r="T43" s="10">
        <f t="shared" si="15"/>
        <v>88.543619406840008</v>
      </c>
      <c r="U43" s="10">
        <f t="shared" si="16"/>
        <v>-54.27619093266177</v>
      </c>
      <c r="V43" s="18">
        <f t="shared" si="17"/>
        <v>-175.63999979262243</v>
      </c>
      <c r="W43" s="15">
        <v>0</v>
      </c>
      <c r="X43" s="18">
        <f t="shared" si="18"/>
        <v>-90</v>
      </c>
      <c r="Y43" s="15">
        <f t="shared" si="24"/>
        <v>-2.7606280443612299</v>
      </c>
      <c r="Z43" s="18">
        <f t="shared" si="25"/>
        <v>-43.303807307170665</v>
      </c>
      <c r="AA43" s="5">
        <f t="shared" si="19"/>
        <v>-68.983584510829104</v>
      </c>
      <c r="AB43" s="10">
        <f t="shared" si="20"/>
        <v>-292.99011149770473</v>
      </c>
      <c r="AC43" s="10">
        <f t="shared" si="26"/>
        <v>-79.961769353245472</v>
      </c>
      <c r="AD43" s="19">
        <f t="shared" si="27"/>
        <v>-366.57783265254056</v>
      </c>
    </row>
    <row r="44" spans="1:30" ht="13.5" thickTop="1" x14ac:dyDescent="0.2"/>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75" x14ac:dyDescent="0.2"/>
  <cols>
    <col min="1" max="1" width="128" customWidth="1"/>
    <col min="2" max="2" width="13.5703125" customWidth="1"/>
    <col min="257" max="257" width="128" customWidth="1"/>
    <col min="258" max="258" width="13.5703125" customWidth="1"/>
    <col min="513" max="513" width="128" customWidth="1"/>
    <col min="514" max="514" width="13.5703125" customWidth="1"/>
    <col min="769" max="769" width="128" customWidth="1"/>
    <col min="770" max="770" width="13.5703125" customWidth="1"/>
    <col min="1025" max="1025" width="128" customWidth="1"/>
    <col min="1026" max="1026" width="13.5703125" customWidth="1"/>
    <col min="1281" max="1281" width="128" customWidth="1"/>
    <col min="1282" max="1282" width="13.5703125" customWidth="1"/>
    <col min="1537" max="1537" width="128" customWidth="1"/>
    <col min="1538" max="1538" width="13.5703125" customWidth="1"/>
    <col min="1793" max="1793" width="128" customWidth="1"/>
    <col min="1794" max="1794" width="13.5703125" customWidth="1"/>
    <col min="2049" max="2049" width="128" customWidth="1"/>
    <col min="2050" max="2050" width="13.5703125" customWidth="1"/>
    <col min="2305" max="2305" width="128" customWidth="1"/>
    <col min="2306" max="2306" width="13.5703125" customWidth="1"/>
    <col min="2561" max="2561" width="128" customWidth="1"/>
    <col min="2562" max="2562" width="13.5703125" customWidth="1"/>
    <col min="2817" max="2817" width="128" customWidth="1"/>
    <col min="2818" max="2818" width="13.5703125" customWidth="1"/>
    <col min="3073" max="3073" width="128" customWidth="1"/>
    <col min="3074" max="3074" width="13.5703125" customWidth="1"/>
    <col min="3329" max="3329" width="128" customWidth="1"/>
    <col min="3330" max="3330" width="13.5703125" customWidth="1"/>
    <col min="3585" max="3585" width="128" customWidth="1"/>
    <col min="3586" max="3586" width="13.5703125" customWidth="1"/>
    <col min="3841" max="3841" width="128" customWidth="1"/>
    <col min="3842" max="3842" width="13.5703125" customWidth="1"/>
    <col min="4097" max="4097" width="128" customWidth="1"/>
    <col min="4098" max="4098" width="13.5703125" customWidth="1"/>
    <col min="4353" max="4353" width="128" customWidth="1"/>
    <col min="4354" max="4354" width="13.5703125" customWidth="1"/>
    <col min="4609" max="4609" width="128" customWidth="1"/>
    <col min="4610" max="4610" width="13.5703125" customWidth="1"/>
    <col min="4865" max="4865" width="128" customWidth="1"/>
    <col min="4866" max="4866" width="13.5703125" customWidth="1"/>
    <col min="5121" max="5121" width="128" customWidth="1"/>
    <col min="5122" max="5122" width="13.5703125" customWidth="1"/>
    <col min="5377" max="5377" width="128" customWidth="1"/>
    <col min="5378" max="5378" width="13.5703125" customWidth="1"/>
    <col min="5633" max="5633" width="128" customWidth="1"/>
    <col min="5634" max="5634" width="13.5703125" customWidth="1"/>
    <col min="5889" max="5889" width="128" customWidth="1"/>
    <col min="5890" max="5890" width="13.5703125" customWidth="1"/>
    <col min="6145" max="6145" width="128" customWidth="1"/>
    <col min="6146" max="6146" width="13.5703125" customWidth="1"/>
    <col min="6401" max="6401" width="128" customWidth="1"/>
    <col min="6402" max="6402" width="13.5703125" customWidth="1"/>
    <col min="6657" max="6657" width="128" customWidth="1"/>
    <col min="6658" max="6658" width="13.5703125" customWidth="1"/>
    <col min="6913" max="6913" width="128" customWidth="1"/>
    <col min="6914" max="6914" width="13.5703125" customWidth="1"/>
    <col min="7169" max="7169" width="128" customWidth="1"/>
    <col min="7170" max="7170" width="13.5703125" customWidth="1"/>
    <col min="7425" max="7425" width="128" customWidth="1"/>
    <col min="7426" max="7426" width="13.5703125" customWidth="1"/>
    <col min="7681" max="7681" width="128" customWidth="1"/>
    <col min="7682" max="7682" width="13.5703125" customWidth="1"/>
    <col min="7937" max="7937" width="128" customWidth="1"/>
    <col min="7938" max="7938" width="13.5703125" customWidth="1"/>
    <col min="8193" max="8193" width="128" customWidth="1"/>
    <col min="8194" max="8194" width="13.5703125" customWidth="1"/>
    <col min="8449" max="8449" width="128" customWidth="1"/>
    <col min="8450" max="8450" width="13.5703125" customWidth="1"/>
    <col min="8705" max="8705" width="128" customWidth="1"/>
    <col min="8706" max="8706" width="13.5703125" customWidth="1"/>
    <col min="8961" max="8961" width="128" customWidth="1"/>
    <col min="8962" max="8962" width="13.5703125" customWidth="1"/>
    <col min="9217" max="9217" width="128" customWidth="1"/>
    <col min="9218" max="9218" width="13.5703125" customWidth="1"/>
    <col min="9473" max="9473" width="128" customWidth="1"/>
    <col min="9474" max="9474" width="13.5703125" customWidth="1"/>
    <col min="9729" max="9729" width="128" customWidth="1"/>
    <col min="9730" max="9730" width="13.5703125" customWidth="1"/>
    <col min="9985" max="9985" width="128" customWidth="1"/>
    <col min="9986" max="9986" width="13.5703125" customWidth="1"/>
    <col min="10241" max="10241" width="128" customWidth="1"/>
    <col min="10242" max="10242" width="13.5703125" customWidth="1"/>
    <col min="10497" max="10497" width="128" customWidth="1"/>
    <col min="10498" max="10498" width="13.5703125" customWidth="1"/>
    <col min="10753" max="10753" width="128" customWidth="1"/>
    <col min="10754" max="10754" width="13.5703125" customWidth="1"/>
    <col min="11009" max="11009" width="128" customWidth="1"/>
    <col min="11010" max="11010" width="13.5703125" customWidth="1"/>
    <col min="11265" max="11265" width="128" customWidth="1"/>
    <col min="11266" max="11266" width="13.5703125" customWidth="1"/>
    <col min="11521" max="11521" width="128" customWidth="1"/>
    <col min="11522" max="11522" width="13.5703125" customWidth="1"/>
    <col min="11777" max="11777" width="128" customWidth="1"/>
    <col min="11778" max="11778" width="13.5703125" customWidth="1"/>
    <col min="12033" max="12033" width="128" customWidth="1"/>
    <col min="12034" max="12034" width="13.5703125" customWidth="1"/>
    <col min="12289" max="12289" width="128" customWidth="1"/>
    <col min="12290" max="12290" width="13.5703125" customWidth="1"/>
    <col min="12545" max="12545" width="128" customWidth="1"/>
    <col min="12546" max="12546" width="13.5703125" customWidth="1"/>
    <col min="12801" max="12801" width="128" customWidth="1"/>
    <col min="12802" max="12802" width="13.5703125" customWidth="1"/>
    <col min="13057" max="13057" width="128" customWidth="1"/>
    <col min="13058" max="13058" width="13.5703125" customWidth="1"/>
    <col min="13313" max="13313" width="128" customWidth="1"/>
    <col min="13314" max="13314" width="13.5703125" customWidth="1"/>
    <col min="13569" max="13569" width="128" customWidth="1"/>
    <col min="13570" max="13570" width="13.5703125" customWidth="1"/>
    <col min="13825" max="13825" width="128" customWidth="1"/>
    <col min="13826" max="13826" width="13.5703125" customWidth="1"/>
    <col min="14081" max="14081" width="128" customWidth="1"/>
    <col min="14082" max="14082" width="13.5703125" customWidth="1"/>
    <col min="14337" max="14337" width="128" customWidth="1"/>
    <col min="14338" max="14338" width="13.5703125" customWidth="1"/>
    <col min="14593" max="14593" width="128" customWidth="1"/>
    <col min="14594" max="14594" width="13.5703125" customWidth="1"/>
    <col min="14849" max="14849" width="128" customWidth="1"/>
    <col min="14850" max="14850" width="13.5703125" customWidth="1"/>
    <col min="15105" max="15105" width="128" customWidth="1"/>
    <col min="15106" max="15106" width="13.5703125" customWidth="1"/>
    <col min="15361" max="15361" width="128" customWidth="1"/>
    <col min="15362" max="15362" width="13.5703125" customWidth="1"/>
    <col min="15617" max="15617" width="128" customWidth="1"/>
    <col min="15618" max="15618" width="13.5703125" customWidth="1"/>
    <col min="15873" max="15873" width="128" customWidth="1"/>
    <col min="15874" max="15874" width="13.5703125" customWidth="1"/>
    <col min="16129" max="16129" width="128" customWidth="1"/>
    <col min="16130" max="16130" width="13.5703125" customWidth="1"/>
  </cols>
  <sheetData>
    <row r="1" spans="1:1" ht="75" x14ac:dyDescent="0.3">
      <c r="A1" s="27" t="s">
        <v>176</v>
      </c>
    </row>
    <row r="2" spans="1:1" x14ac:dyDescent="0.2">
      <c r="A2" s="28"/>
    </row>
    <row r="3" spans="1:1" ht="90" x14ac:dyDescent="0.3">
      <c r="A3" s="27" t="s">
        <v>177</v>
      </c>
    </row>
    <row r="4" spans="1:1" x14ac:dyDescent="0.2">
      <c r="A4" s="28"/>
    </row>
    <row r="5" spans="1:1" ht="60" x14ac:dyDescent="0.3">
      <c r="A5" s="27" t="s">
        <v>178</v>
      </c>
    </row>
    <row r="6" spans="1:1" x14ac:dyDescent="0.2">
      <c r="A6" s="28"/>
    </row>
    <row r="7" spans="1:1" ht="90" x14ac:dyDescent="0.3">
      <c r="A7" s="27" t="s">
        <v>179</v>
      </c>
    </row>
    <row r="8" spans="1:1" x14ac:dyDescent="0.2">
      <c r="A8" s="28"/>
    </row>
    <row r="9" spans="1:1" ht="15" x14ac:dyDescent="0.3">
      <c r="A9" s="27" t="s">
        <v>222</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Rpcb</vt:lpstr>
      <vt:lpstr>tou</vt:lpstr>
      <vt:lpstr>V_m</vt:lpstr>
      <vt:lpstr>Vin</vt:lpstr>
      <vt:lpstr>Vin_eff</vt:lpstr>
      <vt:lpstr>Vin_LP</vt:lpstr>
      <vt:lpstr>Vin_max</vt:lpstr>
      <vt:lpstr>Vin_min</vt:lpstr>
      <vt:lpstr>Vout</vt:lpstr>
      <vt:lpstr>Vout_LP</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Xun, Bryce</cp:lastModifiedBy>
  <dcterms:created xsi:type="dcterms:W3CDTF">2011-04-19T20:45:42Z</dcterms:created>
  <dcterms:modified xsi:type="dcterms:W3CDTF">2024-12-10T11:14:39Z</dcterms:modified>
</cp:coreProperties>
</file>