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workbookProtection workbookPassword="803F" lockStructure="1"/>
  <bookViews>
    <workbookView xWindow="990" yWindow="5805" windowWidth="21825" windowHeight="3765"/>
  </bookViews>
  <sheets>
    <sheet name="Device Calculator" sheetId="7" r:id="rId1"/>
    <sheet name="Schematic Checklist" sheetId="6" state="hidden" r:id="rId2"/>
    <sheet name="Layout Checklist" sheetId="5" state="hidden" r:id="rId3"/>
    <sheet name="partData" sheetId="8" state="hidden" r:id="rId4"/>
    <sheet name="partData (2)" sheetId="9" state="hidden" r:id="rId5"/>
    <sheet name="Extra" sheetId="4" state="hidden" r:id="rId6"/>
  </sheets>
  <externalReferences>
    <externalReference r:id="rId7"/>
  </externalReferences>
  <definedNames>
    <definedName name="_xlnm._FilterDatabase" localSheetId="2" hidden="1">'Layout Checklist'!$A$1:$R$27</definedName>
    <definedName name="_xlnm._FilterDatabase" localSheetId="1" hidden="1">'Schematic Checklist'!$A$1:$O$55</definedName>
    <definedName name="c_ramp">'Device Calculator'!$E$117</definedName>
    <definedName name="Cboot" localSheetId="4">[1]designCalculations!$E$119</definedName>
    <definedName name="Cboot">'Device Calculator'!$E$112</definedName>
    <definedName name="Cff" localSheetId="4">[1]designCalculations!$E$104</definedName>
    <definedName name="Cff">'Device Calculator'!#REF!</definedName>
    <definedName name="Cin" localSheetId="4">[1]designCalculations!$E$93</definedName>
    <definedName name="Cin">'Device Calculator'!$E$93</definedName>
    <definedName name="Cout" localSheetId="0">'Device Calculator'!$F$79</definedName>
    <definedName name="Cout" localSheetId="4">[1]designCalculations!$F$79</definedName>
    <definedName name="Cout_derating" localSheetId="4">[1]designCalculations!$E$78</definedName>
    <definedName name="Cout_derating">'Device Calculator'!$E$78</definedName>
    <definedName name="Cout_F" localSheetId="3">partData!Cout*0.000001</definedName>
    <definedName name="Cout_F" localSheetId="4">'partData (2)'!Cout*0.000001</definedName>
    <definedName name="Cout_F">'Device Calculator'!Cout*0.000001</definedName>
    <definedName name="Cout_nominal" localSheetId="4">[1]designCalculations!$E$75</definedName>
    <definedName name="Cout_nominal">'Device Calculator'!$E$75</definedName>
    <definedName name="Css" localSheetId="4">[1]designCalculations!#REF!</definedName>
    <definedName name="Css">'Device Calculator'!#REF!</definedName>
    <definedName name="Cvcc" localSheetId="4">[1]designCalculations!$E$117</definedName>
    <definedName name="Cvcc">'Device Calculator'!$E$110</definedName>
    <definedName name="DCR" localSheetId="0">'Device Calculator'!$E$45</definedName>
    <definedName name="DCR" localSheetId="4">[1]designCalculations!$E$45</definedName>
    <definedName name="DCR_Ohm" localSheetId="3">partData!DCR*0.001</definedName>
    <definedName name="DCR_Ohm" localSheetId="4">'partData (2)'!DCR*0.001</definedName>
    <definedName name="DCR_Ohm">'Device Calculator'!DCR*0.001</definedName>
    <definedName name="dVo_dc" localSheetId="4">[1]designCalculations!$C$65</definedName>
    <definedName name="dVo_dc">'Device Calculator'!$C$65</definedName>
    <definedName name="dVo_trans" localSheetId="4">[1]designCalculations!$C$64</definedName>
    <definedName name="dVo_trans">'Device Calculator'!$C$64</definedName>
    <definedName name="EN_fall" localSheetId="4">[1]designCalculations!$C$12</definedName>
    <definedName name="EN_fall">'Device Calculator'!$C$12</definedName>
    <definedName name="EN_pin_connected">'Device Calculator'!$D$98</definedName>
    <definedName name="EN_pin_in">'Device Calculator'!$C$98</definedName>
    <definedName name="EN_rise" localSheetId="4">[1]designCalculations!$C$11</definedName>
    <definedName name="EN_rise">'Device Calculator'!$C$11</definedName>
    <definedName name="ESR" localSheetId="0">'Device Calculator'!$F$80</definedName>
    <definedName name="ESR" localSheetId="4">[1]designCalculations!$F$80</definedName>
    <definedName name="ESR_nominal" localSheetId="4">[1]designCalculations!$E$76</definedName>
    <definedName name="ESR_nominal">'Device Calculator'!$E$76</definedName>
    <definedName name="ESR_Ohm" localSheetId="3">partData!ESR*0.001</definedName>
    <definedName name="ESR_Ohm" localSheetId="4">'partData (2)'!ESR*0.001</definedName>
    <definedName name="ESR_Ohm">'Device Calculator'!ESR*0.001</definedName>
    <definedName name="f_LC" localSheetId="4">[1]designCalculations!$F$85</definedName>
    <definedName name="f_LC">'Device Calculator'!$F$85</definedName>
    <definedName name="fsw_Hz" localSheetId="3">partData!fsw_select*1000</definedName>
    <definedName name="fsw_Hz" localSheetId="4">'partData (2)'!fsw_select*1000</definedName>
    <definedName name="fsw_Hz">fsw_select*1000</definedName>
    <definedName name="fsw_select" localSheetId="4">[1]designCalculations!$C$35</definedName>
    <definedName name="fsw_select">'Device Calculator'!$C$35</definedName>
    <definedName name="I_lim_target" localSheetId="4">[1]designCalculations!$C$54</definedName>
    <definedName name="I_lim_target">'Device Calculator'!$C$54</definedName>
    <definedName name="I_lim_typ" localSheetId="4">[1]designCalculations!$F$57</definedName>
    <definedName name="I_lim_typ">'Device Calculator'!$F$57</definedName>
    <definedName name="Io_max_IC" localSheetId="4">[1]designCalculations!$C$9</definedName>
    <definedName name="Io_max_IC">'Device Calculator'!$C$9</definedName>
    <definedName name="Io_step" localSheetId="4">[1]designCalculations!$C$63</definedName>
    <definedName name="Io_step">'Device Calculator'!$C$63</definedName>
    <definedName name="Iout" localSheetId="4">[1]designCalculations!$C$26</definedName>
    <definedName name="Iout">'Device Calculator'!$C$26</definedName>
    <definedName name="Iripple_max" localSheetId="4">[1]designCalculations!$F$47</definedName>
    <definedName name="Iripple_max">'Device Calculator'!$F$47</definedName>
    <definedName name="Iripple_min" localSheetId="4">[1]designCalculations!$F$50</definedName>
    <definedName name="Iripple_min">'Device Calculator'!$F$50</definedName>
    <definedName name="Iripple_nom" localSheetId="4">[1]designCalculations!#REF!</definedName>
    <definedName name="Iripple_nom">'Device Calculator'!#REF!</definedName>
    <definedName name="Iss" localSheetId="4">[1]designCalculations!#REF!</definedName>
    <definedName name="Iss">'Device Calculator'!#REF!</definedName>
    <definedName name="Ivalley" localSheetId="4">[1]designCalculations!$F$51</definedName>
    <definedName name="Ivalley">'Device Calculator'!$F$51</definedName>
    <definedName name="K" localSheetId="4">#REF!</definedName>
    <definedName name="Kind" localSheetId="4">[1]designCalculations!$C$40</definedName>
    <definedName name="Kind">'Device Calculator'!$C$40</definedName>
    <definedName name="Lout" localSheetId="0">'Device Calculator'!$E$44</definedName>
    <definedName name="Lout" localSheetId="4">[1]designCalculations!$E$44</definedName>
    <definedName name="Lout_H" localSheetId="3">partData!Lout*0.000001</definedName>
    <definedName name="Lout_H" localSheetId="4">'partData (2)'!Lout*0.000001</definedName>
    <definedName name="Lout_H">'Device Calculator'!Lout*0.000001</definedName>
    <definedName name="N_Cout" localSheetId="4">[1]designCalculations!$E$77</definedName>
    <definedName name="N_Cout">'Device Calculator'!$E$77</definedName>
    <definedName name="N_factor">'Device Calculator'!$F$116</definedName>
    <definedName name="OC_clamp" localSheetId="4">[1]designCalculations!$C$15</definedName>
    <definedName name="OC_clamp">'Device Calculator'!$C$15</definedName>
    <definedName name="_xlnm.Print_Titles" localSheetId="2">'Layout Checklist'!#REF!</definedName>
    <definedName name="_xlnm.Print_Titles" localSheetId="1">'Schematic Checklist'!$1:$1</definedName>
    <definedName name="Q_input" localSheetId="4">[1]designCalculations!$D$91</definedName>
    <definedName name="Q_input">'Device Calculator'!$D$91</definedName>
    <definedName name="r_ripple">'Device Calculator'!$E$122</definedName>
    <definedName name="Rdson_HS" localSheetId="4">[1]designCalculations!$C$19</definedName>
    <definedName name="Rdson_HS">'Device Calculator'!$C$19</definedName>
    <definedName name="Rdson_HS_Ohm" localSheetId="3">[0]!Rdson_HS*0.001</definedName>
    <definedName name="Rdson_HS_Ohm" localSheetId="4">'partData (2)'!Rdson_HS*0.001</definedName>
    <definedName name="Rdson_HS_Ohm">Rdson_HS*0.001</definedName>
    <definedName name="Rdson_LS" localSheetId="4">[1]designCalculations!$C$20</definedName>
    <definedName name="Rdson_LS">'Device Calculator'!$C$20</definedName>
    <definedName name="Rdson_LS_Ohm" localSheetId="3">[0]!Rdson_LS*0.001</definedName>
    <definedName name="Rdson_LS_Ohm" localSheetId="4">'partData (2)'!Rdson_LS*0.001</definedName>
    <definedName name="Rdson_LS_Ohm">Rdson_LS*0.001</definedName>
    <definedName name="Ren_b" localSheetId="4">[1]designCalculations!$E$109</definedName>
    <definedName name="Ren_b">'Device Calculator'!$E$101</definedName>
    <definedName name="Ren_b_eff" localSheetId="4">[1]designCalculations!$F$110</definedName>
    <definedName name="Ren_b_eff">'Device Calculator'!$F$102</definedName>
    <definedName name="Ren_t" localSheetId="4">[1]designCalculations!$E$112</definedName>
    <definedName name="Ren_t">'Device Calculator'!$E$104</definedName>
    <definedName name="Rfb_b" localSheetId="4">[1]designCalculations!$E$98</definedName>
    <definedName name="Rfb_b">'Device Calculator'!$E$128</definedName>
    <definedName name="Rfb_t" localSheetId="4">[1]designCalculations!$E$100</definedName>
    <definedName name="Rfb_t">'Device Calculator'!$E$130</definedName>
    <definedName name="Rfb_t_final">'Device Calculator'!$F$135</definedName>
    <definedName name="ROVP_margin">'Device Calculator'!$C$136</definedName>
    <definedName name="rovp_total">'Device Calculator'!$D$136</definedName>
    <definedName name="Rpg" localSheetId="4">[1]designCalculations!$E$121</definedName>
    <definedName name="Rpg">'Device Calculator'!$E$114</definedName>
    <definedName name="Rrovp_b">'Device Calculator'!$E$138</definedName>
    <definedName name="Rrovp_t">'Device Calculator'!$E$140</definedName>
    <definedName name="Rtrip" localSheetId="4">[1]designCalculations!$E$56</definedName>
    <definedName name="Rtrip">'Device Calculator'!$E$56</definedName>
    <definedName name="Rtrip_gain">'Device Calculator'!$C$16</definedName>
    <definedName name="toff_min_max" localSheetId="4">[1]designCalculations!$C$18</definedName>
    <definedName name="toff_min_max">'Device Calculator'!$C$18</definedName>
    <definedName name="toff_min_max_sec" localSheetId="3">[0]!toff_min_max*0.000000001</definedName>
    <definedName name="toff_min_max_sec" localSheetId="4">'partData (2)'!toff_min_max*0.000000001</definedName>
    <definedName name="toff_min_max_sec">toff_min_max*0.000000001</definedName>
    <definedName name="Tol_L" localSheetId="4">[1]designCalculations!$E$46</definedName>
    <definedName name="Tol_L">'Device Calculator'!$E$46</definedName>
    <definedName name="ton_min_max" localSheetId="4">[1]designCalculations!$C$17</definedName>
    <definedName name="ton_min_max">'Device Calculator'!$C$17</definedName>
    <definedName name="Tss_target" localSheetId="4">[1]designCalculations!#REF!</definedName>
    <definedName name="Tss_target">'Device Calculator'!#REF!</definedName>
    <definedName name="vfb_1">'Device Calculator'!$D$125</definedName>
    <definedName name="vfb_ripple_calc">'Device Calculator'!$D$124</definedName>
    <definedName name="Vi_ripple_target" localSheetId="4">[1]designCalculations!$C$90</definedName>
    <definedName name="Vi_ripple_target">'Device Calculator'!$C$90</definedName>
    <definedName name="Vin_max" localSheetId="4">[1]designCalculations!$C$24</definedName>
    <definedName name="Vin_max">'Device Calculator'!$C$24</definedName>
    <definedName name="Vin_min" localSheetId="4">[1]designCalculations!$C$22</definedName>
    <definedName name="Vin_min">'Device Calculator'!$C$22</definedName>
    <definedName name="Vin_nom" localSheetId="4">[1]designCalculations!$C$23</definedName>
    <definedName name="Vin_nom">'Device Calculator'!$C$23</definedName>
    <definedName name="vinj_calculated">'Device Calculator'!$D$123</definedName>
    <definedName name="Vout" localSheetId="4">[1]designCalculations!$C$25</definedName>
    <definedName name="Vout">'Device Calculator'!$C$25</definedName>
    <definedName name="Vref" localSheetId="4">[1]designCalculations!$C$8</definedName>
    <definedName name="Vref">'Device Calculator'!$C$8</definedName>
    <definedName name="Vstart_target" localSheetId="4">[1]designCalculations!$C$107</definedName>
    <definedName name="Vstart_target">'Device Calculator'!$C$99</definedName>
  </definedNames>
  <calcPr calcId="145621"/>
</workbook>
</file>

<file path=xl/calcChain.xml><?xml version="1.0" encoding="utf-8"?>
<calcChain xmlns="http://schemas.openxmlformats.org/spreadsheetml/2006/main">
  <c r="F131" i="7" l="1"/>
  <c r="D123" i="7"/>
  <c r="F120" i="7"/>
  <c r="D118" i="7" l="1"/>
  <c r="F116" i="7"/>
  <c r="D136" i="7" l="1"/>
  <c r="A24" i="8"/>
  <c r="A20" i="8"/>
  <c r="F15" i="6"/>
  <c r="D98" i="7"/>
  <c r="F105" i="7" s="1"/>
  <c r="G26" i="6" l="1"/>
  <c r="G14" i="6"/>
  <c r="G12" i="6"/>
  <c r="G10" i="6"/>
  <c r="C7" i="7"/>
  <c r="D37" i="7"/>
  <c r="D36" i="7"/>
  <c r="D31" i="7"/>
  <c r="D30" i="7"/>
  <c r="C20" i="7"/>
  <c r="C19" i="7"/>
  <c r="C18" i="7"/>
  <c r="C17" i="7"/>
  <c r="C16" i="7"/>
  <c r="C15" i="7"/>
  <c r="C14" i="7"/>
  <c r="C13" i="7"/>
  <c r="C12" i="7"/>
  <c r="C11" i="7"/>
  <c r="C10" i="7"/>
  <c r="C9" i="7"/>
  <c r="C8" i="7"/>
  <c r="C6" i="7"/>
  <c r="C5" i="7"/>
  <c r="F141" i="7" l="1"/>
  <c r="D139" i="7"/>
  <c r="F12" i="6"/>
  <c r="F10" i="6"/>
  <c r="G3" i="6"/>
  <c r="G27" i="6"/>
  <c r="G23" i="6"/>
  <c r="B13" i="9"/>
  <c r="A18" i="9" s="1"/>
  <c r="R9" i="9"/>
  <c r="N9" i="9"/>
  <c r="G9" i="9"/>
  <c r="C9" i="9"/>
  <c r="U8" i="9"/>
  <c r="U9" i="9" s="1"/>
  <c r="T8" i="9"/>
  <c r="T9" i="9" s="1"/>
  <c r="S8" i="9"/>
  <c r="S9" i="9" s="1"/>
  <c r="R8" i="9"/>
  <c r="Q8" i="9"/>
  <c r="Q9" i="9" s="1"/>
  <c r="P8" i="9"/>
  <c r="P9" i="9" s="1"/>
  <c r="O8" i="9"/>
  <c r="O9" i="9" s="1"/>
  <c r="N8" i="9"/>
  <c r="M8" i="9"/>
  <c r="M9" i="9" s="1"/>
  <c r="I8" i="9"/>
  <c r="I9" i="9" s="1"/>
  <c r="H8" i="9"/>
  <c r="H9" i="9" s="1"/>
  <c r="G8" i="9"/>
  <c r="F8" i="9"/>
  <c r="F9" i="9" s="1"/>
  <c r="E8" i="9"/>
  <c r="E9" i="9" s="1"/>
  <c r="D8" i="9"/>
  <c r="D9" i="9" s="1"/>
  <c r="C8" i="9"/>
  <c r="B8" i="9"/>
  <c r="B9" i="9" s="1"/>
  <c r="F102" i="7"/>
  <c r="D103" i="7" s="1"/>
  <c r="F95" i="7"/>
  <c r="D91" i="7"/>
  <c r="D89" i="7"/>
  <c r="C90" i="7" s="1"/>
  <c r="F84" i="7"/>
  <c r="F80" i="7"/>
  <c r="F79" i="7"/>
  <c r="D121" i="7" s="1"/>
  <c r="D71" i="7"/>
  <c r="D69" i="7"/>
  <c r="C64" i="7"/>
  <c r="C63" i="7"/>
  <c r="F50" i="7"/>
  <c r="F51" i="7" s="1"/>
  <c r="D53" i="7" s="1"/>
  <c r="F47" i="7"/>
  <c r="D41" i="7"/>
  <c r="F26" i="6" s="1"/>
  <c r="Q12" i="7"/>
  <c r="Q25" i="7"/>
  <c r="Q24" i="7"/>
  <c r="Q23" i="7"/>
  <c r="Q22" i="7"/>
  <c r="Q21" i="7"/>
  <c r="Q20" i="7"/>
  <c r="Q19" i="7"/>
  <c r="D34" i="7"/>
  <c r="Q18" i="7"/>
  <c r="Q17" i="7"/>
  <c r="D33" i="7"/>
  <c r="Q16" i="7"/>
  <c r="Q15" i="7"/>
  <c r="Q13" i="7"/>
  <c r="D43" i="7"/>
  <c r="D66" i="7" l="1"/>
  <c r="D68" i="7"/>
  <c r="F85" i="7"/>
  <c r="A23" i="8" s="1"/>
  <c r="F107" i="7"/>
  <c r="Q14" i="7"/>
  <c r="D72" i="7"/>
  <c r="F106" i="7"/>
  <c r="F81" i="7"/>
  <c r="E21" i="9"/>
  <c r="D21" i="9" s="1"/>
  <c r="E18" i="9"/>
  <c r="D18" i="9" s="1"/>
  <c r="A17" i="9"/>
  <c r="D92" i="7"/>
  <c r="F23" i="6" s="1"/>
  <c r="A16" i="9"/>
  <c r="F82" i="7"/>
  <c r="F86" i="7"/>
  <c r="D42" i="7"/>
  <c r="F49" i="7"/>
  <c r="D55" i="7"/>
  <c r="F14" i="6" s="1"/>
  <c r="D67" i="7"/>
  <c r="F83" i="7"/>
  <c r="F133" i="7" s="1"/>
  <c r="F134" i="7" s="1"/>
  <c r="F135" i="7" s="1"/>
  <c r="A15" i="8" s="1"/>
  <c r="A16" i="8" s="1"/>
  <c r="A19" i="8" s="1"/>
  <c r="F57" i="7"/>
  <c r="F94" i="7"/>
  <c r="D73" i="7"/>
  <c r="F48" i="7"/>
  <c r="D124" i="7" l="1"/>
  <c r="D125" i="7" s="1"/>
  <c r="D129" i="7" s="1"/>
  <c r="F3" i="6" s="1"/>
  <c r="D74" i="7"/>
  <c r="D70" i="7"/>
  <c r="F27" i="6" s="1"/>
  <c r="E17" i="9"/>
  <c r="D17" i="9" s="1"/>
  <c r="E20" i="9"/>
  <c r="D20" i="9" s="1"/>
  <c r="E19" i="9"/>
  <c r="D19" i="9" s="1"/>
  <c r="E16" i="9"/>
  <c r="D16" i="9" s="1"/>
  <c r="F59" i="7"/>
  <c r="F58" i="7"/>
  <c r="F60" i="7"/>
  <c r="F132" i="7" l="1"/>
</calcChain>
</file>

<file path=xl/comments1.xml><?xml version="1.0" encoding="utf-8"?>
<comments xmlns="http://schemas.openxmlformats.org/spreadsheetml/2006/main">
  <authors>
    <author>Jackson, Layne</author>
  </authors>
  <commentList>
    <comment ref="F23" authorId="0">
      <text>
        <r>
          <rPr>
            <sz val="9"/>
            <color indexed="81"/>
            <rFont val="Tahoma"/>
            <charset val="1"/>
          </rPr>
          <t>Minimum calculated input capacitance after derating</t>
        </r>
      </text>
    </comment>
    <comment ref="F26" authorId="0">
      <text>
        <r>
          <rPr>
            <sz val="9"/>
            <color indexed="81"/>
            <rFont val="Tahoma"/>
            <family val="2"/>
          </rPr>
          <t>This is the target inductance value. User can select any value between L_min and L_max in the calculator</t>
        </r>
      </text>
    </comment>
    <comment ref="F27" authorId="0">
      <text>
        <r>
          <rPr>
            <sz val="9"/>
            <color indexed="81"/>
            <rFont val="Tahoma"/>
            <family val="2"/>
          </rPr>
          <t>Minimum calculated output capacitance before derating</t>
        </r>
      </text>
    </comment>
  </commentList>
</comments>
</file>

<file path=xl/sharedStrings.xml><?xml version="1.0" encoding="utf-8"?>
<sst xmlns="http://schemas.openxmlformats.org/spreadsheetml/2006/main" count="792" uniqueCount="462">
  <si>
    <t>Name</t>
  </si>
  <si>
    <t>Remarks</t>
  </si>
  <si>
    <t>Pin</t>
  </si>
  <si>
    <t>Purpose</t>
  </si>
  <si>
    <t>Validation Options</t>
  </si>
  <si>
    <t>Open</t>
  </si>
  <si>
    <t>Connection For Functional Use</t>
  </si>
  <si>
    <t>Comments</t>
  </si>
  <si>
    <t>Power Stage</t>
  </si>
  <si>
    <t>VDD</t>
  </si>
  <si>
    <t>MODE</t>
  </si>
  <si>
    <t>PGOOD</t>
  </si>
  <si>
    <t>Reasoning</t>
  </si>
  <si>
    <t>Configuration</t>
  </si>
  <si>
    <t>Misc</t>
  </si>
  <si>
    <t>N/A</t>
  </si>
  <si>
    <t>Placement or Routing?</t>
  </si>
  <si>
    <t>Routing</t>
  </si>
  <si>
    <t>Placement</t>
  </si>
  <si>
    <t>If the application has ferrite beads, ensure that the output is take after the ferrite bead. This will adjust the converter for the DC drop across the ferrite bead.</t>
  </si>
  <si>
    <t>It is necessary that the LC resonance of ferrite bead-cap is away from the LC resonance of inductor-Cout. If they resonate at the same frequency then a huge amount of noise can be passed through to the output.</t>
  </si>
  <si>
    <t>Cout</t>
  </si>
  <si>
    <t>EN</t>
  </si>
  <si>
    <t>RF</t>
  </si>
  <si>
    <t>TRIP</t>
  </si>
  <si>
    <t>VFB</t>
  </si>
  <si>
    <t>Control</t>
  </si>
  <si>
    <t>VBST</t>
  </si>
  <si>
    <t>LL</t>
  </si>
  <si>
    <t>VIN</t>
  </si>
  <si>
    <t>Cout, Cinj</t>
  </si>
  <si>
    <t>On Chip Regulator</t>
  </si>
  <si>
    <t>VREG</t>
  </si>
  <si>
    <t>6, 7, 8, 9, 10, 11</t>
  </si>
  <si>
    <t>12, 13, 14, 15, 16, 17</t>
  </si>
  <si>
    <t>The recommended max voltage rating on the EN pin is 6.5V. Do not connect EN pin directly to VIN or VDD (unless the max Vin &amp; VDD for your application is below 6.5V). When using VIN or VDD to drive the EN pin, use a resistor divider and ensure that the voltage stays below 6.5V.</t>
  </si>
  <si>
    <t>Ensure that the feedback divider network gives the appropriate Vout based on the Vref chosen</t>
  </si>
  <si>
    <t>Use 1% or better resistors for VFB</t>
  </si>
  <si>
    <t>You must connect the MODE pin to PGOOD pin of the IC if you wanted FCCM operation.  Note that it is connected to PGOOD pin and not after the pull up resistor etc.</t>
  </si>
  <si>
    <t xml:space="preserve">You cannot connect the MODE pin resistor to VREG etc. This is because the IC senses the resistance on the MODE pin when it is low (before PGOOD becomes active). </t>
  </si>
  <si>
    <t>Have a 100k resistor connected between the pin to VREG</t>
  </si>
  <si>
    <t>Use WEBENCH to calculate the RTRIP resistor value. Use 1% or better resistors for RTRIP</t>
  </si>
  <si>
    <t>The input capacitor Cin should be able to give minimum ripple voltage desired for the application. Use WEBENCH to calculate the input capacitance or follow datasheet calculations.</t>
  </si>
  <si>
    <t>Add multiple (preferable 6) 2.2nF-10nF 0402 minimum 25V input capacitor from PVIN to PGND to minimize high-frequency ringing energy</t>
  </si>
  <si>
    <t>Add a 1x1uF capacitor to the input capacitor bank.</t>
  </si>
  <si>
    <t xml:space="preserve">Cout Capacitor type is very important when designing with this part – Preferrable to use Electrolytics with ESR that is high enough.
When organic semiconductor (OS-CON) or specialty polymer (SP-CAP) capacitors are used, the ESR should satisfy Eqn 6 given in the datasheet.
If Electrolytics with sufficient ESR is used, then you don’t need a ripple injection circuit
</t>
  </si>
  <si>
    <t>If only ceramics are used at the output (to minimize ripple), you will need a ripple injection circuit. Please refer to datasheet section 8.2.2.2.2</t>
  </si>
  <si>
    <t>When using ripple injection, ensure the voltage rating of the ripple injection capacitor is sufficient – typically 50V caps will be used – to ensure that the caps are not derated at the operating condition.</t>
  </si>
  <si>
    <t>Connect a min 1uF, 16V, X5R, 0402 (min size) capacitor. Ensure that the voltage rating and size are sufficient that the capacitor is not derated.</t>
  </si>
  <si>
    <t>Do not use 10V rated capacitors. The DC bias loss of capacitance on a 10V cap operating at 5V output is pretty severe and could compromise the stability of the LDO.</t>
  </si>
  <si>
    <t>Output capacitors</t>
  </si>
  <si>
    <t>Output capacitors, input capacitors</t>
  </si>
  <si>
    <t>Output feedback input</t>
  </si>
  <si>
    <t>Soft-start and Skip/CCM selection</t>
  </si>
  <si>
    <t>Connect a resistor to select soft-start time using Table 3. The soft-start time is detected and stored into internal register during start-up.</t>
  </si>
  <si>
    <t>Follow the recommendations in table 1 to select the switching frequency. Use 1% or better resistors for the RF selection resistor</t>
  </si>
  <si>
    <t>Switching frequency selection</t>
  </si>
  <si>
    <t>Enable pin</t>
  </si>
  <si>
    <t>Typical turnon threshold voltage is 1.2 V. Typical turnoff threshold voltage is 0.95 V.</t>
  </si>
  <si>
    <t>Open drain power good flag</t>
  </si>
  <si>
    <t>OCL detection threshold setting pin</t>
  </si>
  <si>
    <t>Supply input for high-side FET gate driver (boost terminal)</t>
  </si>
  <si>
    <t>An 0402 size, 0 to 2 Ohm resistor in can be placed in series with Boot Capacitor to decrease noise from aggressive switching.</t>
  </si>
  <si>
    <t>Connect capacitor from this pin to LL node. Internally connected to VREG via bootstrap MOSFET switch. The boot capacitor should be &gt;25V rated, X5R. Preferable to use a 0603.</t>
  </si>
  <si>
    <t>Output of converted power.</t>
  </si>
  <si>
    <t>Snubber Capacitor: 1.0nF 0603 minimum 25V 
Snubber Resistor: 0805 1-ohm resistor from SW to PGND “Snubber”</t>
  </si>
  <si>
    <t>Conversion power input</t>
  </si>
  <si>
    <t>Controller power supply input.</t>
  </si>
  <si>
    <t>5-V LDO output, supplies the internal analog circuitry and driver circuitry.</t>
  </si>
  <si>
    <t>Complete</t>
  </si>
  <si>
    <t>Not Applicable</t>
  </si>
  <si>
    <t>Status</t>
  </si>
  <si>
    <t>Place the VIN decoupling capacitors as close to the VIN and PGND pins as possible to minimize the input AC current loop.</t>
  </si>
  <si>
    <t>Place the VDD decoupling capacitor as close to the device as possible. Ensure to provide GND vias for the decoupling capacitor and make the loop as small as possible.</t>
  </si>
  <si>
    <t>Place the VREG decoupling capacitor as close to the device as possible. Ensure to provide GND vias for the decoupling capacitor and make the loop as small as possible.</t>
  </si>
  <si>
    <t>The PCB trace defined as switch node, which connects the LL pins and high-voltage side of the inductor, should be as short and wide as possible.</t>
  </si>
  <si>
    <t>Use separated vias or trace to connect LL node to snubber, boot strap capacitor and ripple injection resistor. Do not combine these connections.</t>
  </si>
  <si>
    <t>RF, TRIP, MODE</t>
  </si>
  <si>
    <t>All sensitive analog traces and components such as VFB, PGOOD, TRIP, MODE and RF should be placed away from high-voltage switching nodes such as LL, VBST to avoid coupling. Use internal layer(s) as ground plane(s) and shield feedback trace from power traces and components.</t>
  </si>
  <si>
    <t>Sensitive Pins</t>
  </si>
  <si>
    <t>The power components (including input/output capacitors, inductor and TPS53353) should be placed on one side of the PCB (solder side). At least one inner plane should be inserted, connected to ground, in order to shield and isolate the small signal traces from noisy power lines.</t>
  </si>
  <si>
    <t xml:space="preserve"> The trace from the resistor divider to the VFB pin should be short and thin. Avoid routing near noisy signals or power planes.</t>
  </si>
  <si>
    <t>Additionally, a high-frequency bypass capacitor in 0402 package on the VIN pins can be placed right underneath the IC on the other side of the PCB to reduce switching spikes and associated noise.</t>
  </si>
  <si>
    <t>Cin, Cout, L, IC</t>
  </si>
  <si>
    <t>Input Voltage for analog control circuitry.</t>
  </si>
  <si>
    <t xml:space="preserve">All routing for the EN pin should be placed away from any high voltage switch node (itself and others), such as LL and VBST to avoid noise coupling. </t>
  </si>
  <si>
    <t>Keep the PGOOD resistor local to the device and place it as close as possible to the PGOOD pin. The resistor should be kept away from fast switching voltage and current paths.</t>
  </si>
  <si>
    <t>Place the frequency setting resistor (RF), OCP setting resistor (RTRIP) and mode setting resistor (RMODE) as close to the device as possible. Use the common GND via to connect them to the GND plane. Route all of these traces away from the switch node and other noisy signals</t>
  </si>
  <si>
    <t>Place the boot resistor (if used) as close as possible to the pin, followed by the boot capacitor. Route these separate from the SW copper plane.</t>
  </si>
  <si>
    <t>20, 21, 22</t>
  </si>
  <si>
    <t>Connect this pin to the output Inductor.</t>
  </si>
  <si>
    <t>VDD should be connected to VIN (or other source if applicable) through a trace from the input copper area. To avoid high frequency noise on VDD, it is recommended to keep the VDD to VIN connection as short as possible to keep the parasitic inductance low.</t>
  </si>
  <si>
    <t>Recommended Component Values from Calculator</t>
  </si>
  <si>
    <t>Design Calculations</t>
  </si>
  <si>
    <t>Parameter</t>
  </si>
  <si>
    <t>Input</t>
  </si>
  <si>
    <t>Recommended</t>
  </si>
  <si>
    <t>Selected Value</t>
  </si>
  <si>
    <t>Calculated with Selected Value</t>
  </si>
  <si>
    <t>Units</t>
  </si>
  <si>
    <t>Description</t>
  </si>
  <si>
    <t>Choose Device</t>
  </si>
  <si>
    <t>Part number</t>
  </si>
  <si>
    <t>TPS53355</t>
  </si>
  <si>
    <t>Select IC part number</t>
  </si>
  <si>
    <t>Key</t>
  </si>
  <si>
    <t>Vin_min_bias</t>
  </si>
  <si>
    <t>V</t>
  </si>
  <si>
    <t>IC rated minimum input voltage with external bias</t>
  </si>
  <si>
    <t>User Entered Value</t>
  </si>
  <si>
    <t>Vin_min_IC</t>
  </si>
  <si>
    <t>IC rated minimum input voltage with internal bias</t>
  </si>
  <si>
    <t>Fixed IC Parameter</t>
  </si>
  <si>
    <t>Vin_max_IC</t>
  </si>
  <si>
    <t>IC rated maximum input voltage</t>
  </si>
  <si>
    <t>Calculated Parameter</t>
  </si>
  <si>
    <t>Vref</t>
  </si>
  <si>
    <t>Internal voltage reference</t>
  </si>
  <si>
    <t>Recommended Component Value</t>
  </si>
  <si>
    <t>Io_max_IC</t>
  </si>
  <si>
    <t>A</t>
  </si>
  <si>
    <t>IC rated maximum output current</t>
  </si>
  <si>
    <t>Design Caution</t>
  </si>
  <si>
    <t>Vreg</t>
  </si>
  <si>
    <t>Internal Vreg regulator output voltage</t>
  </si>
  <si>
    <t>Design Warning</t>
  </si>
  <si>
    <t>EN_rise</t>
  </si>
  <si>
    <t>EN rising voltage threshold</t>
  </si>
  <si>
    <t>Calculated component values summary</t>
  </si>
  <si>
    <t>EN_fall</t>
  </si>
  <si>
    <t>EN falling voltage threshold</t>
  </si>
  <si>
    <t>kΩ</t>
  </si>
  <si>
    <t>OCF_response</t>
  </si>
  <si>
    <t>Over current fault response</t>
  </si>
  <si>
    <t>Lout</t>
  </si>
  <si>
    <t>µH</t>
  </si>
  <si>
    <t>OVF_response</t>
  </si>
  <si>
    <t>Over voltage fault response</t>
  </si>
  <si>
    <t>µF</t>
  </si>
  <si>
    <t>OC_clamp</t>
  </si>
  <si>
    <t>Valley current limit maximum clamp</t>
  </si>
  <si>
    <t>Rtrip</t>
  </si>
  <si>
    <t>Rtrip_gain</t>
  </si>
  <si>
    <t>Gain for Rtrip calculation</t>
  </si>
  <si>
    <t>Cin</t>
  </si>
  <si>
    <t>ton_min_max</t>
  </si>
  <si>
    <t>ns</t>
  </si>
  <si>
    <t>Worst case minimum on-time</t>
  </si>
  <si>
    <t>Rfb_b</t>
  </si>
  <si>
    <t>toff_min_max</t>
  </si>
  <si>
    <t>Worst case minimum off-time</t>
  </si>
  <si>
    <t>Rfb_t</t>
  </si>
  <si>
    <t>Rdson_HS</t>
  </si>
  <si>
    <t>mΩ</t>
  </si>
  <si>
    <t>High-side FET Rdson</t>
  </si>
  <si>
    <t>Cff</t>
  </si>
  <si>
    <t>pF</t>
  </si>
  <si>
    <t>Rdson_LS</t>
  </si>
  <si>
    <t>Low-side FET Rdson</t>
  </si>
  <si>
    <t>Css</t>
  </si>
  <si>
    <t>nF</t>
  </si>
  <si>
    <t>Input System Parameters</t>
  </si>
  <si>
    <t>Ren_t</t>
  </si>
  <si>
    <t>Vin_min</t>
  </si>
  <si>
    <t>Minimum input voltage</t>
  </si>
  <si>
    <t>Ren_b</t>
  </si>
  <si>
    <t>Vin_nom</t>
  </si>
  <si>
    <t>Nominal input voltage</t>
  </si>
  <si>
    <t>Cvcc</t>
  </si>
  <si>
    <t>Vin_max</t>
  </si>
  <si>
    <t>Maximum input voltage</t>
  </si>
  <si>
    <t>Cboot</t>
  </si>
  <si>
    <t>Vout</t>
  </si>
  <si>
    <t>Output voltage</t>
  </si>
  <si>
    <t>Rpg</t>
  </si>
  <si>
    <t>Iout</t>
  </si>
  <si>
    <t>Maximum output current</t>
  </si>
  <si>
    <t>Select the Soft Start Time and Light Load operation mode (MODE pin)</t>
  </si>
  <si>
    <t>Soft-start_sel</t>
  </si>
  <si>
    <t>Select the soft start time</t>
  </si>
  <si>
    <t>LL_mode</t>
  </si>
  <si>
    <t>Skip</t>
  </si>
  <si>
    <t>Select the light load operation mode</t>
  </si>
  <si>
    <t>R_mode</t>
  </si>
  <si>
    <t>Recommended MODE pin resistance value</t>
  </si>
  <si>
    <t>R_mode connection</t>
  </si>
  <si>
    <t>Recommended MODE pin connection or resistor to AGND</t>
  </si>
  <si>
    <t>Select the Switching Frequency (RF pin)</t>
  </si>
  <si>
    <t>fsw_max_ton</t>
  </si>
  <si>
    <t>kHz</t>
  </si>
  <si>
    <t>Maximum fsw limited by Vin_max and minimum on-time</t>
  </si>
  <si>
    <t>fsw_max_toff</t>
  </si>
  <si>
    <t>Maximum fsw allowed limited by Vin_min and minimum off-time (Depends on inductor DCR and includes 2x multiplier on resistance for margin)</t>
  </si>
  <si>
    <t>fsw_select</t>
  </si>
  <si>
    <t>Select the fsw option</t>
  </si>
  <si>
    <t>R_rf</t>
  </si>
  <si>
    <t>R_rf connection</t>
  </si>
  <si>
    <t>Choose the Output Inductor (Lout)</t>
  </si>
  <si>
    <t>The inductance is selected based on a p-p ripple current target. Smaller L reduces solution size while larger L reduces AC loss.</t>
  </si>
  <si>
    <t>Kind</t>
  </si>
  <si>
    <t>Target ripple/Iout ratio (typically between 0.2 to 0.4)</t>
  </si>
  <si>
    <t>L_target</t>
  </si>
  <si>
    <t>Target inductor value</t>
  </si>
  <si>
    <t>L_min</t>
  </si>
  <si>
    <t>Minimum recommended inductance (ripple = 50% Iout_max_IC)</t>
  </si>
  <si>
    <t>L_max</t>
  </si>
  <si>
    <t>Maximum recommended inductance (ripple = 10% Iout_max_IC)</t>
  </si>
  <si>
    <t>Selected inductance</t>
  </si>
  <si>
    <t>DCR</t>
  </si>
  <si>
    <t>DC resistance of selected inductor</t>
  </si>
  <si>
    <t>Tol_L</t>
  </si>
  <si>
    <t>Tolerance of inductance for selected inductor</t>
  </si>
  <si>
    <t>Iripple_max</t>
  </si>
  <si>
    <t>Inductor ripple current at Vin_max (includes Tol_L, used for DC ripple calculations)</t>
  </si>
  <si>
    <t>Ipeak</t>
  </si>
  <si>
    <t>Full load peak current at Vin_max</t>
  </si>
  <si>
    <t>Irms</t>
  </si>
  <si>
    <t>Inductor rms current at Vin_max</t>
  </si>
  <si>
    <t>Iripple_min</t>
  </si>
  <si>
    <t>Inductor ripple current at Vin_min (includes Tol_L)</t>
  </si>
  <si>
    <t>Ivalley</t>
  </si>
  <si>
    <t>Full load valley current at Vin_min (used for I_lim calculations)</t>
  </si>
  <si>
    <t>Set current limit (Rtrip)</t>
  </si>
  <si>
    <t>I_lim_rec</t>
  </si>
  <si>
    <t>Recommended valley current limit setting
(Includes margin  for Tol_L and 15% Ilim tolerance)</t>
  </si>
  <si>
    <t>I_lim_target</t>
  </si>
  <si>
    <t xml:space="preserve">Input target valley current limit setting </t>
  </si>
  <si>
    <t>Rtrip_calc</t>
  </si>
  <si>
    <t>Calculated Rtrip</t>
  </si>
  <si>
    <t>Selected Rtrip</t>
  </si>
  <si>
    <t>I_lim_typ</t>
  </si>
  <si>
    <t>Estimated typical valley current limit</t>
  </si>
  <si>
    <t>Io_max_min</t>
  </si>
  <si>
    <t>Estimated minimum Iout at current limit</t>
  </si>
  <si>
    <t>Io_max_typ</t>
  </si>
  <si>
    <t>Estimated typical Iout at current limit</t>
  </si>
  <si>
    <t>Io_max_max</t>
  </si>
  <si>
    <t>Estimated maximum Iout at current limit</t>
  </si>
  <si>
    <t>Choose the Output Capacitor (Cout)</t>
  </si>
  <si>
    <t>The output capacitance is deteremind based on the output ripple, transient and stability requirements. These calculations do not support mixed type output capacitors.</t>
  </si>
  <si>
    <t>Io_step</t>
  </si>
  <si>
    <t>Iout load transient step</t>
  </si>
  <si>
    <t>dVo_trans</t>
  </si>
  <si>
    <t>Target Vout overshoot/undershoot after load step</t>
  </si>
  <si>
    <t>dVo_dc</t>
  </si>
  <si>
    <t>Target steady state Vout voltage ripple</t>
  </si>
  <si>
    <t>Cout_ripple</t>
  </si>
  <si>
    <t>Min Cout for DC ripple requirement (ignores ESR)</t>
  </si>
  <si>
    <t>Cout_undershoot</t>
  </si>
  <si>
    <t>Min Cout for undershoot requirement</t>
  </si>
  <si>
    <t>Cout_overshoot</t>
  </si>
  <si>
    <t>Min Cout for overshoot requirement</t>
  </si>
  <si>
    <t>Cout_stability</t>
  </si>
  <si>
    <t>Min Cout for stability (f_LC &lt; fsw/30)</t>
  </si>
  <si>
    <t>Cout_min</t>
  </si>
  <si>
    <t>Recommended min Cout (must include any derating due to DC/AC bias, temp and/or tolerance)</t>
  </si>
  <si>
    <t>Cout_max</t>
  </si>
  <si>
    <t>Max Cout for stability (f_LC &gt; fsw/100) (Exceeding this may be ok but further validation is required)</t>
  </si>
  <si>
    <t>ESR_trans</t>
  </si>
  <si>
    <t>Max ESR to meet load step transient requirement</t>
  </si>
  <si>
    <t>ESR_ripple</t>
  </si>
  <si>
    <t>Max ESR to meet ripple requirement</t>
  </si>
  <si>
    <t>ESR_max</t>
  </si>
  <si>
    <t>Cout_nominal</t>
  </si>
  <si>
    <t>Nominal value of single ceramic output capacitor</t>
  </si>
  <si>
    <t>ESR_nominal</t>
  </si>
  <si>
    <t>ESR of output single ceramic output capacitor</t>
  </si>
  <si>
    <t>N_Cout</t>
  </si>
  <si>
    <t>Number of output capacitors</t>
  </si>
  <si>
    <t>Cout_derating</t>
  </si>
  <si>
    <t>Remaining output capacitance after derating due to DC/AC bias, temp and/or tolerance</t>
  </si>
  <si>
    <t>Effective Cout (If red, not enough capacitance. If yellow, there may be too much capacitance for loop stability)</t>
  </si>
  <si>
    <t>ESR</t>
  </si>
  <si>
    <t>Effective ESR</t>
  </si>
  <si>
    <t>Vo_undershoot</t>
  </si>
  <si>
    <t>mV</t>
  </si>
  <si>
    <t>Estimated undershoot</t>
  </si>
  <si>
    <t>Vo_overshoot</t>
  </si>
  <si>
    <t>Estimated overshoot</t>
  </si>
  <si>
    <t>Vo_ripple</t>
  </si>
  <si>
    <t>Estimated capacitive + resistive DC ripple (ignores ESL)</t>
  </si>
  <si>
    <t>Stability</t>
  </si>
  <si>
    <t>If BAD, increase Cout, increase L and/or use lower ESR capacitors</t>
  </si>
  <si>
    <t>f_LC</t>
  </si>
  <si>
    <t>f_ESR</t>
  </si>
  <si>
    <t>ESR zero frequency 
(if yellow, ESR zero may affect loop stability)</t>
  </si>
  <si>
    <t>Choose the Input Capacitor (Cin)</t>
  </si>
  <si>
    <t>The input capacitance is deteremind based on the input ripple requirements. Additional bulk input capacitance may be needed for transients. 0.1µF high frequency bypass capacitors are also required.</t>
  </si>
  <si>
    <t>Vi_ripple_rec</t>
  </si>
  <si>
    <t>Recommended DC input voltage ripple (2% min Vin)</t>
  </si>
  <si>
    <t>Vi_ripple_target</t>
  </si>
  <si>
    <t>Target DC input voltage ripple</t>
  </si>
  <si>
    <t>Q_input</t>
  </si>
  <si>
    <t>µC</t>
  </si>
  <si>
    <t>Charge per switching cycle (Vin_min)</t>
  </si>
  <si>
    <t>Cin_min</t>
  </si>
  <si>
    <r>
      <t xml:space="preserve">Minimum input capacitance required </t>
    </r>
    <r>
      <rPr>
        <b/>
        <sz val="11"/>
        <color theme="1"/>
        <rFont val="Arial"/>
        <family val="2"/>
      </rPr>
      <t>(include derating)</t>
    </r>
  </si>
  <si>
    <r>
      <t xml:space="preserve">Effective input ceramic cap used </t>
    </r>
    <r>
      <rPr>
        <b/>
        <sz val="11"/>
        <color theme="1"/>
        <rFont val="Arial"/>
        <family val="2"/>
      </rPr>
      <t>(include derating)</t>
    </r>
  </si>
  <si>
    <t>Vi_ripple</t>
  </si>
  <si>
    <t>Input DC ripple</t>
  </si>
  <si>
    <t>Iin_rms</t>
  </si>
  <si>
    <t>Input RMS current</t>
  </si>
  <si>
    <t>Rfb_b_rec</t>
  </si>
  <si>
    <t>Bottom feedback resistor (1k-20k recommended)</t>
  </si>
  <si>
    <t>Selected bottom feedback resistor</t>
  </si>
  <si>
    <t>Rfb_t_target</t>
  </si>
  <si>
    <t>Calculated top resistor</t>
  </si>
  <si>
    <t>Selected top resistor</t>
  </si>
  <si>
    <t>Vout_calc</t>
  </si>
  <si>
    <t>Calculated Vout (yellow if not within 1% of target Vout)</t>
  </si>
  <si>
    <t>EN pin resistor divider</t>
  </si>
  <si>
    <t>Vstart_target</t>
  </si>
  <si>
    <t>Target turn on voltage set by EN resistor divider</t>
  </si>
  <si>
    <t>Ren_b_rec</t>
  </si>
  <si>
    <t>Selected bottom resistor (1k-100k recommended)</t>
  </si>
  <si>
    <t>Ren_b_eff</t>
  </si>
  <si>
    <t>Effective bottom resistance including 6-MΩ internal pull-down resistance on EN pin</t>
  </si>
  <si>
    <t>Ren_t_calc</t>
  </si>
  <si>
    <t>Vstart_typ</t>
  </si>
  <si>
    <t>Estimated typical turn on voltage with selected resistors
(Red if below Vin_min, Yellow if near Vin_min)</t>
  </si>
  <si>
    <t>Vstop_typ</t>
  </si>
  <si>
    <t>Estimated typical turn off voltage with selected resistors</t>
  </si>
  <si>
    <t>VCC bypass capacitor, BOOT bypass capacitor, PGOOD resistor</t>
  </si>
  <si>
    <t>Cvreg_rec</t>
  </si>
  <si>
    <t>At least 1 µF required</t>
  </si>
  <si>
    <t>Cvreg</t>
  </si>
  <si>
    <t>Selected Cvcc</t>
  </si>
  <si>
    <t>Cvbst_rec</t>
  </si>
  <si>
    <t>At least 0.1µF required</t>
  </si>
  <si>
    <t>Cvbst</t>
  </si>
  <si>
    <t>Selected Cboot</t>
  </si>
  <si>
    <t>Rpg_rec</t>
  </si>
  <si>
    <t>1k-100k recommended</t>
  </si>
  <si>
    <t>Selected Rpg</t>
  </si>
  <si>
    <t>Part #</t>
  </si>
  <si>
    <t>VIN_min</t>
  </si>
  <si>
    <t>VIN_max</t>
  </si>
  <si>
    <t>Io,rated</t>
  </si>
  <si>
    <t>Fsw_1</t>
  </si>
  <si>
    <t>Fsw_2</t>
  </si>
  <si>
    <t>Fsw_3</t>
  </si>
  <si>
    <t>OC clamp</t>
  </si>
  <si>
    <t>tonmin</t>
  </si>
  <si>
    <t>OC Fault</t>
  </si>
  <si>
    <t>OV Fault</t>
  </si>
  <si>
    <t>VREG LDO Voltage</t>
  </si>
  <si>
    <t>VIN_min_bias</t>
  </si>
  <si>
    <t>toffmin</t>
  </si>
  <si>
    <t>R_HS</t>
  </si>
  <si>
    <t>R_LS</t>
  </si>
  <si>
    <t>OC gain</t>
  </si>
  <si>
    <t>I_ss</t>
  </si>
  <si>
    <t>TPS53353</t>
  </si>
  <si>
    <t>Hiccup</t>
  </si>
  <si>
    <t>Latch Off</t>
  </si>
  <si>
    <t>TPS53318</t>
  </si>
  <si>
    <t>TPS53319</t>
  </si>
  <si>
    <t>Frequency selection table - TPS5335x</t>
  </si>
  <si>
    <t>Mode Selection Table</t>
  </si>
  <si>
    <t>Freq(kHz)</t>
  </si>
  <si>
    <t>RFREQ</t>
  </si>
  <si>
    <t>Resistor Connection</t>
  </si>
  <si>
    <t>Soft start time(ms)</t>
  </si>
  <si>
    <t>Skip/FCCM</t>
  </si>
  <si>
    <t>RMODE</t>
  </si>
  <si>
    <t>FCCM</t>
  </si>
  <si>
    <t>VCC LDO Voltage</t>
  </si>
  <si>
    <t>TPS548620</t>
  </si>
  <si>
    <t>TPS548A28</t>
  </si>
  <si>
    <t>TPS548A29</t>
  </si>
  <si>
    <t>TPS548B28</t>
  </si>
  <si>
    <t>TPS548B29</t>
  </si>
  <si>
    <t>TPS54J060</t>
  </si>
  <si>
    <t>TPS54J061</t>
  </si>
  <si>
    <t>TPS54JA20</t>
  </si>
  <si>
    <t>TPS54JB20</t>
  </si>
  <si>
    <t>Selected device</t>
  </si>
  <si>
    <t>fsw options</t>
  </si>
  <si>
    <t>LL options</t>
  </si>
  <si>
    <t>FSW(kHz)</t>
  </si>
  <si>
    <t>Mode</t>
  </si>
  <si>
    <r>
      <t>RMODE(k</t>
    </r>
    <r>
      <rPr>
        <sz val="11"/>
        <color theme="1"/>
        <rFont val="Arial"/>
        <family val="2"/>
      </rPr>
      <t>Ω</t>
    </r>
    <r>
      <rPr>
        <sz val="11"/>
        <color theme="1"/>
        <rFont val="Calibri"/>
        <family val="2"/>
      </rPr>
      <t>)</t>
    </r>
  </si>
  <si>
    <t>Connect to AGND</t>
  </si>
  <si>
    <t>DCM</t>
  </si>
  <si>
    <t>Connect to VCC</t>
  </si>
  <si>
    <t>Component units</t>
  </si>
  <si>
    <t>uF</t>
  </si>
  <si>
    <t xml:space="preserve">Top Resistor: </t>
  </si>
  <si>
    <t xml:space="preserve">
Bottom Resistor: </t>
  </si>
  <si>
    <t xml:space="preserve">
Connect to PGOOD</t>
  </si>
  <si>
    <t xml:space="preserve">
Connect to VREG</t>
  </si>
  <si>
    <t>GND</t>
  </si>
  <si>
    <t xml:space="preserve">
Connect to GND</t>
  </si>
  <si>
    <t xml:space="preserve">
Leave Floating</t>
  </si>
  <si>
    <t>ms</t>
  </si>
  <si>
    <t>0.7Skip</t>
  </si>
  <si>
    <t>1.4Skip</t>
  </si>
  <si>
    <t>2.8Skip</t>
  </si>
  <si>
    <t>5.6Skip</t>
  </si>
  <si>
    <t>0.7FCCM</t>
  </si>
  <si>
    <t>1.4FCCM</t>
  </si>
  <si>
    <t>2.8FCCM</t>
  </si>
  <si>
    <t>5.6FCCM</t>
  </si>
  <si>
    <t>Output inductor</t>
  </si>
  <si>
    <t>Use the recommended capacitance in WEBENCH or calculator or use datasheet calculations to meet ripple and transient requirements</t>
  </si>
  <si>
    <t>Use the recommended capacitance in WEBENCH or calculator or use datasheet calculations to meet design requirements</t>
  </si>
  <si>
    <t>1.0
1.0</t>
  </si>
  <si>
    <t>nF
Ω</t>
  </si>
  <si>
    <t>If VIN will be operating between 4.5V and 15V, connect VDD to VIN. Bypass the VDD pin to ground using a 4.7uF cap minimum. Ensure that the voltage rating and size are sufficient that the capacitor is not derated.  Please use WEBENCH to get component information.</t>
  </si>
  <si>
    <t xml:space="preserve">If VIN will be operating below 4.5V, connect  VDD to another source that will be between 4.5V and 25V. Bypass the VDD pin to ground using a 4.7uF cap minimum. Ensure that the voltage rating and size are sufficient that the capacitor is not derated. </t>
  </si>
  <si>
    <t>EN pin input</t>
  </si>
  <si>
    <t>EN pin voltage level</t>
  </si>
  <si>
    <t>Vin</t>
  </si>
  <si>
    <t>Other</t>
  </si>
  <si>
    <t>EN pin voltage level (Only used when using external input to EN pin)</t>
  </si>
  <si>
    <t>Select source for EN pin</t>
  </si>
  <si>
    <t>EN pin max V</t>
  </si>
  <si>
    <t>Maxiumum voltage on EN pin (Red if above absolute max)</t>
  </si>
  <si>
    <t>ROVP</t>
  </si>
  <si>
    <t>Redundant overvoltage protection (OVP) input</t>
  </si>
  <si>
    <t>Use a resistor divider to connect this pin to VOUT. Internally pulled down to GND with 1.5-MΩ resistor. If redundant OVP is not needed, connect this pin to GND or make it float.</t>
  </si>
  <si>
    <t>ROVP margin</t>
  </si>
  <si>
    <t>Bottom ROVP resistor (1k-20k recommended)</t>
  </si>
  <si>
    <t>Rrovp_b_rec</t>
  </si>
  <si>
    <t>Rrovp_b</t>
  </si>
  <si>
    <t>Rrovp_t_target</t>
  </si>
  <si>
    <t>Rrovp_t</t>
  </si>
  <si>
    <t>ROVP level</t>
  </si>
  <si>
    <t>Calculated ROVP voltage</t>
  </si>
  <si>
    <t>Percent margin over selected Vout before ROVP is activated</t>
  </si>
  <si>
    <t>N_Factor</t>
  </si>
  <si>
    <t>Stability margin</t>
  </si>
  <si>
    <t>c_ramp</t>
  </si>
  <si>
    <t>r_ripple</t>
  </si>
  <si>
    <t>Ripple Injection ramp capacitor selected value</t>
  </si>
  <si>
    <t>Ripple Injection resistor chosen value</t>
  </si>
  <si>
    <t>Ripple Injection coupling capacitor</t>
  </si>
  <si>
    <t>Vinj</t>
  </si>
  <si>
    <t>Ripple Injection Circuitry</t>
  </si>
  <si>
    <t>Vinj_calc</t>
  </si>
  <si>
    <t>c_couple_min</t>
  </si>
  <si>
    <t>c_couple_imp</t>
  </si>
  <si>
    <t>VFB_ripple_calc</t>
  </si>
  <si>
    <t>VFB_calc</t>
  </si>
  <si>
    <t>Rfb_t_final</t>
  </si>
  <si>
    <t>Final recommended Rfb_t value based on ripple injection components</t>
  </si>
  <si>
    <t>Rfb_b || Rfb_t</t>
  </si>
  <si>
    <t>Determine feedback network values (FB resistor divider and ROVP)</t>
  </si>
  <si>
    <t>r_ripple_max</t>
  </si>
  <si>
    <t>Ripple Injection resistor calculated max value</t>
  </si>
  <si>
    <t>LC resonant frequency</t>
  </si>
  <si>
    <t>Injected noise voltage level</t>
  </si>
  <si>
    <t>VFB after adding Vinj</t>
  </si>
  <si>
    <t>Expected Vinj value</t>
  </si>
  <si>
    <t>Expected ripple voltage value</t>
  </si>
  <si>
    <t>Expected VFB value after adding Vinj</t>
  </si>
  <si>
    <t>Coupling Capacitor chosen value</t>
  </si>
  <si>
    <t>c_couple</t>
  </si>
  <si>
    <t>Coupling Capacitor impedance</t>
  </si>
  <si>
    <t>Recommended bottom resistor</t>
  </si>
  <si>
    <t>Termination point for R_rf</t>
  </si>
  <si>
    <t>Max recommended ESR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</si>
</sst>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0"/>
  </numFmts>
  <fonts count="25" x14ac:knownFonts="1">
    <font>
      <sz val="11"/>
      <color theme="1"/>
      <name val="Calibri"/>
      <family val="2"/>
      <scheme val="minor"/>
    </font>
    <font>
      <sz val="10"/>
      <name val="Arial"/>
      <family val="2"/>
    </font>
    <font>
      <u/>
      <sz val="11"/>
      <color theme="10"/>
      <name val="Calibri"/>
      <family val="2"/>
      <scheme val="minor"/>
    </font>
    <font>
      <sz val="11"/>
      <color theme="0"/>
      <name val="Calibri"/>
      <family val="2"/>
      <scheme val="minor"/>
    </font>
    <font>
      <sz val="11"/>
      <name val="Calibri"/>
      <family val="2"/>
      <scheme val="minor"/>
    </font>
    <font>
      <sz val="11"/>
      <color theme="1"/>
      <name val="Calibri"/>
      <family val="2"/>
      <scheme val="minor"/>
    </font>
    <font>
      <b/>
      <u/>
      <sz val="18"/>
      <color rgb="FFFF0000"/>
      <name val="Arial"/>
      <family val="2"/>
    </font>
    <font>
      <sz val="11"/>
      <color theme="1"/>
      <name val="Arial"/>
      <family val="2"/>
    </font>
    <font>
      <b/>
      <sz val="11"/>
      <name val="Arial"/>
      <family val="2"/>
    </font>
    <font>
      <b/>
      <sz val="12"/>
      <color rgb="FFFF0000"/>
      <name val="Arial"/>
      <family val="2"/>
    </font>
    <font>
      <sz val="12"/>
      <color theme="1"/>
      <name val="Arial"/>
      <family val="2"/>
    </font>
    <font>
      <b/>
      <sz val="11"/>
      <color theme="1"/>
      <name val="Arial"/>
      <family val="2"/>
    </font>
    <font>
      <b/>
      <sz val="14"/>
      <color theme="0"/>
      <name val="Arial"/>
      <family val="2"/>
    </font>
    <font>
      <sz val="10"/>
      <color theme="1"/>
      <name val="Arial"/>
      <family val="2"/>
    </font>
    <font>
      <sz val="12"/>
      <color rgb="FFCC9900"/>
      <name val="Arial"/>
      <family val="2"/>
    </font>
    <font>
      <sz val="12"/>
      <color rgb="FFFF0000"/>
      <name val="Arial"/>
      <family val="2"/>
    </font>
    <font>
      <b/>
      <sz val="14"/>
      <color rgb="FFFF0000"/>
      <name val="Arial"/>
      <family val="2"/>
    </font>
    <font>
      <sz val="11"/>
      <color theme="0"/>
      <name val="Arial"/>
      <family val="2"/>
    </font>
    <font>
      <sz val="10"/>
      <color indexed="8"/>
      <name val="Arial"/>
      <family val="2"/>
    </font>
    <font>
      <sz val="10"/>
      <color indexed="12"/>
      <name val="Arial"/>
      <family val="2"/>
    </font>
    <font>
      <sz val="10"/>
      <color theme="1"/>
      <name val="Calibri"/>
      <family val="2"/>
      <scheme val="minor"/>
    </font>
    <font>
      <b/>
      <sz val="10"/>
      <name val="Arial"/>
      <family val="2"/>
    </font>
    <font>
      <sz val="11"/>
      <color theme="1"/>
      <name val="Calibri"/>
      <family val="2"/>
    </font>
    <font>
      <sz val="9"/>
      <color indexed="81"/>
      <name val="Tahoma"/>
      <charset val="1"/>
    </font>
    <font>
      <sz val="9"/>
      <color indexed="81"/>
      <name val="Tahoma"/>
      <family val="2"/>
    </font>
  </fonts>
  <fills count="14">
    <fill>
      <patternFill patternType="none"/>
    </fill>
    <fill>
      <patternFill patternType="gray125"/>
    </fill>
    <fill>
      <patternFill patternType="solid">
        <fgColor rgb="FFFF0000"/>
        <bgColor indexed="64"/>
      </patternFill>
    </fill>
    <fill>
      <patternFill patternType="solid">
        <fgColor theme="1" tint="0.249977111117893"/>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8F573"/>
        <bgColor indexed="64"/>
      </patternFill>
    </fill>
    <fill>
      <patternFill patternType="solid">
        <fgColor rgb="FFFFCCCC"/>
        <bgColor indexed="64"/>
      </patternFill>
    </fill>
    <fill>
      <patternFill patternType="solid">
        <fgColor indexed="15"/>
        <bgColor indexed="64"/>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4">
    <xf numFmtId="0" fontId="0" fillId="0" borderId="0"/>
    <xf numFmtId="0" fontId="1" fillId="0" borderId="0"/>
    <xf numFmtId="0" fontId="2" fillId="0" borderId="0" applyNumberFormat="0" applyFill="0" applyBorder="0" applyAlignment="0" applyProtection="0"/>
    <xf numFmtId="9" fontId="5"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286">
    <xf numFmtId="0" fontId="0" fillId="0" borderId="0" xfId="0"/>
    <xf numFmtId="0" fontId="7" fillId="4" borderId="0" xfId="0" applyFont="1" applyFill="1" applyAlignment="1" applyProtection="1">
      <alignment horizontal="center" vertical="center"/>
    </xf>
    <xf numFmtId="0" fontId="8" fillId="0" borderId="18" xfId="0" applyFont="1" applyFill="1" applyBorder="1" applyAlignment="1" applyProtection="1">
      <alignment horizontal="left" vertical="center" wrapText="1"/>
    </xf>
    <xf numFmtId="0" fontId="10" fillId="4" borderId="0" xfId="0" applyFont="1" applyFill="1" applyAlignment="1" applyProtection="1">
      <alignment horizontal="center" vertical="center"/>
    </xf>
    <xf numFmtId="0" fontId="7" fillId="0" borderId="22" xfId="0" applyFont="1" applyFill="1" applyBorder="1" applyAlignment="1" applyProtection="1">
      <alignment horizontal="left" vertical="center" wrapText="1"/>
    </xf>
    <xf numFmtId="0" fontId="7" fillId="5" borderId="16" xfId="0" applyFont="1" applyFill="1" applyBorder="1" applyAlignment="1" applyProtection="1">
      <alignment horizontal="center" vertical="center"/>
      <protection locked="0"/>
    </xf>
    <xf numFmtId="0" fontId="11" fillId="0" borderId="16"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12" fillId="6" borderId="1"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7" fillId="7" borderId="8"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10" fillId="5" borderId="1" xfId="0" applyFont="1" applyFill="1" applyBorder="1" applyAlignment="1" applyProtection="1">
      <alignment horizontal="left" vertical="center"/>
    </xf>
    <xf numFmtId="0" fontId="13" fillId="4" borderId="0"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0" borderId="25" xfId="0" applyFont="1" applyFill="1" applyBorder="1" applyAlignment="1" applyProtection="1">
      <alignment horizontal="left" vertical="center" wrapText="1"/>
    </xf>
    <xf numFmtId="0" fontId="10" fillId="7" borderId="1" xfId="0" applyFont="1" applyFill="1" applyBorder="1" applyAlignment="1" applyProtection="1">
      <alignment horizontal="left" vertical="center"/>
    </xf>
    <xf numFmtId="0" fontId="10" fillId="8" borderId="1" xfId="0" applyFont="1" applyFill="1" applyBorder="1" applyAlignment="1" applyProtection="1">
      <alignment horizontal="left" vertical="center"/>
    </xf>
    <xf numFmtId="0" fontId="10" fillId="9" borderId="1" xfId="0" applyFont="1" applyFill="1" applyBorder="1" applyAlignment="1" applyProtection="1">
      <alignment horizontal="left" vertical="center"/>
    </xf>
    <xf numFmtId="0" fontId="14" fillId="10" borderId="1" xfId="0" applyFont="1" applyFill="1" applyBorder="1" applyAlignment="1" applyProtection="1">
      <alignment horizontal="left" vertical="center"/>
    </xf>
    <xf numFmtId="0" fontId="15" fillId="11" borderId="1" xfId="0" applyFont="1" applyFill="1" applyBorder="1" applyAlignment="1" applyProtection="1">
      <alignment horizontal="left" vertical="center"/>
    </xf>
    <xf numFmtId="0" fontId="7" fillId="0" borderId="26" xfId="0" applyFont="1" applyFill="1" applyBorder="1" applyAlignment="1" applyProtection="1">
      <alignment horizontal="left" vertical="center" wrapText="1"/>
    </xf>
    <xf numFmtId="0" fontId="7" fillId="9" borderId="27" xfId="0" applyFont="1" applyFill="1" applyBorder="1" applyAlignment="1" applyProtection="1">
      <alignment horizontal="center" vertical="center"/>
    </xf>
    <xf numFmtId="0" fontId="7" fillId="0" borderId="28" xfId="0" applyFont="1" applyFill="1" applyBorder="1" applyAlignment="1" applyProtection="1">
      <alignment horizontal="left" vertical="center" wrapText="1"/>
    </xf>
    <xf numFmtId="0" fontId="7" fillId="9"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protection locked="0"/>
    </xf>
    <xf numFmtId="0" fontId="7" fillId="0" borderId="29" xfId="0" applyFont="1" applyFill="1" applyBorder="1" applyAlignment="1" applyProtection="1">
      <alignment horizontal="left" vertical="center" wrapText="1"/>
    </xf>
    <xf numFmtId="0" fontId="7" fillId="9" borderId="11" xfId="0" applyFont="1" applyFill="1" applyBorder="1" applyAlignment="1" applyProtection="1">
      <alignment horizontal="center" vertical="center"/>
    </xf>
    <xf numFmtId="0" fontId="7" fillId="0" borderId="30" xfId="0" applyFont="1" applyFill="1" applyBorder="1" applyAlignment="1" applyProtection="1">
      <alignment horizontal="left" vertical="center" wrapText="1"/>
    </xf>
    <xf numFmtId="0" fontId="7" fillId="0" borderId="26" xfId="4" applyFont="1" applyFill="1" applyBorder="1" applyAlignment="1" applyProtection="1">
      <alignment horizontal="left" vertical="center" wrapText="1"/>
    </xf>
    <xf numFmtId="0" fontId="7" fillId="4" borderId="31" xfId="0" applyFont="1" applyFill="1" applyBorder="1" applyAlignment="1" applyProtection="1">
      <alignment horizontal="center" vertical="center"/>
    </xf>
    <xf numFmtId="0" fontId="7" fillId="0" borderId="32" xfId="0" applyFont="1" applyFill="1" applyBorder="1" applyAlignment="1" applyProtection="1">
      <alignment horizontal="left" vertical="center" wrapText="1"/>
    </xf>
    <xf numFmtId="0" fontId="7" fillId="0" borderId="24" xfId="4" applyFont="1" applyFill="1" applyBorder="1" applyAlignment="1" applyProtection="1">
      <alignment horizontal="left" vertical="center" wrapText="1"/>
    </xf>
    <xf numFmtId="0" fontId="7" fillId="4" borderId="0" xfId="0" applyFont="1" applyFill="1" applyBorder="1" applyAlignment="1" applyProtection="1">
      <alignment horizontal="center" vertical="center" wrapText="1"/>
    </xf>
    <xf numFmtId="0" fontId="7" fillId="0" borderId="25" xfId="4" applyFont="1" applyFill="1" applyBorder="1" applyAlignment="1" applyProtection="1">
      <alignment horizontal="left" vertical="center" wrapText="1"/>
    </xf>
    <xf numFmtId="164" fontId="7" fillId="9" borderId="1" xfId="0" applyNumberFormat="1" applyFont="1" applyFill="1" applyBorder="1" applyAlignment="1" applyProtection="1">
      <alignment horizontal="center" vertical="center"/>
    </xf>
    <xf numFmtId="164" fontId="7" fillId="4" borderId="0" xfId="0" applyNumberFormat="1" applyFont="1" applyFill="1" applyBorder="1" applyAlignment="1" applyProtection="1">
      <alignment horizontal="center" vertical="center"/>
    </xf>
    <xf numFmtId="0" fontId="7" fillId="0" borderId="29" xfId="4" applyFont="1" applyFill="1" applyBorder="1" applyAlignment="1" applyProtection="1">
      <alignment horizontal="left" vertical="center" wrapText="1"/>
    </xf>
    <xf numFmtId="0" fontId="7" fillId="4" borderId="33" xfId="0" applyFont="1" applyFill="1" applyBorder="1" applyAlignment="1" applyProtection="1">
      <alignment horizontal="center" vertical="center"/>
    </xf>
    <xf numFmtId="0" fontId="7" fillId="0" borderId="34" xfId="0" applyFont="1" applyFill="1" applyBorder="1" applyAlignment="1" applyProtection="1">
      <alignment horizontal="left" vertical="center" wrapText="1"/>
    </xf>
    <xf numFmtId="0" fontId="7" fillId="4" borderId="0" xfId="0" applyFont="1" applyFill="1" applyAlignment="1" applyProtection="1">
      <alignment horizontal="center" vertical="center" wrapText="1"/>
    </xf>
    <xf numFmtId="0" fontId="7" fillId="4" borderId="12" xfId="0" applyFont="1" applyFill="1" applyBorder="1" applyAlignment="1" applyProtection="1">
      <alignment horizontal="center" vertical="center"/>
    </xf>
    <xf numFmtId="0" fontId="7" fillId="0" borderId="16"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0" borderId="35"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37" xfId="0" applyFont="1" applyFill="1" applyBorder="1" applyAlignment="1" applyProtection="1">
      <alignment horizontal="left" vertical="center" wrapText="1"/>
    </xf>
    <xf numFmtId="0" fontId="7" fillId="4" borderId="8"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165" fontId="7" fillId="0" borderId="1" xfId="4" applyNumberFormat="1" applyFont="1" applyFill="1" applyBorder="1" applyAlignment="1" applyProtection="1">
      <alignment horizontal="center" vertical="center" wrapText="1"/>
    </xf>
    <xf numFmtId="0" fontId="7" fillId="9" borderId="1" xfId="4" applyFont="1" applyFill="1" applyBorder="1" applyAlignment="1" applyProtection="1">
      <alignment horizontal="center" vertical="center"/>
    </xf>
    <xf numFmtId="0" fontId="7" fillId="0" borderId="1" xfId="4" applyFont="1" applyFill="1" applyBorder="1" applyAlignment="1" applyProtection="1">
      <alignment horizontal="left" vertical="center" wrapText="1"/>
    </xf>
    <xf numFmtId="0" fontId="7" fillId="0" borderId="22" xfId="0" applyFont="1" applyBorder="1" applyAlignment="1" applyProtection="1">
      <alignment horizontal="left" vertical="center" wrapText="1"/>
    </xf>
    <xf numFmtId="49" fontId="7" fillId="4" borderId="0" xfId="0" applyNumberFormat="1" applyFont="1" applyFill="1" applyBorder="1" applyAlignment="1" applyProtection="1">
      <alignment horizontal="center" vertical="center"/>
    </xf>
    <xf numFmtId="0" fontId="16" fillId="4" borderId="0" xfId="0" applyFont="1" applyFill="1" applyBorder="1" applyAlignment="1" applyProtection="1">
      <alignment horizontal="center" vertical="center" wrapText="1"/>
    </xf>
    <xf numFmtId="9" fontId="7" fillId="5" borderId="1" xfId="3" applyFont="1" applyFill="1" applyBorder="1" applyAlignment="1" applyProtection="1">
      <alignment horizontal="center" vertical="center"/>
      <protection locked="0"/>
    </xf>
    <xf numFmtId="0" fontId="7" fillId="0" borderId="25" xfId="0" applyFont="1" applyBorder="1" applyAlignment="1" applyProtection="1">
      <alignment horizontal="left" vertical="center" wrapText="1"/>
    </xf>
    <xf numFmtId="164" fontId="7" fillId="8" borderId="1" xfId="0" applyNumberFormat="1" applyFont="1" applyFill="1" applyBorder="1" applyAlignment="1" applyProtection="1">
      <alignment horizontal="center" vertical="center"/>
    </xf>
    <xf numFmtId="49" fontId="7" fillId="4" borderId="0" xfId="0" applyNumberFormat="1" applyFont="1" applyFill="1" applyAlignment="1" applyProtection="1">
      <alignment horizontal="center" vertical="center"/>
    </xf>
    <xf numFmtId="0" fontId="7" fillId="0" borderId="35" xfId="0" applyFont="1" applyBorder="1" applyAlignment="1" applyProtection="1">
      <alignment horizontal="left" vertical="center" wrapText="1"/>
    </xf>
    <xf numFmtId="164" fontId="7" fillId="8" borderId="15" xfId="0" applyNumberFormat="1" applyFont="1" applyFill="1" applyBorder="1" applyAlignment="1" applyProtection="1">
      <alignment horizontal="center" vertical="center"/>
    </xf>
    <xf numFmtId="2" fontId="7" fillId="5" borderId="1" xfId="0" applyNumberFormat="1" applyFont="1" applyFill="1" applyBorder="1" applyAlignment="1" applyProtection="1">
      <alignment horizontal="center" vertical="center"/>
      <protection locked="0"/>
    </xf>
    <xf numFmtId="2" fontId="7" fillId="9" borderId="1" xfId="0" applyNumberFormat="1" applyFont="1" applyFill="1" applyBorder="1" applyAlignment="1" applyProtection="1">
      <alignment horizontal="center" vertical="center"/>
    </xf>
    <xf numFmtId="2" fontId="7" fillId="8" borderId="1" xfId="0" applyNumberFormat="1" applyFont="1" applyFill="1" applyBorder="1" applyAlignment="1" applyProtection="1">
      <alignment horizontal="center" vertical="center"/>
    </xf>
    <xf numFmtId="49" fontId="10" fillId="4" borderId="0" xfId="0" applyNumberFormat="1" applyFont="1" applyFill="1" applyBorder="1" applyAlignment="1" applyProtection="1">
      <alignment horizontal="center" vertical="center"/>
    </xf>
    <xf numFmtId="2" fontId="7" fillId="8" borderId="15" xfId="0" applyNumberFormat="1"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164" fontId="7" fillId="5" borderId="1" xfId="0" applyNumberFormat="1" applyFont="1" applyFill="1" applyBorder="1" applyAlignment="1" applyProtection="1">
      <alignment horizontal="center" vertical="center"/>
      <protection locked="0"/>
    </xf>
    <xf numFmtId="164" fontId="7" fillId="5" borderId="15" xfId="0" applyNumberFormat="1" applyFont="1" applyFill="1" applyBorder="1" applyAlignment="1" applyProtection="1">
      <alignment horizontal="center" vertical="center"/>
      <protection locked="0"/>
    </xf>
    <xf numFmtId="165" fontId="7" fillId="8" borderId="1" xfId="0" applyNumberFormat="1" applyFont="1" applyFill="1" applyBorder="1" applyAlignment="1" applyProtection="1">
      <alignment horizontal="center" vertical="center"/>
    </xf>
    <xf numFmtId="165" fontId="7" fillId="9" borderId="1" xfId="0" applyNumberFormat="1" applyFont="1" applyFill="1" applyBorder="1" applyAlignment="1" applyProtection="1">
      <alignment horizontal="center" vertical="center"/>
    </xf>
    <xf numFmtId="0" fontId="7" fillId="4" borderId="0" xfId="0" applyFont="1" applyFill="1" applyAlignment="1" applyProtection="1">
      <alignment horizontal="left" vertical="center"/>
    </xf>
    <xf numFmtId="0" fontId="7" fillId="5" borderId="1" xfId="0" applyNumberFormat="1" applyFont="1" applyFill="1" applyBorder="1" applyAlignment="1" applyProtection="1">
      <alignment horizontal="center" vertical="center"/>
      <protection locked="0"/>
    </xf>
    <xf numFmtId="9" fontId="7" fillId="5" borderId="1" xfId="0" applyNumberFormat="1" applyFont="1" applyFill="1" applyBorder="1" applyAlignment="1" applyProtection="1">
      <alignment horizontal="center" vertical="center"/>
      <protection locked="0"/>
    </xf>
    <xf numFmtId="0" fontId="7" fillId="8"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protection locked="0"/>
    </xf>
    <xf numFmtId="2" fontId="7" fillId="8" borderId="1" xfId="0" applyNumberFormat="1" applyFont="1" applyFill="1" applyBorder="1" applyAlignment="1" applyProtection="1">
      <alignment horizontal="center" vertical="center" wrapText="1"/>
    </xf>
    <xf numFmtId="165" fontId="7" fillId="9" borderId="1" xfId="0" applyNumberFormat="1" applyFont="1" applyFill="1" applyBorder="1" applyAlignment="1" applyProtection="1">
      <alignment horizontal="center" vertical="center" wrapText="1"/>
    </xf>
    <xf numFmtId="165" fontId="7" fillId="8" borderId="1" xfId="0" applyNumberFormat="1" applyFont="1" applyFill="1" applyBorder="1" applyAlignment="1" applyProtection="1">
      <alignment horizontal="center" vertical="center" wrapText="1"/>
    </xf>
    <xf numFmtId="0" fontId="7" fillId="4" borderId="0" xfId="0" applyFont="1" applyFill="1" applyBorder="1" applyAlignment="1" applyProtection="1">
      <alignment vertical="center" wrapText="1"/>
    </xf>
    <xf numFmtId="164" fontId="7" fillId="8" borderId="1" xfId="0" applyNumberFormat="1" applyFont="1" applyFill="1" applyBorder="1" applyAlignment="1" applyProtection="1">
      <alignment horizontal="center" vertical="center" wrapText="1"/>
    </xf>
    <xf numFmtId="0" fontId="7" fillId="4" borderId="1" xfId="0" applyFont="1" applyFill="1" applyBorder="1" applyAlignment="1" applyProtection="1">
      <alignment horizontal="center" vertical="center"/>
    </xf>
    <xf numFmtId="1" fontId="7" fillId="9" borderId="1" xfId="0" applyNumberFormat="1"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wrapText="1"/>
      <protection locked="0"/>
    </xf>
    <xf numFmtId="2" fontId="7" fillId="9" borderId="1" xfId="0" applyNumberFormat="1"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xf>
    <xf numFmtId="0" fontId="7" fillId="0" borderId="15" xfId="0" applyFont="1" applyBorder="1" applyAlignment="1" applyProtection="1">
      <alignment horizontal="left" vertical="center" wrapText="1"/>
    </xf>
    <xf numFmtId="0" fontId="7" fillId="0" borderId="29" xfId="0" applyFont="1" applyBorder="1" applyAlignment="1" applyProtection="1">
      <alignment horizontal="left" vertical="center" wrapText="1"/>
    </xf>
    <xf numFmtId="0" fontId="7" fillId="4" borderId="11" xfId="0" applyFont="1" applyFill="1" applyBorder="1" applyAlignment="1" applyProtection="1">
      <alignment horizontal="center" vertical="center"/>
    </xf>
    <xf numFmtId="0" fontId="7" fillId="5" borderId="11" xfId="0" applyNumberFormat="1" applyFont="1" applyFill="1" applyBorder="1" applyAlignment="1" applyProtection="1">
      <alignment horizontal="center" vertical="center" wrapText="1"/>
      <protection locked="0"/>
    </xf>
    <xf numFmtId="0" fontId="7" fillId="0" borderId="11" xfId="0" applyFont="1" applyBorder="1" applyAlignment="1" applyProtection="1">
      <alignment horizontal="left" vertical="center" wrapText="1"/>
    </xf>
    <xf numFmtId="0" fontId="7" fillId="0" borderId="30" xfId="0" applyFont="1" applyBorder="1" applyAlignment="1" applyProtection="1">
      <alignment horizontal="left" vertical="center" wrapText="1"/>
    </xf>
    <xf numFmtId="2" fontId="7" fillId="4" borderId="0" xfId="0" applyNumberFormat="1" applyFont="1" applyFill="1" applyBorder="1" applyAlignment="1" applyProtection="1">
      <alignment horizontal="center" vertical="center"/>
    </xf>
    <xf numFmtId="0" fontId="17" fillId="4" borderId="0" xfId="0" applyFont="1" applyFill="1" applyBorder="1" applyAlignment="1" applyProtection="1">
      <alignment horizontal="center" vertical="center"/>
      <protection hidden="1"/>
    </xf>
    <xf numFmtId="0" fontId="17" fillId="4" borderId="0" xfId="0" applyFont="1" applyFill="1" applyAlignment="1" applyProtection="1">
      <alignment horizontal="center" vertical="center"/>
      <protection hidden="1"/>
    </xf>
    <xf numFmtId="0" fontId="18" fillId="0" borderId="0" xfId="7" applyFont="1" applyFill="1" applyAlignment="1" applyProtection="1">
      <alignment vertical="center"/>
      <protection locked="0"/>
    </xf>
    <xf numFmtId="0" fontId="1" fillId="0" borderId="0" xfId="0" applyFont="1" applyFill="1" applyAlignment="1" applyProtection="1">
      <alignment vertical="center"/>
      <protection hidden="1"/>
    </xf>
    <xf numFmtId="0" fontId="19" fillId="0" borderId="0" xfId="7" applyFont="1" applyFill="1" applyAlignment="1" applyProtection="1">
      <alignment vertical="center"/>
      <protection locked="0"/>
    </xf>
    <xf numFmtId="164" fontId="19" fillId="0" borderId="0" xfId="7" applyNumberFormat="1" applyFont="1" applyFill="1" applyAlignment="1" applyProtection="1">
      <alignment vertical="center"/>
      <protection locked="0"/>
    </xf>
    <xf numFmtId="164" fontId="1" fillId="0" borderId="0" xfId="0" applyNumberFormat="1" applyFont="1" applyFill="1" applyAlignment="1" applyProtection="1">
      <alignment vertical="center"/>
      <protection hidden="1"/>
    </xf>
    <xf numFmtId="0" fontId="1" fillId="0" borderId="0" xfId="14"/>
    <xf numFmtId="0" fontId="4" fillId="0" borderId="0" xfId="0" applyFont="1" applyProtection="1">
      <protection hidden="1"/>
    </xf>
    <xf numFmtId="0" fontId="20" fillId="0" borderId="0" xfId="12" applyFont="1" applyAlignment="1">
      <alignment vertical="center"/>
    </xf>
    <xf numFmtId="0" fontId="0" fillId="0" borderId="0" xfId="0" applyFill="1" applyAlignment="1" applyProtection="1">
      <alignment vertical="center"/>
      <protection hidden="1"/>
    </xf>
    <xf numFmtId="0" fontId="0" fillId="0" borderId="0" xfId="0" applyAlignment="1">
      <alignment vertical="center"/>
    </xf>
    <xf numFmtId="2" fontId="0" fillId="0" borderId="0" xfId="0" applyNumberFormat="1" applyFill="1" applyAlignment="1" applyProtection="1">
      <alignment vertical="center"/>
      <protection hidden="1"/>
    </xf>
    <xf numFmtId="11" fontId="0" fillId="0" borderId="0" xfId="0" applyNumberFormat="1" applyFill="1" applyAlignment="1" applyProtection="1">
      <alignment vertical="center"/>
      <protection hidden="1"/>
    </xf>
    <xf numFmtId="165" fontId="0" fillId="0" borderId="0" xfId="0" applyNumberFormat="1" applyFill="1" applyAlignment="1" applyProtection="1">
      <alignment vertical="center"/>
      <protection hidden="1"/>
    </xf>
    <xf numFmtId="0" fontId="0" fillId="0" borderId="0" xfId="0" applyFill="1" applyAlignment="1" applyProtection="1">
      <alignment horizontal="center" vertical="center"/>
      <protection hidden="1"/>
    </xf>
    <xf numFmtId="11" fontId="0" fillId="0" borderId="0" xfId="0" applyNumberFormat="1" applyFill="1" applyAlignment="1" applyProtection="1">
      <alignment horizontal="center" vertical="center"/>
      <protection hidden="1"/>
    </xf>
    <xf numFmtId="2" fontId="0" fillId="0" borderId="0" xfId="0" applyNumberFormat="1" applyFill="1" applyAlignment="1" applyProtection="1">
      <alignment horizontal="center" vertical="center"/>
      <protection hidden="1"/>
    </xf>
    <xf numFmtId="0" fontId="0" fillId="8" borderId="1" xfId="0" applyFont="1" applyFill="1" applyBorder="1" applyAlignment="1" applyProtection="1">
      <alignment horizontal="left" vertical="center"/>
      <protection locked="0"/>
    </xf>
    <xf numFmtId="0" fontId="4" fillId="0" borderId="0" xfId="0" applyFont="1"/>
    <xf numFmtId="0" fontId="21" fillId="0" borderId="0" xfId="14" applyFont="1"/>
    <xf numFmtId="0" fontId="21" fillId="0" borderId="18" xfId="14" applyFont="1" applyBorder="1" applyAlignment="1">
      <alignment horizontal="center"/>
    </xf>
    <xf numFmtId="0" fontId="21" fillId="0" borderId="40" xfId="14" applyFont="1" applyBorder="1" applyAlignment="1">
      <alignment horizontal="center"/>
    </xf>
    <xf numFmtId="0" fontId="21" fillId="0" borderId="18" xfId="14" applyFont="1" applyBorder="1" applyAlignment="1">
      <alignment horizontal="center" wrapText="1"/>
    </xf>
    <xf numFmtId="0" fontId="0" fillId="0" borderId="0" xfId="0" applyNumberFormat="1" applyFill="1" applyAlignment="1" applyProtection="1">
      <alignment horizontal="center" vertical="center"/>
      <protection hidden="1"/>
    </xf>
    <xf numFmtId="0" fontId="21" fillId="0" borderId="41" xfId="14" applyFont="1" applyBorder="1" applyAlignment="1">
      <alignment horizontal="center"/>
    </xf>
    <xf numFmtId="0" fontId="21" fillId="12" borderId="14" xfId="14" applyFont="1" applyFill="1" applyBorder="1" applyAlignment="1">
      <alignment horizontal="center"/>
    </xf>
    <xf numFmtId="0" fontId="21" fillId="0" borderId="43" xfId="14" applyFont="1" applyBorder="1" applyAlignment="1">
      <alignment horizontal="center"/>
    </xf>
    <xf numFmtId="0" fontId="21" fillId="12" borderId="10" xfId="14" applyFont="1" applyFill="1" applyBorder="1" applyAlignment="1">
      <alignment horizontal="center"/>
    </xf>
    <xf numFmtId="0" fontId="19" fillId="0" borderId="0" xfId="0" applyFont="1" applyFill="1" applyAlignment="1" applyProtection="1">
      <alignment horizontal="center" vertical="center"/>
      <protection locked="0"/>
    </xf>
    <xf numFmtId="0" fontId="21" fillId="0" borderId="44" xfId="14" applyFont="1" applyBorder="1" applyAlignment="1">
      <alignment horizontal="center"/>
    </xf>
    <xf numFmtId="0" fontId="21" fillId="12" borderId="45" xfId="14" applyFont="1" applyFill="1" applyBorder="1" applyAlignment="1">
      <alignment horizontal="center"/>
    </xf>
    <xf numFmtId="165" fontId="0" fillId="0" borderId="0" xfId="0" applyNumberFormat="1" applyFill="1" applyAlignment="1" applyProtection="1">
      <alignment horizontal="center" vertical="center"/>
      <protection hidden="1"/>
    </xf>
    <xf numFmtId="0" fontId="18"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164" fontId="19" fillId="0" borderId="0" xfId="0" applyNumberFormat="1" applyFont="1" applyFill="1" applyAlignment="1" applyProtection="1">
      <alignment vertical="center"/>
      <protection locked="0"/>
    </xf>
    <xf numFmtId="0" fontId="0" fillId="0" borderId="0" xfId="0" applyNumberFormat="1" applyFill="1" applyAlignment="1" applyProtection="1">
      <alignment vertical="center"/>
      <protection hidden="1"/>
    </xf>
    <xf numFmtId="0" fontId="0" fillId="0" borderId="0" xfId="0" applyFill="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NumberFormat="1" applyFill="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0" xfId="0" applyNumberFormat="1" applyFill="1" applyAlignment="1" applyProtection="1">
      <alignment horizontal="left" vertical="top"/>
      <protection hidden="1"/>
    </xf>
    <xf numFmtId="11" fontId="0" fillId="0" borderId="0" xfId="0" applyNumberFormat="1" applyFill="1" applyAlignment="1" applyProtection="1">
      <alignment horizontal="left" vertical="top"/>
      <protection hidden="1"/>
    </xf>
    <xf numFmtId="0" fontId="0" fillId="0" borderId="0" xfId="0" applyNumberFormat="1" applyFill="1" applyAlignment="1" applyProtection="1">
      <alignment horizontal="left" vertical="top" wrapText="1"/>
      <protection hidden="1"/>
    </xf>
    <xf numFmtId="0" fontId="1" fillId="0" borderId="0" xfId="14" applyAlignment="1">
      <alignment wrapText="1"/>
    </xf>
    <xf numFmtId="0" fontId="21" fillId="0" borderId="20" xfId="14" applyFont="1" applyFill="1" applyBorder="1" applyAlignment="1">
      <alignment horizontal="center" wrapText="1"/>
    </xf>
    <xf numFmtId="0" fontId="21" fillId="0" borderId="21" xfId="14" applyFont="1" applyBorder="1" applyAlignment="1">
      <alignment horizontal="center" wrapText="1"/>
    </xf>
    <xf numFmtId="0" fontId="21" fillId="0" borderId="0" xfId="14" applyFont="1" applyBorder="1"/>
    <xf numFmtId="0" fontId="1" fillId="0" borderId="19" xfId="14" applyBorder="1"/>
    <xf numFmtId="0" fontId="21" fillId="12" borderId="1" xfId="14" applyFont="1" applyFill="1" applyBorder="1" applyAlignment="1">
      <alignment horizontal="center"/>
    </xf>
    <xf numFmtId="0" fontId="21" fillId="12" borderId="16" xfId="14" applyFont="1" applyFill="1" applyBorder="1" applyAlignment="1">
      <alignment horizontal="center"/>
    </xf>
    <xf numFmtId="0" fontId="21" fillId="0" borderId="16" xfId="14" applyFont="1" applyBorder="1" applyAlignment="1">
      <alignment horizontal="center"/>
    </xf>
    <xf numFmtId="0" fontId="21" fillId="12" borderId="11" xfId="14" applyFont="1" applyFill="1" applyBorder="1" applyAlignment="1">
      <alignment horizontal="center"/>
    </xf>
    <xf numFmtId="0" fontId="21" fillId="0" borderId="11" xfId="14" applyFont="1" applyBorder="1" applyAlignment="1">
      <alignment horizontal="center"/>
    </xf>
    <xf numFmtId="0" fontId="21" fillId="0" borderId="14" xfId="14" applyFont="1" applyBorder="1" applyAlignment="1">
      <alignment horizontal="center"/>
    </xf>
    <xf numFmtId="0" fontId="21" fillId="0" borderId="1" xfId="14" applyFont="1" applyBorder="1" applyAlignment="1">
      <alignment horizontal="center"/>
    </xf>
    <xf numFmtId="0" fontId="21" fillId="12" borderId="23" xfId="14" applyFont="1" applyFill="1" applyBorder="1" applyAlignment="1">
      <alignment horizontal="center"/>
    </xf>
    <xf numFmtId="0" fontId="21" fillId="12" borderId="24" xfId="14" applyFont="1" applyFill="1" applyBorder="1" applyAlignment="1">
      <alignment horizontal="center"/>
    </xf>
    <xf numFmtId="0" fontId="21" fillId="12" borderId="30" xfId="14" applyFont="1" applyFill="1" applyBorder="1" applyAlignment="1">
      <alignment horizontal="center"/>
    </xf>
    <xf numFmtId="0" fontId="21" fillId="0" borderId="43" xfId="14" applyFont="1" applyBorder="1" applyAlignment="1">
      <alignment horizontal="center"/>
    </xf>
    <xf numFmtId="0" fontId="21" fillId="0" borderId="44" xfId="14" applyFont="1" applyBorder="1" applyAlignment="1">
      <alignment horizontal="center"/>
    </xf>
    <xf numFmtId="0" fontId="21" fillId="0" borderId="18" xfId="14" applyFont="1" applyBorder="1" applyAlignment="1">
      <alignment horizontal="center"/>
    </xf>
    <xf numFmtId="0" fontId="21" fillId="12" borderId="23" xfId="14" applyFont="1" applyFill="1" applyBorder="1" applyAlignment="1">
      <alignment horizontal="center"/>
    </xf>
    <xf numFmtId="0" fontId="21" fillId="12" borderId="24" xfId="14" applyFont="1" applyFill="1" applyBorder="1" applyAlignment="1">
      <alignment horizontal="center"/>
    </xf>
    <xf numFmtId="0" fontId="21" fillId="12" borderId="30" xfId="14" applyFont="1" applyFill="1" applyBorder="1" applyAlignment="1">
      <alignment horizontal="center"/>
    </xf>
    <xf numFmtId="0" fontId="21" fillId="0" borderId="18" xfId="14" applyFont="1" applyFill="1" applyBorder="1" applyAlignment="1">
      <alignment horizontal="center" wrapText="1"/>
    </xf>
    <xf numFmtId="0" fontId="21" fillId="0" borderId="42" xfId="14" applyFont="1" applyBorder="1" applyAlignment="1">
      <alignment horizontal="center"/>
    </xf>
    <xf numFmtId="0" fontId="21" fillId="0" borderId="10" xfId="14" applyFont="1" applyBorder="1" applyAlignment="1">
      <alignment horizontal="center"/>
    </xf>
    <xf numFmtId="0" fontId="21" fillId="0" borderId="45" xfId="14" applyFont="1" applyBorder="1" applyAlignment="1">
      <alignment horizontal="center"/>
    </xf>
    <xf numFmtId="0" fontId="7" fillId="4" borderId="16" xfId="0" applyFont="1" applyFill="1" applyBorder="1" applyAlignment="1" applyProtection="1">
      <alignment horizontal="center" vertical="center"/>
    </xf>
    <xf numFmtId="0" fontId="0" fillId="0" borderId="27" xfId="0" applyBorder="1" applyProtection="1"/>
    <xf numFmtId="0" fontId="0" fillId="0" borderId="1" xfId="0" applyBorder="1" applyProtection="1"/>
    <xf numFmtId="0" fontId="0" fillId="0" borderId="11" xfId="0" applyBorder="1" applyProtection="1"/>
    <xf numFmtId="0" fontId="0" fillId="0" borderId="0" xfId="0" applyFont="1" applyBorder="1" applyAlignment="1" applyProtection="1">
      <alignment wrapText="1"/>
    </xf>
    <xf numFmtId="0" fontId="0" fillId="0" borderId="0" xfId="0" applyFont="1" applyBorder="1" applyProtection="1"/>
    <xf numFmtId="0" fontId="0" fillId="0" borderId="1" xfId="0" applyFont="1" applyFill="1" applyBorder="1" applyAlignment="1" applyProtection="1">
      <alignment horizontal="left" vertical="top"/>
    </xf>
    <xf numFmtId="0" fontId="0" fillId="0" borderId="1" xfId="0" applyFont="1" applyBorder="1" applyAlignment="1" applyProtection="1">
      <alignment vertical="top" wrapText="1"/>
    </xf>
    <xf numFmtId="0" fontId="0" fillId="0" borderId="1" xfId="0" applyFont="1" applyFill="1" applyBorder="1" applyAlignment="1" applyProtection="1">
      <alignment horizontal="left" vertical="top" wrapText="1"/>
    </xf>
    <xf numFmtId="0" fontId="0" fillId="0" borderId="1" xfId="0" applyFont="1" applyFill="1" applyBorder="1" applyAlignment="1" applyProtection="1">
      <alignment horizontal="center" vertical="center" wrapText="1"/>
    </xf>
    <xf numFmtId="0" fontId="0" fillId="0" borderId="0" xfId="0" applyFont="1" applyFill="1" applyBorder="1" applyProtection="1"/>
    <xf numFmtId="0" fontId="0" fillId="0" borderId="15" xfId="0" applyFont="1" applyFill="1" applyBorder="1" applyAlignment="1" applyProtection="1">
      <alignment horizontal="left" vertical="top"/>
    </xf>
    <xf numFmtId="0" fontId="0" fillId="0" borderId="1" xfId="0" applyFont="1" applyBorder="1" applyAlignment="1" applyProtection="1">
      <alignment horizontal="left" vertical="top" wrapText="1"/>
    </xf>
    <xf numFmtId="0" fontId="0" fillId="0" borderId="1" xfId="0" applyFont="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Fill="1" applyBorder="1" applyAlignment="1" applyProtection="1">
      <alignment horizontal="left" vertical="top"/>
    </xf>
    <xf numFmtId="0" fontId="0" fillId="0" borderId="0" xfId="0" applyFont="1" applyFill="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vertical="top" wrapText="1"/>
    </xf>
    <xf numFmtId="2" fontId="0" fillId="0" borderId="1" xfId="0" applyNumberFormat="1" applyFont="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2" fillId="0" borderId="0" xfId="2" applyFont="1" applyFill="1" applyBorder="1" applyProtection="1"/>
    <xf numFmtId="0" fontId="4" fillId="0" borderId="0" xfId="0" applyFont="1" applyFill="1" applyBorder="1" applyAlignment="1" applyProtection="1">
      <alignment horizontal="center" vertical="center" wrapText="1"/>
    </xf>
    <xf numFmtId="0" fontId="0" fillId="0" borderId="1" xfId="0" applyFont="1" applyFill="1" applyBorder="1" applyProtection="1"/>
    <xf numFmtId="166" fontId="0" fillId="0" borderId="1" xfId="0" applyNumberFormat="1" applyFont="1" applyBorder="1" applyAlignment="1" applyProtection="1">
      <alignment horizontal="center" vertical="center" wrapText="1"/>
    </xf>
    <xf numFmtId="0" fontId="0" fillId="0" borderId="1" xfId="0" applyFont="1" applyBorder="1" applyAlignment="1" applyProtection="1">
      <alignment horizontal="left" vertical="top"/>
    </xf>
    <xf numFmtId="1" fontId="0" fillId="0" borderId="1" xfId="0" applyNumberFormat="1" applyFont="1" applyBorder="1" applyAlignment="1" applyProtection="1">
      <alignment horizontal="center" vertical="center" wrapText="1"/>
    </xf>
    <xf numFmtId="0" fontId="0" fillId="0" borderId="16" xfId="0" applyFont="1" applyBorder="1" applyAlignment="1" applyProtection="1">
      <alignment vertical="top" wrapText="1"/>
    </xf>
    <xf numFmtId="0" fontId="0" fillId="0" borderId="0" xfId="0" applyFont="1" applyBorder="1" applyAlignment="1" applyProtection="1">
      <alignment horizontal="left" vertical="top"/>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wrapText="1"/>
    </xf>
    <xf numFmtId="0" fontId="0" fillId="0" borderId="0" xfId="0" applyFont="1" applyBorder="1" applyAlignment="1" applyProtection="1">
      <alignment wrapText="1"/>
      <protection locked="0"/>
    </xf>
    <xf numFmtId="0" fontId="0" fillId="0" borderId="0" xfId="0" applyFont="1" applyFill="1" applyBorder="1" applyAlignment="1" applyProtection="1">
      <alignment wrapText="1"/>
      <protection locked="0"/>
    </xf>
    <xf numFmtId="0" fontId="2" fillId="0" borderId="0" xfId="2" quotePrefix="1" applyFont="1" applyFill="1" applyBorder="1" applyAlignment="1" applyProtection="1">
      <alignment wrapText="1"/>
      <protection locked="0"/>
    </xf>
    <xf numFmtId="0" fontId="0" fillId="0" borderId="0" xfId="0" applyFont="1" applyBorder="1" applyProtection="1">
      <protection locked="0"/>
    </xf>
    <xf numFmtId="0" fontId="3" fillId="2" borderId="11"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4" fillId="0" borderId="0" xfId="0" applyFont="1" applyFill="1" applyAlignment="1" applyProtection="1">
      <alignment wrapText="1"/>
    </xf>
    <xf numFmtId="0" fontId="0" fillId="0" borderId="0" xfId="0" applyFont="1" applyProtection="1"/>
    <xf numFmtId="0" fontId="0" fillId="0" borderId="0" xfId="0" applyFont="1" applyAlignment="1" applyProtection="1">
      <alignment wrapText="1"/>
    </xf>
    <xf numFmtId="0" fontId="0" fillId="0" borderId="0" xfId="0" applyFont="1" applyFill="1" applyAlignment="1" applyProtection="1">
      <alignment wrapText="1"/>
    </xf>
    <xf numFmtId="0" fontId="0" fillId="0" borderId="0" xfId="0" applyFont="1" applyFill="1" applyProtection="1"/>
    <xf numFmtId="0" fontId="0" fillId="0" borderId="0" xfId="0" applyFont="1" applyFill="1" applyAlignment="1" applyProtection="1">
      <alignment horizontal="left" vertical="top"/>
    </xf>
    <xf numFmtId="0" fontId="4" fillId="0" borderId="0" xfId="0" applyFont="1" applyFill="1" applyProtection="1"/>
    <xf numFmtId="0" fontId="4"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wrapText="1"/>
    </xf>
    <xf numFmtId="0" fontId="0" fillId="0" borderId="0" xfId="0" applyProtection="1"/>
    <xf numFmtId="0" fontId="0" fillId="0" borderId="0" xfId="0" applyFont="1" applyFill="1" applyAlignment="1" applyProtection="1">
      <alignment horizontal="left" vertical="top" wrapText="1"/>
    </xf>
    <xf numFmtId="0" fontId="4" fillId="0" borderId="0" xfId="0" applyFont="1" applyFill="1" applyAlignment="1" applyProtection="1">
      <alignment wrapText="1"/>
      <protection locked="0"/>
    </xf>
    <xf numFmtId="0" fontId="0" fillId="0" borderId="0" xfId="0" applyFont="1" applyProtection="1">
      <protection locked="0"/>
    </xf>
    <xf numFmtId="0" fontId="0" fillId="0" borderId="1" xfId="0" applyFont="1" applyFill="1" applyBorder="1" applyAlignment="1" applyProtection="1">
      <alignment wrapText="1"/>
      <protection locked="0"/>
    </xf>
    <xf numFmtId="0" fontId="0" fillId="0" borderId="0" xfId="0" applyFont="1" applyFill="1" applyAlignment="1" applyProtection="1">
      <alignment wrapText="1"/>
      <protection locked="0"/>
    </xf>
    <xf numFmtId="0" fontId="0" fillId="0" borderId="0" xfId="0" applyFont="1" applyAlignment="1" applyProtection="1">
      <alignment wrapText="1"/>
      <protection locked="0"/>
    </xf>
    <xf numFmtId="1" fontId="7" fillId="9" borderId="12" xfId="0" applyNumberFormat="1" applyFont="1" applyFill="1" applyBorder="1" applyAlignment="1" applyProtection="1">
      <alignment horizontal="center" vertical="center"/>
    </xf>
    <xf numFmtId="1" fontId="7" fillId="9" borderId="36" xfId="0" applyNumberFormat="1" applyFont="1" applyFill="1" applyBorder="1" applyAlignment="1" applyProtection="1">
      <alignment horizontal="center" vertical="center"/>
    </xf>
    <xf numFmtId="2" fontId="7" fillId="9" borderId="16" xfId="3" applyNumberFormat="1" applyFont="1" applyFill="1" applyBorder="1" applyAlignment="1" applyProtection="1">
      <alignment horizontal="center" vertical="center"/>
    </xf>
    <xf numFmtId="165" fontId="7" fillId="9" borderId="16" xfId="0" applyNumberFormat="1" applyFont="1" applyFill="1" applyBorder="1" applyAlignment="1" applyProtection="1">
      <alignment horizontal="center" vertical="center"/>
    </xf>
    <xf numFmtId="0" fontId="7" fillId="9" borderId="1" xfId="0" applyNumberFormat="1" applyFont="1" applyFill="1" applyBorder="1" applyAlignment="1" applyProtection="1">
      <alignment horizontal="center" vertical="center" wrapText="1"/>
    </xf>
    <xf numFmtId="1"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1" fontId="17" fillId="0" borderId="1" xfId="0" applyNumberFormat="1" applyFont="1" applyFill="1" applyBorder="1" applyAlignment="1" applyProtection="1">
      <alignment horizontal="center" vertical="center" wrapText="1"/>
    </xf>
    <xf numFmtId="0" fontId="0" fillId="0" borderId="1" xfId="0" applyBorder="1" applyAlignment="1">
      <alignment horizontal="left" vertical="top" wrapText="1"/>
    </xf>
    <xf numFmtId="0" fontId="17" fillId="4" borderId="1" xfId="0" applyFont="1" applyFill="1" applyBorder="1" applyAlignment="1" applyProtection="1">
      <alignment horizontal="center" vertical="center"/>
    </xf>
    <xf numFmtId="165" fontId="7" fillId="0" borderId="1" xfId="0" applyNumberFormat="1" applyFont="1" applyFill="1" applyBorder="1" applyAlignment="1" applyProtection="1">
      <alignment horizontal="center" vertical="center" wrapText="1"/>
    </xf>
    <xf numFmtId="2" fontId="7" fillId="0" borderId="1" xfId="0" applyNumberFormat="1" applyFont="1" applyFill="1" applyBorder="1" applyAlignment="1" applyProtection="1">
      <alignment horizontal="center" vertical="center" wrapText="1"/>
    </xf>
    <xf numFmtId="0" fontId="7" fillId="0" borderId="26" xfId="0" applyFont="1" applyBorder="1" applyAlignment="1" applyProtection="1">
      <alignment horizontal="left" vertical="center" wrapText="1"/>
    </xf>
    <xf numFmtId="0" fontId="7" fillId="4" borderId="27" xfId="0" applyFont="1" applyFill="1" applyBorder="1" applyAlignment="1" applyProtection="1">
      <alignment horizontal="center" vertical="center"/>
    </xf>
    <xf numFmtId="165" fontId="7" fillId="8" borderId="27" xfId="0" applyNumberFormat="1" applyFont="1" applyFill="1" applyBorder="1" applyAlignment="1" applyProtection="1">
      <alignment horizontal="center" vertical="center" wrapText="1"/>
    </xf>
    <xf numFmtId="0" fontId="7" fillId="0" borderId="27" xfId="0" applyFont="1" applyBorder="1" applyAlignment="1" applyProtection="1">
      <alignment horizontal="left" vertical="center" wrapText="1"/>
    </xf>
    <xf numFmtId="1" fontId="7" fillId="9" borderId="27" xfId="0" applyNumberFormat="1" applyFont="1" applyFill="1" applyBorder="1" applyAlignment="1" applyProtection="1">
      <alignment horizontal="center" vertical="center" wrapText="1"/>
    </xf>
    <xf numFmtId="164" fontId="7" fillId="8" borderId="11" xfId="0" applyNumberFormat="1" applyFont="1" applyFill="1" applyBorder="1" applyAlignment="1" applyProtection="1">
      <alignment horizontal="center" vertical="center" wrapText="1"/>
    </xf>
    <xf numFmtId="166" fontId="7" fillId="9" borderId="15" xfId="0" applyNumberFormat="1" applyFont="1" applyFill="1" applyBorder="1" applyAlignment="1" applyProtection="1">
      <alignment horizontal="center" vertical="center" wrapText="1"/>
    </xf>
    <xf numFmtId="166" fontId="7" fillId="8" borderId="1" xfId="0" applyNumberFormat="1" applyFont="1" applyFill="1" applyBorder="1" applyAlignment="1" applyProtection="1">
      <alignment horizontal="center" vertical="center" wrapText="1"/>
    </xf>
    <xf numFmtId="0" fontId="7" fillId="5" borderId="15" xfId="0" applyNumberFormat="1" applyFont="1" applyFill="1" applyBorder="1" applyAlignment="1" applyProtection="1">
      <alignment horizontal="center" vertical="center" wrapText="1"/>
      <protection locked="0"/>
    </xf>
    <xf numFmtId="2" fontId="7" fillId="13" borderId="1" xfId="0" applyNumberFormat="1" applyFont="1" applyFill="1" applyBorder="1" applyAlignment="1" applyProtection="1">
      <alignment horizontal="center" vertical="center" wrapText="1"/>
    </xf>
    <xf numFmtId="166" fontId="7" fillId="13" borderId="15" xfId="0" applyNumberFormat="1" applyFont="1" applyFill="1" applyBorder="1" applyAlignment="1" applyProtection="1">
      <alignment horizontal="center" vertical="center" wrapText="1"/>
    </xf>
    <xf numFmtId="164" fontId="1" fillId="0" borderId="0" xfId="14" applyNumberFormat="1"/>
    <xf numFmtId="164" fontId="7" fillId="9" borderId="1" xfId="0" applyNumberFormat="1" applyFont="1" applyFill="1" applyBorder="1" applyAlignment="1" applyProtection="1">
      <alignment horizontal="center" vertical="center" wrapText="1"/>
    </xf>
    <xf numFmtId="0" fontId="7" fillId="0" borderId="27"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5" fontId="7" fillId="0" borderId="24" xfId="4" applyNumberFormat="1" applyFont="1" applyFill="1" applyBorder="1" applyAlignment="1" applyProtection="1">
      <alignment horizontal="left" vertical="center" wrapText="1"/>
    </xf>
    <xf numFmtId="0" fontId="9" fillId="4" borderId="19" xfId="0" applyFont="1" applyFill="1" applyBorder="1" applyAlignment="1" applyProtection="1">
      <alignment vertical="center" wrapText="1"/>
    </xf>
    <xf numFmtId="0" fontId="9" fillId="4" borderId="20" xfId="0" applyFont="1" applyFill="1" applyBorder="1" applyAlignment="1" applyProtection="1">
      <alignment vertical="center" wrapText="1"/>
    </xf>
    <xf numFmtId="0" fontId="9" fillId="4" borderId="21" xfId="0" applyFont="1" applyFill="1" applyBorder="1" applyAlignment="1" applyProtection="1">
      <alignment vertical="center" wrapText="1"/>
    </xf>
    <xf numFmtId="0" fontId="7" fillId="4" borderId="38" xfId="0" applyFont="1" applyFill="1" applyBorder="1" applyAlignment="1" applyProtection="1">
      <alignment horizontal="left" vertical="center" wrapText="1"/>
    </xf>
    <xf numFmtId="0" fontId="7" fillId="4" borderId="17" xfId="0" applyFont="1" applyFill="1" applyBorder="1" applyAlignment="1" applyProtection="1">
      <alignment horizontal="left" vertical="center" wrapText="1"/>
    </xf>
    <xf numFmtId="0" fontId="7" fillId="4" borderId="39" xfId="0" applyFont="1" applyFill="1" applyBorder="1" applyAlignment="1" applyProtection="1">
      <alignment horizontal="left" vertical="center" wrapText="1"/>
    </xf>
    <xf numFmtId="0" fontId="9" fillId="4" borderId="4" xfId="0" applyFont="1" applyFill="1" applyBorder="1" applyAlignment="1" applyProtection="1">
      <alignment vertical="center" wrapText="1"/>
    </xf>
    <xf numFmtId="0" fontId="9" fillId="4" borderId="5" xfId="0" applyFont="1" applyFill="1" applyBorder="1" applyAlignment="1" applyProtection="1">
      <alignment vertical="center" wrapText="1"/>
    </xf>
    <xf numFmtId="0" fontId="9" fillId="4" borderId="6" xfId="0" applyFont="1" applyFill="1" applyBorder="1" applyAlignment="1" applyProtection="1">
      <alignment vertical="center" wrapText="1"/>
    </xf>
    <xf numFmtId="0" fontId="9" fillId="0" borderId="19" xfId="5" applyFont="1" applyFill="1" applyBorder="1" applyAlignment="1" applyProtection="1">
      <alignment vertical="center" wrapText="1"/>
    </xf>
    <xf numFmtId="0" fontId="9" fillId="0" borderId="20" xfId="5" applyFont="1" applyFill="1" applyBorder="1" applyAlignment="1" applyProtection="1">
      <alignment vertical="center" wrapText="1"/>
    </xf>
    <xf numFmtId="0" fontId="9" fillId="0" borderId="21" xfId="5" applyFont="1" applyFill="1" applyBorder="1" applyAlignment="1" applyProtection="1">
      <alignment vertical="center" wrapText="1"/>
    </xf>
    <xf numFmtId="0" fontId="6" fillId="0" borderId="17" xfId="0" applyFont="1" applyBorder="1" applyAlignment="1" applyProtection="1">
      <alignment horizontal="center" vertical="center"/>
    </xf>
    <xf numFmtId="0" fontId="9" fillId="0" borderId="19" xfId="0" applyFont="1" applyFill="1" applyBorder="1" applyAlignment="1" applyProtection="1">
      <alignment vertical="center" wrapText="1"/>
    </xf>
    <xf numFmtId="0" fontId="9" fillId="0" borderId="20" xfId="0" applyFont="1" applyFill="1" applyBorder="1" applyAlignment="1" applyProtection="1">
      <alignment vertical="center" wrapText="1"/>
    </xf>
    <xf numFmtId="0" fontId="9" fillId="0" borderId="21" xfId="0" applyFont="1" applyFill="1" applyBorder="1" applyAlignment="1" applyProtection="1">
      <alignment vertical="center" wrapText="1"/>
    </xf>
    <xf numFmtId="0" fontId="9" fillId="0" borderId="19"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3" fillId="3" borderId="1" xfId="0" applyFont="1" applyFill="1" applyBorder="1" applyAlignment="1" applyProtection="1">
      <alignment horizontal="center" vertical="top" wrapText="1"/>
    </xf>
    <xf numFmtId="0" fontId="3" fillId="3" borderId="12" xfId="0" applyFont="1" applyFill="1" applyBorder="1" applyAlignment="1" applyProtection="1">
      <alignment horizontal="center" vertical="top" wrapText="1"/>
    </xf>
    <xf numFmtId="0" fontId="3" fillId="3" borderId="13" xfId="0" applyFont="1" applyFill="1" applyBorder="1" applyAlignment="1" applyProtection="1">
      <alignment horizontal="center" vertical="top" wrapText="1"/>
    </xf>
    <xf numFmtId="0" fontId="3" fillId="3" borderId="14" xfId="0" applyFont="1" applyFill="1" applyBorder="1" applyAlignment="1" applyProtection="1">
      <alignment horizontal="center" vertical="top"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cellXfs>
  <cellStyles count="24">
    <cellStyle name="Hyperlink" xfId="2" builtinId="8"/>
    <cellStyle name="Normal" xfId="0" builtinId="0"/>
    <cellStyle name="Normal 2" xfId="1"/>
    <cellStyle name="Normal 2 2" xfId="6"/>
    <cellStyle name="Normal 3" xfId="7"/>
    <cellStyle name="Normal 3 2" xfId="8"/>
    <cellStyle name="Normal 4" xfId="4"/>
    <cellStyle name="Normal 4 2" xfId="9"/>
    <cellStyle name="Normal 5" xfId="10"/>
    <cellStyle name="Normal 5 2" xfId="11"/>
    <cellStyle name="Normal 6" xfId="12"/>
    <cellStyle name="Normal 6 2" xfId="13"/>
    <cellStyle name="Normal 7" xfId="14"/>
    <cellStyle name="Normal 8" xfId="5"/>
    <cellStyle name="Percent" xfId="3" builtinId="5"/>
    <cellStyle name="Percent 2" xfId="15"/>
    <cellStyle name="Percent 2 2" xfId="16"/>
    <cellStyle name="Percent 3" xfId="17"/>
    <cellStyle name="Percent 3 2" xfId="18"/>
    <cellStyle name="Percent 4" xfId="19"/>
    <cellStyle name="Percent 4 2" xfId="20"/>
    <cellStyle name="Percent 5" xfId="21"/>
    <cellStyle name="Percent 5 2" xfId="22"/>
    <cellStyle name="Percent 6" xfId="23"/>
  </cellStyles>
  <dxfs count="42">
    <dxf>
      <fill>
        <patternFill>
          <bgColor theme="6"/>
        </patternFill>
      </fill>
    </dxf>
    <dxf>
      <fill>
        <patternFill>
          <bgColor theme="0" tint="-0.14996795556505021"/>
        </patternFill>
      </fill>
    </dxf>
    <dxf>
      <fill>
        <patternFill>
          <bgColor theme="6"/>
        </patternFill>
      </fill>
    </dxf>
    <dxf>
      <fill>
        <patternFill>
          <bgColor theme="0" tint="-0.14996795556505021"/>
        </patternFill>
      </fill>
    </dxf>
    <dxf>
      <fill>
        <patternFill>
          <bgColor theme="6"/>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FFFF00"/>
        </patternFill>
      </fill>
    </dxf>
    <dxf>
      <numFmt numFmtId="0" formatCode="General"/>
      <fill>
        <patternFill>
          <bgColor theme="0" tint="-0.49998474074526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dxf>
    <dxf>
      <font>
        <color rgb="FF9C0006"/>
      </font>
    </dxf>
    <dxf>
      <font>
        <color rgb="FF9C0006"/>
      </font>
      <fill>
        <patternFill>
          <bgColor rgb="FFFFC7CE"/>
        </patternFill>
      </fill>
    </dxf>
  </dxfs>
  <tableStyles count="0" defaultTableStyle="TableStyleMedium2" defaultPivotStyle="PivotStyleLight16"/>
  <colors>
    <mruColors>
      <color rgb="FFFF3B3B"/>
      <color rgb="FFFF4B4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xdr:col>
      <xdr:colOff>42332</xdr:colOff>
      <xdr:row>9</xdr:row>
      <xdr:rowOff>719668</xdr:rowOff>
    </xdr:from>
    <xdr:to>
      <xdr:col>3</xdr:col>
      <xdr:colOff>3291415</xdr:colOff>
      <xdr:row>9</xdr:row>
      <xdr:rowOff>2603500</xdr:rowOff>
    </xdr:to>
    <xdr:pic>
      <xdr:nvPicPr>
        <xdr:cNvPr id="4" name="Picture 3"/>
        <xdr:cNvPicPr/>
      </xdr:nvPicPr>
      <xdr:blipFill>
        <a:blip xmlns:r="http://schemas.openxmlformats.org/officeDocument/2006/relationships" r:embed="rId1"/>
        <a:stretch>
          <a:fillRect/>
        </a:stretch>
      </xdr:blipFill>
      <xdr:spPr>
        <a:xfrm>
          <a:off x="3428999" y="4519085"/>
          <a:ext cx="3249083" cy="1883832"/>
        </a:xfrm>
        <a:prstGeom prst="rect">
          <a:avLst/>
        </a:prstGeom>
      </xdr:spPr>
    </xdr:pic>
    <xdr:clientData/>
  </xdr:twoCellAnchor>
  <xdr:twoCellAnchor>
    <xdr:from>
      <xdr:col>3</xdr:col>
      <xdr:colOff>560917</xdr:colOff>
      <xdr:row>11</xdr:row>
      <xdr:rowOff>592667</xdr:rowOff>
    </xdr:from>
    <xdr:to>
      <xdr:col>3</xdr:col>
      <xdr:colOff>2847115</xdr:colOff>
      <xdr:row>11</xdr:row>
      <xdr:rowOff>2433819</xdr:rowOff>
    </xdr:to>
    <xdr:pic>
      <xdr:nvPicPr>
        <xdr:cNvPr id="9" name="Picture 8"/>
        <xdr:cNvPicPr>
          <a:picLocks noChangeAspect="1"/>
        </xdr:cNvPicPr>
      </xdr:nvPicPr>
      <xdr:blipFill>
        <a:blip xmlns:r="http://schemas.openxmlformats.org/officeDocument/2006/relationships" r:embed="rId2"/>
        <a:stretch>
          <a:fillRect/>
        </a:stretch>
      </xdr:blipFill>
      <xdr:spPr>
        <a:xfrm>
          <a:off x="3947584" y="7683500"/>
          <a:ext cx="2286198" cy="184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631031</xdr:colOff>
      <xdr:row>12</xdr:row>
      <xdr:rowOff>642937</xdr:rowOff>
    </xdr:from>
    <xdr:to>
      <xdr:col>4</xdr:col>
      <xdr:colOff>3331793</xdr:colOff>
      <xdr:row>12</xdr:row>
      <xdr:rowOff>2563343</xdr:rowOff>
    </xdr:to>
    <xdr:pic>
      <xdr:nvPicPr>
        <xdr:cNvPr id="5" name="Picture 4"/>
        <xdr:cNvPicPr>
          <a:picLocks noChangeAspect="1"/>
        </xdr:cNvPicPr>
      </xdr:nvPicPr>
      <xdr:blipFill>
        <a:blip xmlns:r="http://schemas.openxmlformats.org/officeDocument/2006/relationships" r:embed="rId1"/>
        <a:stretch>
          <a:fillRect/>
        </a:stretch>
      </xdr:blipFill>
      <xdr:spPr>
        <a:xfrm>
          <a:off x="5072062" y="4857750"/>
          <a:ext cx="2700762" cy="1920406"/>
        </a:xfrm>
        <a:prstGeom prst="rect">
          <a:avLst/>
        </a:prstGeom>
      </xdr:spPr>
    </xdr:pic>
    <xdr:clientData/>
  </xdr:twoCellAnchor>
  <xdr:twoCellAnchor>
    <xdr:from>
      <xdr:col>4</xdr:col>
      <xdr:colOff>488156</xdr:colOff>
      <xdr:row>13</xdr:row>
      <xdr:rowOff>583407</xdr:rowOff>
    </xdr:from>
    <xdr:to>
      <xdr:col>4</xdr:col>
      <xdr:colOff>3213304</xdr:colOff>
      <xdr:row>13</xdr:row>
      <xdr:rowOff>2735482</xdr:rowOff>
    </xdr:to>
    <xdr:pic>
      <xdr:nvPicPr>
        <xdr:cNvPr id="13" name="Picture 12"/>
        <xdr:cNvPicPr>
          <a:picLocks noChangeAspect="1"/>
        </xdr:cNvPicPr>
      </xdr:nvPicPr>
      <xdr:blipFill>
        <a:blip xmlns:r="http://schemas.openxmlformats.org/officeDocument/2006/relationships" r:embed="rId2"/>
        <a:stretch>
          <a:fillRect/>
        </a:stretch>
      </xdr:blipFill>
      <xdr:spPr>
        <a:xfrm>
          <a:off x="4929187" y="7477126"/>
          <a:ext cx="2725148" cy="2152075"/>
        </a:xfrm>
        <a:prstGeom prst="rect">
          <a:avLst/>
        </a:prstGeom>
      </xdr:spPr>
    </xdr:pic>
    <xdr:clientData/>
  </xdr:twoCellAnchor>
  <xdr:twoCellAnchor>
    <xdr:from>
      <xdr:col>4</xdr:col>
      <xdr:colOff>571499</xdr:colOff>
      <xdr:row>14</xdr:row>
      <xdr:rowOff>583408</xdr:rowOff>
    </xdr:from>
    <xdr:to>
      <xdr:col>4</xdr:col>
      <xdr:colOff>3095462</xdr:colOff>
      <xdr:row>14</xdr:row>
      <xdr:rowOff>2692807</xdr:rowOff>
    </xdr:to>
    <xdr:pic>
      <xdr:nvPicPr>
        <xdr:cNvPr id="14" name="Picture 13"/>
        <xdr:cNvPicPr>
          <a:picLocks noChangeAspect="1"/>
        </xdr:cNvPicPr>
      </xdr:nvPicPr>
      <xdr:blipFill>
        <a:blip xmlns:r="http://schemas.openxmlformats.org/officeDocument/2006/relationships" r:embed="rId3"/>
        <a:stretch>
          <a:fillRect/>
        </a:stretch>
      </xdr:blipFill>
      <xdr:spPr>
        <a:xfrm>
          <a:off x="5012530" y="10275096"/>
          <a:ext cx="2523963" cy="2109399"/>
        </a:xfrm>
        <a:prstGeom prst="rect">
          <a:avLst/>
        </a:prstGeom>
      </xdr:spPr>
    </xdr:pic>
    <xdr:clientData/>
  </xdr:twoCellAnchor>
  <xdr:twoCellAnchor editAs="oneCell">
    <xdr:from>
      <xdr:col>4</xdr:col>
      <xdr:colOff>726281</xdr:colOff>
      <xdr:row>20</xdr:row>
      <xdr:rowOff>1023937</xdr:rowOff>
    </xdr:from>
    <xdr:to>
      <xdr:col>4</xdr:col>
      <xdr:colOff>3042962</xdr:colOff>
      <xdr:row>20</xdr:row>
      <xdr:rowOff>3334521</xdr:rowOff>
    </xdr:to>
    <xdr:pic>
      <xdr:nvPicPr>
        <xdr:cNvPr id="16" name="Picture 15"/>
        <xdr:cNvPicPr>
          <a:picLocks noChangeAspect="1"/>
        </xdr:cNvPicPr>
      </xdr:nvPicPr>
      <xdr:blipFill>
        <a:blip xmlns:r="http://schemas.openxmlformats.org/officeDocument/2006/relationships" r:embed="rId4"/>
        <a:stretch>
          <a:fillRect/>
        </a:stretch>
      </xdr:blipFill>
      <xdr:spPr>
        <a:xfrm>
          <a:off x="5167312" y="15192375"/>
          <a:ext cx="2316681" cy="2310584"/>
        </a:xfrm>
        <a:prstGeom prst="rect">
          <a:avLst/>
        </a:prstGeom>
      </xdr:spPr>
    </xdr:pic>
    <xdr:clientData/>
  </xdr:twoCellAnchor>
  <xdr:twoCellAnchor editAs="oneCell">
    <xdr:from>
      <xdr:col>4</xdr:col>
      <xdr:colOff>702469</xdr:colOff>
      <xdr:row>21</xdr:row>
      <xdr:rowOff>833437</xdr:rowOff>
    </xdr:from>
    <xdr:to>
      <xdr:col>4</xdr:col>
      <xdr:colOff>3025246</xdr:colOff>
      <xdr:row>21</xdr:row>
      <xdr:rowOff>3150118</xdr:rowOff>
    </xdr:to>
    <xdr:pic>
      <xdr:nvPicPr>
        <xdr:cNvPr id="23" name="Picture 22"/>
        <xdr:cNvPicPr>
          <a:picLocks noChangeAspect="1"/>
        </xdr:cNvPicPr>
      </xdr:nvPicPr>
      <xdr:blipFill>
        <a:blip xmlns:r="http://schemas.openxmlformats.org/officeDocument/2006/relationships" r:embed="rId5"/>
        <a:stretch>
          <a:fillRect/>
        </a:stretch>
      </xdr:blipFill>
      <xdr:spPr>
        <a:xfrm>
          <a:off x="5143500" y="18407062"/>
          <a:ext cx="2322777" cy="2316681"/>
        </a:xfrm>
        <a:prstGeom prst="rect">
          <a:avLst/>
        </a:prstGeom>
      </xdr:spPr>
    </xdr:pic>
    <xdr:clientData/>
  </xdr:twoCellAnchor>
  <xdr:twoCellAnchor editAs="oneCell">
    <xdr:from>
      <xdr:col>4</xdr:col>
      <xdr:colOff>631031</xdr:colOff>
      <xdr:row>22</xdr:row>
      <xdr:rowOff>833438</xdr:rowOff>
    </xdr:from>
    <xdr:to>
      <xdr:col>4</xdr:col>
      <xdr:colOff>2953808</xdr:colOff>
      <xdr:row>22</xdr:row>
      <xdr:rowOff>3150119</xdr:rowOff>
    </xdr:to>
    <xdr:pic>
      <xdr:nvPicPr>
        <xdr:cNvPr id="26" name="Picture 25"/>
        <xdr:cNvPicPr>
          <a:picLocks noChangeAspect="1"/>
        </xdr:cNvPicPr>
      </xdr:nvPicPr>
      <xdr:blipFill>
        <a:blip xmlns:r="http://schemas.openxmlformats.org/officeDocument/2006/relationships" r:embed="rId6"/>
        <a:stretch>
          <a:fillRect/>
        </a:stretch>
      </xdr:blipFill>
      <xdr:spPr>
        <a:xfrm>
          <a:off x="5072062" y="21645563"/>
          <a:ext cx="2322777" cy="231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232804/Documents/BSR-MV/TPS5335x/Tools/Excel/TPS53355%20Updated%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Calculations"/>
      <sheetName val="partData"/>
      <sheetName val="partData (2)"/>
      <sheetName val="Sheet1"/>
    </sheetNames>
    <sheetDataSet>
      <sheetData sheetId="0">
        <row r="4">
          <cell r="C4" t="str">
            <v>TPS53355</v>
          </cell>
        </row>
        <row r="8">
          <cell r="C8">
            <v>0.6</v>
          </cell>
        </row>
        <row r="9">
          <cell r="C9">
            <v>30</v>
          </cell>
        </row>
        <row r="11">
          <cell r="C11">
            <v>1.2</v>
          </cell>
        </row>
        <row r="12">
          <cell r="C12">
            <v>0.95</v>
          </cell>
        </row>
        <row r="15">
          <cell r="C15">
            <v>34</v>
          </cell>
        </row>
        <row r="17">
          <cell r="C17">
            <v>35</v>
          </cell>
        </row>
        <row r="18">
          <cell r="C18">
            <v>260</v>
          </cell>
        </row>
        <row r="19">
          <cell r="C19">
            <v>5.5</v>
          </cell>
        </row>
        <row r="20">
          <cell r="C20">
            <v>2.2000000000000002</v>
          </cell>
        </row>
        <row r="22">
          <cell r="C22">
            <v>10</v>
          </cell>
        </row>
        <row r="23">
          <cell r="C23">
            <v>12</v>
          </cell>
        </row>
        <row r="24">
          <cell r="C24">
            <v>14</v>
          </cell>
        </row>
        <row r="25">
          <cell r="C25">
            <v>1.8</v>
          </cell>
        </row>
        <row r="26">
          <cell r="C26">
            <v>30</v>
          </cell>
        </row>
        <row r="35">
          <cell r="C35">
            <v>500</v>
          </cell>
        </row>
        <row r="40">
          <cell r="C40">
            <v>0.4</v>
          </cell>
        </row>
        <row r="44">
          <cell r="E44">
            <v>0.44</v>
          </cell>
        </row>
        <row r="45">
          <cell r="E45">
            <v>10</v>
          </cell>
        </row>
        <row r="46">
          <cell r="E46">
            <v>0.2</v>
          </cell>
        </row>
        <row r="47">
          <cell r="F47">
            <v>8.9123376623376611</v>
          </cell>
        </row>
        <row r="50">
          <cell r="F50">
            <v>5.5909090909090908</v>
          </cell>
        </row>
        <row r="51">
          <cell r="F51">
            <v>27.204545454545453</v>
          </cell>
        </row>
        <row r="54">
          <cell r="C54">
            <v>32.01</v>
          </cell>
        </row>
        <row r="56">
          <cell r="E56">
            <v>162.61000000000001</v>
          </cell>
        </row>
        <row r="57">
          <cell r="F57">
            <v>32.010349025974023</v>
          </cell>
        </row>
        <row r="63">
          <cell r="C63">
            <v>15</v>
          </cell>
        </row>
        <row r="64">
          <cell r="C64">
            <v>5.3999999999999999E-2</v>
          </cell>
        </row>
        <row r="65">
          <cell r="C65">
            <v>1.7999999999999999E-2</v>
          </cell>
        </row>
        <row r="75">
          <cell r="E75">
            <v>100</v>
          </cell>
        </row>
        <row r="76">
          <cell r="E76">
            <v>3</v>
          </cell>
        </row>
        <row r="77">
          <cell r="E77">
            <v>9</v>
          </cell>
        </row>
        <row r="78">
          <cell r="E78">
            <v>0.6</v>
          </cell>
        </row>
        <row r="79">
          <cell r="F79">
            <v>540</v>
          </cell>
        </row>
        <row r="80">
          <cell r="F80">
            <v>0.33333333333333331</v>
          </cell>
        </row>
        <row r="85">
          <cell r="F85">
            <v>10.325162929593985</v>
          </cell>
        </row>
        <row r="90">
          <cell r="C90">
            <v>200</v>
          </cell>
        </row>
        <row r="91">
          <cell r="D91">
            <v>10.8</v>
          </cell>
        </row>
        <row r="93">
          <cell r="E93">
            <v>16.7</v>
          </cell>
        </row>
        <row r="98">
          <cell r="E98">
            <v>10</v>
          </cell>
        </row>
        <row r="100">
          <cell r="E100">
            <v>20</v>
          </cell>
        </row>
        <row r="104">
          <cell r="E104">
            <v>470</v>
          </cell>
        </row>
        <row r="107">
          <cell r="C107">
            <v>7.4</v>
          </cell>
        </row>
        <row r="109">
          <cell r="E109">
            <v>100</v>
          </cell>
        </row>
        <row r="110">
          <cell r="F110">
            <v>98.360655737704917</v>
          </cell>
        </row>
        <row r="112">
          <cell r="E112">
            <v>499</v>
          </cell>
        </row>
        <row r="117">
          <cell r="E117">
            <v>4.7</v>
          </cell>
        </row>
        <row r="119">
          <cell r="E119">
            <v>0.22</v>
          </cell>
        </row>
        <row r="121">
          <cell r="E121">
            <v>10</v>
          </cell>
        </row>
      </sheetData>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W155"/>
  <sheetViews>
    <sheetView tabSelected="1" zoomScale="90" zoomScaleNormal="90" workbookViewId="0">
      <pane ySplit="2" topLeftCell="A3" activePane="bottomLeft" state="frozen"/>
      <selection pane="bottomLeft" activeCell="E105" activeCellId="1" sqref="E118 E105"/>
    </sheetView>
  </sheetViews>
  <sheetFormatPr defaultColWidth="9.140625" defaultRowHeight="14.25" x14ac:dyDescent="0.25"/>
  <cols>
    <col min="1" max="1" width="2.7109375" style="1" customWidth="1"/>
    <col min="2" max="2" width="20.85546875" style="1" bestFit="1" customWidth="1"/>
    <col min="3" max="3" width="15.7109375" style="1" customWidth="1"/>
    <col min="4" max="4" width="16.42578125" style="1" bestFit="1" customWidth="1"/>
    <col min="5" max="6" width="15.7109375" style="1" customWidth="1"/>
    <col min="7" max="7" width="6.28515625" style="1" bestFit="1" customWidth="1"/>
    <col min="8" max="8" width="113.28515625" style="1" bestFit="1" customWidth="1"/>
    <col min="9" max="9" width="13.5703125" style="1" bestFit="1" customWidth="1"/>
    <col min="10" max="10" width="37.85546875" style="1" bestFit="1" customWidth="1"/>
    <col min="11" max="11" width="17.85546875" style="1" bestFit="1" customWidth="1"/>
    <col min="12" max="12" width="14.5703125" style="1" bestFit="1" customWidth="1"/>
    <col min="13" max="13" width="13.140625" style="1" bestFit="1" customWidth="1"/>
    <col min="14" max="14" width="8.28515625" style="1" bestFit="1" customWidth="1"/>
    <col min="15" max="15" width="7.85546875" style="1" bestFit="1" customWidth="1"/>
    <col min="16" max="16" width="7.42578125" style="1" bestFit="1" customWidth="1"/>
    <col min="17" max="17" width="16.28515625" style="1" bestFit="1" customWidth="1"/>
    <col min="18" max="18" width="3.85546875" style="1" bestFit="1" customWidth="1"/>
    <col min="19" max="16384" width="9.140625" style="1"/>
  </cols>
  <sheetData>
    <row r="1" spans="2:18" ht="24" thickBot="1" x14ac:dyDescent="0.3">
      <c r="B1" s="265" t="s">
        <v>93</v>
      </c>
      <c r="C1" s="265"/>
      <c r="D1" s="265"/>
      <c r="E1" s="265"/>
      <c r="F1" s="265"/>
      <c r="G1" s="265"/>
      <c r="H1" s="265"/>
    </row>
    <row r="2" spans="2:18" ht="45.75" thickBot="1" x14ac:dyDescent="0.3">
      <c r="B2" s="2" t="s">
        <v>94</v>
      </c>
      <c r="C2" s="2" t="s">
        <v>95</v>
      </c>
      <c r="D2" s="2" t="s">
        <v>96</v>
      </c>
      <c r="E2" s="2" t="s">
        <v>97</v>
      </c>
      <c r="F2" s="2" t="s">
        <v>98</v>
      </c>
      <c r="G2" s="2" t="s">
        <v>99</v>
      </c>
      <c r="H2" s="2" t="s">
        <v>100</v>
      </c>
    </row>
    <row r="3" spans="2:18" s="3" customFormat="1" ht="16.5" thickBot="1" x14ac:dyDescent="0.3">
      <c r="B3" s="266" t="s">
        <v>101</v>
      </c>
      <c r="C3" s="267"/>
      <c r="D3" s="267"/>
      <c r="E3" s="267"/>
      <c r="F3" s="267"/>
      <c r="G3" s="267"/>
      <c r="H3" s="268"/>
      <c r="J3" s="1"/>
      <c r="K3" s="1"/>
      <c r="L3" s="1"/>
      <c r="M3" s="1"/>
      <c r="N3" s="1"/>
      <c r="O3" s="1"/>
      <c r="P3" s="1"/>
      <c r="Q3" s="1"/>
      <c r="R3" s="1"/>
    </row>
    <row r="4" spans="2:18" ht="15" x14ac:dyDescent="0.25">
      <c r="B4" s="4" t="s">
        <v>102</v>
      </c>
      <c r="C4" s="5" t="s">
        <v>103</v>
      </c>
      <c r="D4" s="166"/>
      <c r="E4" s="166"/>
      <c r="F4" s="166"/>
      <c r="G4" s="6"/>
      <c r="H4" s="7" t="s">
        <v>104</v>
      </c>
      <c r="K4" s="9"/>
      <c r="L4" s="9"/>
      <c r="M4" s="9"/>
      <c r="N4" s="9"/>
      <c r="O4" s="9"/>
      <c r="P4" s="3"/>
      <c r="Q4" s="3"/>
      <c r="R4" s="3"/>
    </row>
    <row r="5" spans="2:18" ht="15" hidden="1" x14ac:dyDescent="0.25">
      <c r="B5" s="4" t="s">
        <v>106</v>
      </c>
      <c r="C5" s="10">
        <f>VLOOKUP($C$4,partData!$A$3:$N$11,14,FALSE)</f>
        <v>4.5</v>
      </c>
      <c r="D5" s="11"/>
      <c r="E5" s="11"/>
      <c r="F5" s="11"/>
      <c r="G5" s="12" t="s">
        <v>107</v>
      </c>
      <c r="H5" s="13" t="s">
        <v>108</v>
      </c>
      <c r="K5" s="9"/>
      <c r="L5" s="9"/>
      <c r="M5" s="15"/>
      <c r="N5" s="15"/>
      <c r="O5" s="16"/>
    </row>
    <row r="6" spans="2:18" ht="15" x14ac:dyDescent="0.25">
      <c r="B6" s="17" t="s">
        <v>110</v>
      </c>
      <c r="C6" s="10">
        <f>VLOOKUP($C$4,partData!$A$3:$N$11,2,FALSE)</f>
        <v>1.5</v>
      </c>
      <c r="D6" s="11"/>
      <c r="E6" s="11"/>
      <c r="F6" s="11"/>
      <c r="G6" s="12" t="s">
        <v>107</v>
      </c>
      <c r="H6" s="13" t="s">
        <v>111</v>
      </c>
      <c r="K6" s="9"/>
      <c r="L6" s="9"/>
      <c r="M6" s="15"/>
      <c r="N6" s="15"/>
      <c r="O6" s="16"/>
    </row>
    <row r="7" spans="2:18" ht="18" x14ac:dyDescent="0.25">
      <c r="B7" s="17" t="s">
        <v>113</v>
      </c>
      <c r="C7" s="10">
        <f>VLOOKUP($C$4,partData!$A$3:$N$11,3,FALSE)</f>
        <v>15</v>
      </c>
      <c r="D7" s="11"/>
      <c r="E7" s="11"/>
      <c r="F7" s="11"/>
      <c r="G7" s="12" t="s">
        <v>107</v>
      </c>
      <c r="H7" s="13" t="s">
        <v>114</v>
      </c>
      <c r="J7" s="8" t="s">
        <v>105</v>
      </c>
      <c r="K7" s="9"/>
      <c r="L7" s="9"/>
      <c r="M7" s="16"/>
      <c r="N7" s="16"/>
      <c r="O7" s="16"/>
    </row>
    <row r="8" spans="2:18" ht="15" x14ac:dyDescent="0.25">
      <c r="B8" s="17" t="s">
        <v>116</v>
      </c>
      <c r="C8" s="10">
        <f>VLOOKUP($C$4,partData!$A$3:$N$11,10,FALSE)</f>
        <v>0.6</v>
      </c>
      <c r="D8" s="11"/>
      <c r="E8" s="11"/>
      <c r="F8" s="11"/>
      <c r="G8" s="12" t="s">
        <v>107</v>
      </c>
      <c r="H8" s="13" t="s">
        <v>117</v>
      </c>
      <c r="J8" s="14" t="s">
        <v>109</v>
      </c>
      <c r="K8" s="9"/>
      <c r="L8" s="9"/>
    </row>
    <row r="9" spans="2:18" ht="15" x14ac:dyDescent="0.25">
      <c r="B9" s="17" t="s">
        <v>119</v>
      </c>
      <c r="C9" s="10">
        <f>VLOOKUP($C$4,partData!$A$3:$N$11,4,FALSE)</f>
        <v>30</v>
      </c>
      <c r="D9" s="11"/>
      <c r="E9" s="11"/>
      <c r="F9" s="11"/>
      <c r="G9" s="12" t="s">
        <v>120</v>
      </c>
      <c r="H9" s="13" t="s">
        <v>121</v>
      </c>
      <c r="J9" s="18" t="s">
        <v>112</v>
      </c>
      <c r="K9" s="9"/>
      <c r="L9" s="9"/>
    </row>
    <row r="10" spans="2:18" ht="15.75" thickBot="1" x14ac:dyDescent="0.3">
      <c r="B10" s="17" t="s">
        <v>123</v>
      </c>
      <c r="C10" s="10">
        <f>VLOOKUP($C$4,partData!$A$3:$N$11,13,FALSE)</f>
        <v>5</v>
      </c>
      <c r="D10" s="11"/>
      <c r="E10" s="11"/>
      <c r="F10" s="11"/>
      <c r="G10" s="12" t="s">
        <v>107</v>
      </c>
      <c r="H10" s="13" t="s">
        <v>124</v>
      </c>
      <c r="J10" s="19" t="s">
        <v>115</v>
      </c>
      <c r="K10" s="9"/>
      <c r="L10" s="9"/>
    </row>
    <row r="11" spans="2:18" ht="16.5" thickBot="1" x14ac:dyDescent="0.3">
      <c r="B11" s="17" t="s">
        <v>126</v>
      </c>
      <c r="C11" s="10">
        <f>VLOOKUP($C$4,partData!$A$3:$U$11,20,FALSE)</f>
        <v>1.2</v>
      </c>
      <c r="D11" s="11"/>
      <c r="E11" s="11"/>
      <c r="F11" s="11"/>
      <c r="G11" s="12" t="s">
        <v>107</v>
      </c>
      <c r="H11" s="13" t="s">
        <v>127</v>
      </c>
      <c r="J11" s="20" t="s">
        <v>118</v>
      </c>
      <c r="P11" s="269" t="s">
        <v>128</v>
      </c>
      <c r="Q11" s="270"/>
      <c r="R11" s="271"/>
    </row>
    <row r="12" spans="2:18" ht="15" x14ac:dyDescent="0.25">
      <c r="B12" s="17" t="s">
        <v>129</v>
      </c>
      <c r="C12" s="10">
        <f>VLOOKUP($C$4,partData!$A$3:$U$11,21,FALSE)</f>
        <v>0.95</v>
      </c>
      <c r="D12" s="11"/>
      <c r="E12" s="11"/>
      <c r="F12" s="11"/>
      <c r="G12" s="12" t="s">
        <v>107</v>
      </c>
      <c r="H12" s="13" t="s">
        <v>130</v>
      </c>
      <c r="J12" s="21" t="s">
        <v>122</v>
      </c>
      <c r="P12" s="23" t="s">
        <v>10</v>
      </c>
      <c r="Q12" s="24" t="str">
        <f>D31</f>
        <v>GND</v>
      </c>
      <c r="R12" s="25" t="s">
        <v>131</v>
      </c>
    </row>
    <row r="13" spans="2:18" ht="15" x14ac:dyDescent="0.25">
      <c r="B13" s="17" t="s">
        <v>132</v>
      </c>
      <c r="C13" s="10" t="str">
        <f>VLOOKUP($C$4,partData!$A$3:$N$11,11,FALSE)</f>
        <v>Hiccup</v>
      </c>
      <c r="D13" s="11"/>
      <c r="E13" s="11"/>
      <c r="F13" s="11"/>
      <c r="G13" s="12"/>
      <c r="H13" s="13" t="s">
        <v>133</v>
      </c>
      <c r="J13" s="22" t="s">
        <v>125</v>
      </c>
      <c r="P13" s="17" t="s">
        <v>134</v>
      </c>
      <c r="Q13" s="26">
        <f>Lout</f>
        <v>0.7</v>
      </c>
      <c r="R13" s="13" t="s">
        <v>135</v>
      </c>
    </row>
    <row r="14" spans="2:18" x14ac:dyDescent="0.25">
      <c r="B14" s="17" t="s">
        <v>136</v>
      </c>
      <c r="C14" s="10" t="str">
        <f>VLOOKUP($C$4,partData!$A$3:$N$11,12,FALSE)</f>
        <v>Latch Off</v>
      </c>
      <c r="D14" s="11"/>
      <c r="E14" s="11"/>
      <c r="F14" s="11"/>
      <c r="G14" s="12"/>
      <c r="H14" s="13" t="s">
        <v>137</v>
      </c>
      <c r="P14" s="17" t="s">
        <v>21</v>
      </c>
      <c r="Q14" s="26">
        <f>Cout</f>
        <v>536</v>
      </c>
      <c r="R14" s="13" t="s">
        <v>138</v>
      </c>
    </row>
    <row r="15" spans="2:18" x14ac:dyDescent="0.25">
      <c r="B15" s="17" t="s">
        <v>139</v>
      </c>
      <c r="C15" s="10">
        <f>VLOOKUP($C$4,partData!$A$3:$N$11,8,FALSE)</f>
        <v>34</v>
      </c>
      <c r="D15" s="11"/>
      <c r="E15" s="11"/>
      <c r="F15" s="11"/>
      <c r="G15" s="12" t="s">
        <v>120</v>
      </c>
      <c r="H15" s="13" t="s">
        <v>140</v>
      </c>
      <c r="P15" s="17" t="s">
        <v>141</v>
      </c>
      <c r="Q15" s="26">
        <f>Rtrip</f>
        <v>162.61000000000001</v>
      </c>
      <c r="R15" s="13" t="s">
        <v>131</v>
      </c>
    </row>
    <row r="16" spans="2:18" hidden="1" x14ac:dyDescent="0.25">
      <c r="B16" s="17" t="s">
        <v>142</v>
      </c>
      <c r="C16" s="10">
        <f>VLOOKUP($C$4,partData!$A$3:$R$11,18,FALSE)</f>
        <v>0</v>
      </c>
      <c r="D16" s="11"/>
      <c r="E16" s="11"/>
      <c r="F16" s="11"/>
      <c r="G16" s="12"/>
      <c r="H16" s="13" t="s">
        <v>143</v>
      </c>
      <c r="P16" s="17" t="s">
        <v>144</v>
      </c>
      <c r="Q16" s="26">
        <f>Cin</f>
        <v>100</v>
      </c>
      <c r="R16" s="13" t="s">
        <v>138</v>
      </c>
    </row>
    <row r="17" spans="2:18" x14ac:dyDescent="0.25">
      <c r="B17" s="17" t="s">
        <v>145</v>
      </c>
      <c r="C17" s="10">
        <f>VLOOKUP($C$4,partData!$A$3:$P$11,9,FALSE)</f>
        <v>35</v>
      </c>
      <c r="D17" s="11"/>
      <c r="E17" s="11"/>
      <c r="F17" s="11"/>
      <c r="G17" s="12" t="s">
        <v>146</v>
      </c>
      <c r="H17" s="13" t="s">
        <v>147</v>
      </c>
      <c r="P17" s="17" t="s">
        <v>148</v>
      </c>
      <c r="Q17" s="26">
        <f>Rfb_b</f>
        <v>10.25</v>
      </c>
      <c r="R17" s="13" t="s">
        <v>131</v>
      </c>
    </row>
    <row r="18" spans="2:18" x14ac:dyDescent="0.25">
      <c r="B18" s="17" t="s">
        <v>149</v>
      </c>
      <c r="C18" s="10">
        <f>VLOOKUP($C$4,partData!$A$3:$P$11,15,FALSE)</f>
        <v>260</v>
      </c>
      <c r="D18" s="11"/>
      <c r="E18" s="11"/>
      <c r="F18" s="11"/>
      <c r="G18" s="12" t="s">
        <v>146</v>
      </c>
      <c r="H18" s="13" t="s">
        <v>150</v>
      </c>
      <c r="P18" s="17" t="s">
        <v>151</v>
      </c>
      <c r="Q18" s="26">
        <f>Rfb_t</f>
        <v>5.8780000000000001</v>
      </c>
      <c r="R18" s="13" t="s">
        <v>131</v>
      </c>
    </row>
    <row r="19" spans="2:18" x14ac:dyDescent="0.25">
      <c r="B19" s="17" t="s">
        <v>152</v>
      </c>
      <c r="C19" s="10">
        <f>VLOOKUP($C$4,partData!$A$3:$Q$11,16,FALSE)</f>
        <v>5.5</v>
      </c>
      <c r="D19" s="11"/>
      <c r="E19" s="11"/>
      <c r="F19" s="11"/>
      <c r="G19" s="12" t="s">
        <v>153</v>
      </c>
      <c r="H19" s="13" t="s">
        <v>154</v>
      </c>
      <c r="P19" s="17" t="s">
        <v>155</v>
      </c>
      <c r="Q19" s="26" t="e">
        <f>Cff</f>
        <v>#REF!</v>
      </c>
      <c r="R19" s="13" t="s">
        <v>156</v>
      </c>
    </row>
    <row r="20" spans="2:18" ht="15" thickBot="1" x14ac:dyDescent="0.3">
      <c r="B20" s="17" t="s">
        <v>157</v>
      </c>
      <c r="C20" s="10">
        <f>VLOOKUP($C$4,partData!$A$3:$Q$11,17,FALSE)</f>
        <v>2.2000000000000002</v>
      </c>
      <c r="D20" s="11"/>
      <c r="E20" s="11"/>
      <c r="F20" s="11"/>
      <c r="G20" s="12" t="s">
        <v>153</v>
      </c>
      <c r="H20" s="13" t="s">
        <v>158</v>
      </c>
      <c r="P20" s="17" t="s">
        <v>159</v>
      </c>
      <c r="Q20" s="26" t="e">
        <f>Css</f>
        <v>#REF!</v>
      </c>
      <c r="R20" s="13" t="s">
        <v>160</v>
      </c>
    </row>
    <row r="21" spans="2:18" ht="16.5" thickBot="1" x14ac:dyDescent="0.3">
      <c r="B21" s="266" t="s">
        <v>161</v>
      </c>
      <c r="C21" s="267"/>
      <c r="D21" s="267"/>
      <c r="E21" s="267"/>
      <c r="F21" s="267"/>
      <c r="G21" s="267"/>
      <c r="H21" s="268"/>
      <c r="P21" s="17" t="s">
        <v>162</v>
      </c>
      <c r="Q21" s="26">
        <f>Ren_t</f>
        <v>100</v>
      </c>
      <c r="R21" s="13" t="s">
        <v>131</v>
      </c>
    </row>
    <row r="22" spans="2:18" x14ac:dyDescent="0.25">
      <c r="B22" s="17" t="s">
        <v>163</v>
      </c>
      <c r="C22" s="27">
        <v>10.8</v>
      </c>
      <c r="D22" s="11"/>
      <c r="E22" s="11"/>
      <c r="F22" s="11"/>
      <c r="G22" s="12" t="s">
        <v>107</v>
      </c>
      <c r="H22" s="13" t="s">
        <v>164</v>
      </c>
      <c r="P22" s="17" t="s">
        <v>165</v>
      </c>
      <c r="Q22" s="26">
        <f>Ren_b</f>
        <v>100</v>
      </c>
      <c r="R22" s="13" t="s">
        <v>131</v>
      </c>
    </row>
    <row r="23" spans="2:18" x14ac:dyDescent="0.25">
      <c r="B23" s="17" t="s">
        <v>166</v>
      </c>
      <c r="C23" s="27">
        <v>12</v>
      </c>
      <c r="D23" s="11"/>
      <c r="E23" s="11"/>
      <c r="F23" s="11"/>
      <c r="G23" s="12" t="s">
        <v>107</v>
      </c>
      <c r="H23" s="13" t="s">
        <v>167</v>
      </c>
      <c r="P23" s="17" t="s">
        <v>168</v>
      </c>
      <c r="Q23" s="26">
        <f>MAX(1,Cvcc)</f>
        <v>4.7</v>
      </c>
      <c r="R23" s="13" t="s">
        <v>138</v>
      </c>
    </row>
    <row r="24" spans="2:18" x14ac:dyDescent="0.25">
      <c r="B24" s="17" t="s">
        <v>169</v>
      </c>
      <c r="C24" s="27">
        <v>13</v>
      </c>
      <c r="D24" s="11"/>
      <c r="E24" s="11"/>
      <c r="F24" s="11"/>
      <c r="G24" s="12" t="s">
        <v>107</v>
      </c>
      <c r="H24" s="13" t="s">
        <v>170</v>
      </c>
      <c r="P24" s="17" t="s">
        <v>171</v>
      </c>
      <c r="Q24" s="26">
        <f>MAX(0.1,Cboot)</f>
        <v>0.22</v>
      </c>
      <c r="R24" s="13" t="s">
        <v>138</v>
      </c>
    </row>
    <row r="25" spans="2:18" ht="15" thickBot="1" x14ac:dyDescent="0.3">
      <c r="B25" s="17" t="s">
        <v>172</v>
      </c>
      <c r="C25" s="27">
        <v>0.92</v>
      </c>
      <c r="D25" s="11"/>
      <c r="E25" s="11"/>
      <c r="F25" s="11"/>
      <c r="G25" s="12" t="s">
        <v>107</v>
      </c>
      <c r="H25" s="13" t="s">
        <v>173</v>
      </c>
      <c r="P25" s="28" t="s">
        <v>174</v>
      </c>
      <c r="Q25" s="29">
        <f>Rpg</f>
        <v>10</v>
      </c>
      <c r="R25" s="30" t="s">
        <v>131</v>
      </c>
    </row>
    <row r="26" spans="2:18" ht="15" thickBot="1" x14ac:dyDescent="0.3">
      <c r="B26" s="17" t="s">
        <v>175</v>
      </c>
      <c r="C26" s="27">
        <v>15</v>
      </c>
      <c r="D26" s="11"/>
      <c r="E26" s="11"/>
      <c r="F26" s="11"/>
      <c r="G26" s="12" t="s">
        <v>120</v>
      </c>
      <c r="H26" s="13" t="s">
        <v>176</v>
      </c>
    </row>
    <row r="27" spans="2:18" ht="16.5" customHeight="1" thickBot="1" x14ac:dyDescent="0.3">
      <c r="B27" s="266" t="s">
        <v>177</v>
      </c>
      <c r="C27" s="267"/>
      <c r="D27" s="267"/>
      <c r="E27" s="267"/>
      <c r="F27" s="267"/>
      <c r="G27" s="267"/>
      <c r="H27" s="268"/>
    </row>
    <row r="28" spans="2:18" ht="15" x14ac:dyDescent="0.25">
      <c r="B28" s="31" t="s">
        <v>178</v>
      </c>
      <c r="C28" s="167"/>
      <c r="D28" s="167"/>
      <c r="E28" s="27">
        <v>0.7</v>
      </c>
      <c r="F28" s="32"/>
      <c r="G28" s="33" t="s">
        <v>394</v>
      </c>
      <c r="H28" s="34" t="s">
        <v>179</v>
      </c>
      <c r="I28" s="35"/>
      <c r="J28" s="35"/>
      <c r="K28" s="35"/>
      <c r="L28" s="35"/>
    </row>
    <row r="29" spans="2:18" ht="15" x14ac:dyDescent="0.25">
      <c r="B29" s="36" t="s">
        <v>180</v>
      </c>
      <c r="C29" s="168"/>
      <c r="D29" s="168"/>
      <c r="E29" s="27" t="s">
        <v>181</v>
      </c>
      <c r="F29" s="11"/>
      <c r="G29" s="12"/>
      <c r="H29" s="34" t="s">
        <v>182</v>
      </c>
    </row>
    <row r="30" spans="2:18" ht="15" x14ac:dyDescent="0.25">
      <c r="B30" s="36" t="s">
        <v>183</v>
      </c>
      <c r="C30" s="168"/>
      <c r="D30" s="37">
        <f>VLOOKUP(CONCATENATE(E28,E29),partData!M16:Q24,4,0)</f>
        <v>39</v>
      </c>
      <c r="E30" s="11"/>
      <c r="F30" s="11"/>
      <c r="G30" s="12" t="s">
        <v>131</v>
      </c>
      <c r="H30" s="34" t="s">
        <v>184</v>
      </c>
      <c r="I30" s="38"/>
      <c r="J30" s="35"/>
      <c r="K30" s="35"/>
      <c r="L30" s="35"/>
    </row>
    <row r="31" spans="2:18" s="42" customFormat="1" ht="15.75" thickBot="1" x14ac:dyDescent="0.3">
      <c r="B31" s="39" t="s">
        <v>185</v>
      </c>
      <c r="C31" s="169"/>
      <c r="D31" s="37" t="str">
        <f>VLOOKUP(CONCATENATE($E$28,$E$29),partData!M16:Q24,5,0)</f>
        <v>GND</v>
      </c>
      <c r="E31" s="40"/>
      <c r="F31" s="40"/>
      <c r="G31" s="41"/>
      <c r="H31" s="30" t="s">
        <v>186</v>
      </c>
      <c r="J31" s="35"/>
      <c r="K31" s="35"/>
      <c r="L31" s="35"/>
      <c r="M31" s="35"/>
    </row>
    <row r="32" spans="2:18" ht="16.5" customHeight="1" thickBot="1" x14ac:dyDescent="0.3">
      <c r="B32" s="262" t="s">
        <v>187</v>
      </c>
      <c r="C32" s="263"/>
      <c r="D32" s="263"/>
      <c r="E32" s="263"/>
      <c r="F32" s="263"/>
      <c r="G32" s="263"/>
      <c r="H32" s="264"/>
    </row>
    <row r="33" spans="2:23" x14ac:dyDescent="0.25">
      <c r="B33" s="4" t="s">
        <v>188</v>
      </c>
      <c r="C33" s="43"/>
      <c r="D33" s="223">
        <f>Vout/Vin_max*1/(ton_min_max*0.000000001)*0.001</f>
        <v>2021.9780219780221</v>
      </c>
      <c r="E33" s="43"/>
      <c r="F33" s="43"/>
      <c r="G33" s="44" t="s">
        <v>189</v>
      </c>
      <c r="H33" s="7" t="s">
        <v>190</v>
      </c>
      <c r="I33" s="45"/>
      <c r="J33" s="35"/>
      <c r="K33" s="35"/>
      <c r="L33" s="35"/>
    </row>
    <row r="34" spans="2:23" ht="28.5" x14ac:dyDescent="0.25">
      <c r="B34" s="46" t="s">
        <v>191</v>
      </c>
      <c r="C34" s="11"/>
      <c r="D34" s="224">
        <f>(Vin_min-Vout-Iout*2*(DCR_Ohm+Rdson_HS_Ohm))/(toff_min_max_sec*(Vin_min-Iout*2*(Rdson_HS_Ohm-Rdson_LS_Ohm)))*10^-3</f>
        <v>3472.3570047371563</v>
      </c>
      <c r="E34" s="11"/>
      <c r="F34" s="11"/>
      <c r="G34" s="47" t="s">
        <v>189</v>
      </c>
      <c r="H34" s="48" t="s">
        <v>192</v>
      </c>
      <c r="I34" s="35"/>
      <c r="J34" s="35"/>
      <c r="K34" s="35"/>
      <c r="L34" s="35"/>
    </row>
    <row r="35" spans="2:23" x14ac:dyDescent="0.25">
      <c r="B35" s="17" t="s">
        <v>193</v>
      </c>
      <c r="C35" s="27">
        <v>850</v>
      </c>
      <c r="D35" s="11"/>
      <c r="E35" s="11"/>
      <c r="F35" s="11"/>
      <c r="G35" s="12" t="s">
        <v>189</v>
      </c>
      <c r="H35" s="13" t="s">
        <v>194</v>
      </c>
    </row>
    <row r="36" spans="2:23" s="42" customFormat="1" x14ac:dyDescent="0.25">
      <c r="B36" s="17" t="s">
        <v>195</v>
      </c>
      <c r="C36" s="49"/>
      <c r="D36" s="50">
        <f>VLOOKUP(C35,partData!H16:J24,2,0)</f>
        <v>124</v>
      </c>
      <c r="E36" s="11"/>
      <c r="F36" s="11"/>
      <c r="G36" s="12" t="s">
        <v>131</v>
      </c>
      <c r="H36" s="13" t="s">
        <v>186</v>
      </c>
      <c r="J36" s="35"/>
      <c r="K36" s="35"/>
      <c r="L36" s="35"/>
      <c r="M36" s="35"/>
    </row>
    <row r="37" spans="2:23" s="42" customFormat="1" ht="15" thickBot="1" x14ac:dyDescent="0.3">
      <c r="B37" s="36" t="s">
        <v>196</v>
      </c>
      <c r="C37" s="51"/>
      <c r="D37" s="52" t="str">
        <f>VLOOKUP(C35,partData!H16:J24,3,0)</f>
        <v>VREG</v>
      </c>
      <c r="E37" s="53"/>
      <c r="F37" s="51"/>
      <c r="G37" s="53"/>
      <c r="H37" s="252" t="s">
        <v>460</v>
      </c>
      <c r="J37" s="35"/>
      <c r="K37" s="35"/>
      <c r="L37" s="35"/>
      <c r="M37" s="35"/>
    </row>
    <row r="38" spans="2:23" ht="15.75" x14ac:dyDescent="0.25">
      <c r="B38" s="259" t="s">
        <v>197</v>
      </c>
      <c r="C38" s="260"/>
      <c r="D38" s="260"/>
      <c r="E38" s="260"/>
      <c r="F38" s="260"/>
      <c r="G38" s="260"/>
      <c r="H38" s="261"/>
      <c r="J38" s="38"/>
      <c r="K38" s="16"/>
      <c r="L38" s="16"/>
      <c r="M38" s="38"/>
    </row>
    <row r="39" spans="2:23" ht="15" thickBot="1" x14ac:dyDescent="0.3">
      <c r="B39" s="256" t="s">
        <v>198</v>
      </c>
      <c r="C39" s="257"/>
      <c r="D39" s="257"/>
      <c r="E39" s="257"/>
      <c r="F39" s="257"/>
      <c r="G39" s="257"/>
      <c r="H39" s="258"/>
      <c r="S39" s="16"/>
      <c r="T39" s="16"/>
      <c r="U39" s="16"/>
      <c r="V39" s="16"/>
      <c r="W39" s="16"/>
    </row>
    <row r="40" spans="2:23" x14ac:dyDescent="0.25">
      <c r="B40" s="54" t="s">
        <v>199</v>
      </c>
      <c r="C40" s="5">
        <v>0.4</v>
      </c>
      <c r="D40" s="11"/>
      <c r="E40" s="11"/>
      <c r="F40" s="11"/>
      <c r="G40" s="44"/>
      <c r="H40" s="7" t="s">
        <v>200</v>
      </c>
      <c r="I40" s="16"/>
      <c r="S40" s="16"/>
      <c r="T40" s="16"/>
      <c r="U40" s="16"/>
    </row>
    <row r="41" spans="2:23" x14ac:dyDescent="0.25">
      <c r="B41" s="54" t="s">
        <v>201</v>
      </c>
      <c r="C41" s="11"/>
      <c r="D41" s="37">
        <f>(1/(Kind*Iout*(fsw_select/1000))*(((Vin_max-Vout)*Vout)/Vin_max))</f>
        <v>0.16762594268476624</v>
      </c>
      <c r="E41" s="11"/>
      <c r="F41" s="11"/>
      <c r="G41" s="12" t="s">
        <v>135</v>
      </c>
      <c r="H41" s="13" t="s">
        <v>202</v>
      </c>
      <c r="P41" s="16"/>
      <c r="Q41" s="16"/>
      <c r="R41" s="16"/>
      <c r="S41" s="16"/>
      <c r="T41" s="16"/>
      <c r="U41" s="16"/>
      <c r="V41" s="16"/>
      <c r="W41" s="16"/>
    </row>
    <row r="42" spans="2:23" ht="14.25" customHeight="1" x14ac:dyDescent="0.25">
      <c r="B42" s="54" t="s">
        <v>203</v>
      </c>
      <c r="C42" s="11"/>
      <c r="D42" s="37">
        <f>((Vin_max-Vout)*Vout)/(Io_max_IC*0.5*Vin_max*fsw_select)*1000</f>
        <v>6.7050377073906486E-2</v>
      </c>
      <c r="E42" s="11"/>
      <c r="F42" s="11"/>
      <c r="G42" s="12" t="s">
        <v>135</v>
      </c>
      <c r="H42" s="13" t="s">
        <v>204</v>
      </c>
      <c r="P42" s="16"/>
      <c r="Q42" s="55"/>
      <c r="R42" s="55"/>
      <c r="S42" s="16"/>
      <c r="T42" s="16"/>
      <c r="U42" s="16"/>
      <c r="V42" s="16"/>
      <c r="W42" s="16"/>
    </row>
    <row r="43" spans="2:23" ht="18" x14ac:dyDescent="0.25">
      <c r="B43" s="54" t="s">
        <v>205</v>
      </c>
      <c r="C43" s="11"/>
      <c r="D43" s="37">
        <f>((Vin_max-Vout)*Vout)/(Io_max_IC*0.1*Vin_max*fsw_select)*1000</f>
        <v>0.33525188536953243</v>
      </c>
      <c r="E43" s="11"/>
      <c r="F43" s="11"/>
      <c r="G43" s="12" t="s">
        <v>135</v>
      </c>
      <c r="H43" s="13" t="s">
        <v>206</v>
      </c>
      <c r="I43" s="56"/>
      <c r="M43" s="16"/>
      <c r="N43" s="16"/>
      <c r="O43" s="55"/>
      <c r="P43" s="16"/>
      <c r="Q43" s="16"/>
      <c r="R43" s="16"/>
      <c r="S43" s="16"/>
      <c r="T43" s="16"/>
      <c r="U43" s="16"/>
      <c r="V43" s="16"/>
      <c r="W43" s="16"/>
    </row>
    <row r="44" spans="2:23" ht="18" x14ac:dyDescent="0.25">
      <c r="B44" s="54" t="s">
        <v>134</v>
      </c>
      <c r="C44" s="11"/>
      <c r="D44" s="11"/>
      <c r="E44" s="27">
        <v>0.7</v>
      </c>
      <c r="F44" s="11"/>
      <c r="G44" s="12" t="s">
        <v>135</v>
      </c>
      <c r="H44" s="13" t="s">
        <v>207</v>
      </c>
      <c r="I44" s="56"/>
      <c r="P44" s="16"/>
      <c r="Q44" s="16"/>
      <c r="R44" s="16"/>
      <c r="S44" s="16"/>
      <c r="T44" s="16"/>
      <c r="U44" s="16"/>
      <c r="V44" s="16"/>
      <c r="W44" s="16"/>
    </row>
    <row r="45" spans="2:23" ht="18" x14ac:dyDescent="0.25">
      <c r="B45" s="54" t="s">
        <v>208</v>
      </c>
      <c r="C45" s="11"/>
      <c r="D45" s="11"/>
      <c r="E45" s="27">
        <v>1.8</v>
      </c>
      <c r="F45" s="11"/>
      <c r="G45" s="12" t="s">
        <v>153</v>
      </c>
      <c r="H45" s="13" t="s">
        <v>209</v>
      </c>
      <c r="I45" s="56"/>
      <c r="P45" s="16"/>
      <c r="Q45" s="16"/>
      <c r="R45" s="16"/>
      <c r="S45" s="16"/>
      <c r="T45" s="16"/>
      <c r="U45" s="16"/>
      <c r="V45" s="16"/>
      <c r="W45" s="16"/>
    </row>
    <row r="46" spans="2:23" ht="18" x14ac:dyDescent="0.25">
      <c r="B46" s="54" t="s">
        <v>210</v>
      </c>
      <c r="C46" s="11"/>
      <c r="D46" s="11"/>
      <c r="E46" s="57">
        <v>0.2</v>
      </c>
      <c r="F46" s="11"/>
      <c r="G46" s="12"/>
      <c r="H46" s="13" t="s">
        <v>211</v>
      </c>
      <c r="I46" s="56"/>
      <c r="M46" s="16"/>
      <c r="N46" s="16"/>
      <c r="O46" s="55"/>
      <c r="P46" s="16"/>
      <c r="Q46" s="16"/>
      <c r="R46" s="16"/>
      <c r="S46" s="16"/>
      <c r="T46" s="16"/>
      <c r="U46" s="16"/>
      <c r="V46" s="16"/>
      <c r="W46" s="16"/>
    </row>
    <row r="47" spans="2:23" ht="18" x14ac:dyDescent="0.25">
      <c r="B47" s="58" t="s">
        <v>212</v>
      </c>
      <c r="C47" s="11"/>
      <c r="D47" s="11"/>
      <c r="E47" s="11"/>
      <c r="F47" s="59">
        <f>1000*((Vin_max-Vout)*Vout)/(Lout*(1-Tol_L)*Vin_max*fsw_select)</f>
        <v>1.7959922430510669</v>
      </c>
      <c r="G47" s="12" t="s">
        <v>120</v>
      </c>
      <c r="H47" s="13" t="s">
        <v>213</v>
      </c>
      <c r="I47" s="56"/>
      <c r="M47" s="16"/>
      <c r="N47" s="16"/>
      <c r="O47" s="55"/>
      <c r="P47" s="16"/>
      <c r="Q47" s="16"/>
      <c r="R47" s="16"/>
      <c r="S47" s="16"/>
      <c r="T47" s="16"/>
      <c r="U47" s="16"/>
      <c r="V47" s="16"/>
      <c r="W47" s="16"/>
    </row>
    <row r="48" spans="2:23" ht="18" x14ac:dyDescent="0.25">
      <c r="B48" s="58" t="s">
        <v>214</v>
      </c>
      <c r="C48" s="11"/>
      <c r="D48" s="11"/>
      <c r="E48" s="11"/>
      <c r="F48" s="59">
        <f>Iout+(Iripple_max/2)</f>
        <v>15.897996121525534</v>
      </c>
      <c r="G48" s="12" t="s">
        <v>120</v>
      </c>
      <c r="H48" s="13" t="s">
        <v>215</v>
      </c>
      <c r="I48" s="56"/>
      <c r="M48" s="16"/>
      <c r="N48" s="16"/>
      <c r="O48" s="55"/>
      <c r="P48" s="16"/>
      <c r="Q48" s="16"/>
      <c r="R48" s="16"/>
      <c r="S48" s="16"/>
      <c r="T48" s="16"/>
      <c r="U48" s="16"/>
      <c r="V48" s="16"/>
      <c r="W48" s="16"/>
    </row>
    <row r="49" spans="2:23" ht="18" x14ac:dyDescent="0.25">
      <c r="B49" s="58" t="s">
        <v>216</v>
      </c>
      <c r="C49" s="11"/>
      <c r="D49" s="11"/>
      <c r="E49" s="11"/>
      <c r="F49" s="59">
        <f>SQRT(Iout^2+Iripple_max^2)</f>
        <v>15.107136993391554</v>
      </c>
      <c r="G49" s="12" t="s">
        <v>120</v>
      </c>
      <c r="H49" s="13" t="s">
        <v>217</v>
      </c>
      <c r="I49" s="56"/>
      <c r="O49" s="60"/>
      <c r="P49" s="16"/>
      <c r="Q49" s="16"/>
      <c r="R49" s="16"/>
      <c r="S49" s="35"/>
      <c r="T49" s="35"/>
      <c r="U49" s="35"/>
      <c r="V49" s="16"/>
      <c r="W49" s="16"/>
    </row>
    <row r="50" spans="2:23" ht="18" x14ac:dyDescent="0.25">
      <c r="B50" s="61" t="s">
        <v>218</v>
      </c>
      <c r="C50" s="11"/>
      <c r="D50" s="11"/>
      <c r="E50" s="11"/>
      <c r="F50" s="59">
        <f>1000*((Vin_min-Vout)*Vout)/(Lout*(1+Tol_L)*Vin_min*fsw_select)</f>
        <v>1.1787529826745513</v>
      </c>
      <c r="G50" s="47" t="s">
        <v>120</v>
      </c>
      <c r="H50" s="48" t="s">
        <v>219</v>
      </c>
      <c r="I50" s="56"/>
      <c r="O50" s="60"/>
      <c r="P50" s="16"/>
      <c r="Q50" s="16"/>
      <c r="R50" s="16"/>
      <c r="S50" s="35"/>
      <c r="T50" s="35"/>
      <c r="U50" s="35"/>
      <c r="V50" s="16"/>
      <c r="W50" s="16"/>
    </row>
    <row r="51" spans="2:23" ht="18.75" thickBot="1" x14ac:dyDescent="0.3">
      <c r="B51" s="61" t="s">
        <v>220</v>
      </c>
      <c r="C51" s="11"/>
      <c r="D51" s="11"/>
      <c r="E51" s="11"/>
      <c r="F51" s="62">
        <f>Iout-(Iripple_min/2)</f>
        <v>14.410623508662724</v>
      </c>
      <c r="G51" s="47" t="s">
        <v>120</v>
      </c>
      <c r="H51" s="48" t="s">
        <v>221</v>
      </c>
      <c r="I51" s="56"/>
      <c r="O51" s="60"/>
      <c r="P51" s="35"/>
      <c r="Q51" s="35"/>
      <c r="R51" s="35"/>
      <c r="S51" s="35"/>
      <c r="T51" s="35"/>
      <c r="U51" s="35"/>
      <c r="V51" s="16"/>
      <c r="W51" s="16"/>
    </row>
    <row r="52" spans="2:23" ht="18.75" thickBot="1" x14ac:dyDescent="0.3">
      <c r="B52" s="253" t="s">
        <v>222</v>
      </c>
      <c r="C52" s="254"/>
      <c r="D52" s="254"/>
      <c r="E52" s="254"/>
      <c r="F52" s="254"/>
      <c r="G52" s="254"/>
      <c r="H52" s="255"/>
      <c r="I52" s="56"/>
      <c r="O52" s="60"/>
      <c r="P52" s="35"/>
      <c r="Q52" s="35"/>
      <c r="R52" s="35"/>
      <c r="S52" s="16"/>
      <c r="T52" s="16"/>
      <c r="U52" s="16"/>
      <c r="V52" s="16"/>
      <c r="W52" s="16"/>
    </row>
    <row r="53" spans="2:23" ht="28.5" x14ac:dyDescent="0.25">
      <c r="B53" s="54" t="s">
        <v>223</v>
      </c>
      <c r="C53" s="11"/>
      <c r="D53" s="225">
        <f>MIN(Ivalley*1/0.85,OC_clamp)</f>
        <v>16.953674716073792</v>
      </c>
      <c r="E53" s="11"/>
      <c r="F53" s="11"/>
      <c r="G53" s="44" t="s">
        <v>120</v>
      </c>
      <c r="H53" s="7" t="s">
        <v>224</v>
      </c>
      <c r="I53" s="56"/>
      <c r="J53" s="56"/>
      <c r="P53" s="35"/>
      <c r="Q53" s="35"/>
      <c r="R53" s="35"/>
      <c r="S53" s="16"/>
      <c r="T53" s="16"/>
      <c r="U53" s="16"/>
    </row>
    <row r="54" spans="2:23" ht="18" x14ac:dyDescent="0.25">
      <c r="B54" s="54" t="s">
        <v>225</v>
      </c>
      <c r="C54" s="63">
        <v>32.01</v>
      </c>
      <c r="D54" s="11"/>
      <c r="E54" s="11"/>
      <c r="F54" s="11"/>
      <c r="G54" s="44" t="s">
        <v>120</v>
      </c>
      <c r="H54" s="7" t="s">
        <v>226</v>
      </c>
      <c r="I54" s="56"/>
      <c r="O54" s="35"/>
      <c r="P54" s="35"/>
      <c r="Q54" s="35"/>
      <c r="R54" s="35"/>
      <c r="S54" s="16"/>
      <c r="T54" s="16"/>
      <c r="U54" s="16"/>
    </row>
    <row r="55" spans="2:23" s="3" customFormat="1" ht="15" x14ac:dyDescent="0.25">
      <c r="B55" s="58" t="s">
        <v>227</v>
      </c>
      <c r="C55" s="11"/>
      <c r="D55" s="64">
        <f>(I_lim_target-Iripple_max)*32*Rdson_LS/10</f>
        <v>212.70661460892046</v>
      </c>
      <c r="E55" s="11"/>
      <c r="F55" s="11"/>
      <c r="G55" s="12" t="s">
        <v>131</v>
      </c>
      <c r="H55" s="13" t="s">
        <v>228</v>
      </c>
      <c r="P55" s="16"/>
      <c r="Q55" s="55"/>
      <c r="R55" s="55"/>
      <c r="S55" s="9"/>
      <c r="T55" s="9"/>
      <c r="U55" s="9"/>
    </row>
    <row r="56" spans="2:23" x14ac:dyDescent="0.25">
      <c r="B56" s="58" t="s">
        <v>141</v>
      </c>
      <c r="C56" s="11"/>
      <c r="D56" s="11"/>
      <c r="E56" s="63">
        <v>162.61000000000001</v>
      </c>
      <c r="F56" s="11"/>
      <c r="G56" s="12" t="s">
        <v>131</v>
      </c>
      <c r="H56" s="13" t="s">
        <v>229</v>
      </c>
      <c r="O56" s="35"/>
      <c r="P56" s="16"/>
      <c r="Q56" s="16"/>
      <c r="R56" s="16"/>
      <c r="S56" s="16"/>
      <c r="T56" s="16"/>
      <c r="U56" s="16"/>
      <c r="V56" s="16"/>
      <c r="W56" s="16"/>
    </row>
    <row r="57" spans="2:23" ht="15" x14ac:dyDescent="0.25">
      <c r="B57" s="58" t="s">
        <v>230</v>
      </c>
      <c r="C57" s="11"/>
      <c r="D57" s="11"/>
      <c r="E57" s="11"/>
      <c r="F57" s="65">
        <f>Iripple_max+(Rtrip*10/(32*Rdson_LS))</f>
        <v>24.894003606687431</v>
      </c>
      <c r="G57" s="12" t="s">
        <v>120</v>
      </c>
      <c r="H57" s="13" t="s">
        <v>231</v>
      </c>
      <c r="O57" s="35"/>
      <c r="P57" s="9"/>
      <c r="Q57" s="66"/>
      <c r="R57" s="66"/>
      <c r="S57" s="16"/>
      <c r="T57" s="16"/>
      <c r="U57" s="16"/>
      <c r="V57" s="16"/>
      <c r="W57" s="16"/>
    </row>
    <row r="58" spans="2:23" x14ac:dyDescent="0.25">
      <c r="B58" s="61" t="s">
        <v>232</v>
      </c>
      <c r="C58" s="11"/>
      <c r="D58" s="11"/>
      <c r="E58" s="11"/>
      <c r="F58" s="67">
        <f>I_lim_typ*0.85+Iripple_min/2</f>
        <v>21.749279557021591</v>
      </c>
      <c r="G58" s="47" t="s">
        <v>120</v>
      </c>
      <c r="H58" s="48" t="s">
        <v>233</v>
      </c>
      <c r="O58" s="35"/>
      <c r="P58" s="16"/>
      <c r="Q58" s="16"/>
      <c r="R58" s="16"/>
      <c r="S58" s="16"/>
      <c r="T58" s="16"/>
      <c r="U58" s="16"/>
      <c r="V58" s="16"/>
      <c r="W58" s="16"/>
    </row>
    <row r="59" spans="2:23" x14ac:dyDescent="0.25">
      <c r="B59" s="61" t="s">
        <v>234</v>
      </c>
      <c r="C59" s="11"/>
      <c r="D59" s="11"/>
      <c r="E59" s="11"/>
      <c r="F59" s="67">
        <f>I_lim_typ+1/2*(Vin_nom-Vout)*Vout/(Lout_H*Vin_nom*fsw_Hz)</f>
        <v>25.607841141701435</v>
      </c>
      <c r="G59" s="47" t="s">
        <v>120</v>
      </c>
      <c r="H59" s="48" t="s">
        <v>235</v>
      </c>
      <c r="O59" s="35"/>
      <c r="P59" s="16"/>
      <c r="Q59" s="16"/>
      <c r="R59" s="16"/>
      <c r="S59" s="16"/>
      <c r="T59" s="16"/>
      <c r="U59" s="16"/>
      <c r="V59" s="16"/>
      <c r="W59" s="16"/>
    </row>
    <row r="60" spans="2:23" ht="15" thickBot="1" x14ac:dyDescent="0.3">
      <c r="B60" s="61" t="s">
        <v>236</v>
      </c>
      <c r="C60" s="11"/>
      <c r="D60" s="11"/>
      <c r="E60" s="11"/>
      <c r="F60" s="67">
        <f>I_lim_typ*1.15+Iripple_max/2</f>
        <v>29.526100269216077</v>
      </c>
      <c r="G60" s="47" t="s">
        <v>120</v>
      </c>
      <c r="H60" s="48" t="s">
        <v>237</v>
      </c>
      <c r="O60" s="35"/>
      <c r="P60" s="16"/>
      <c r="Q60" s="16"/>
      <c r="R60" s="16"/>
      <c r="S60" s="16"/>
      <c r="T60" s="16"/>
      <c r="U60" s="16"/>
      <c r="V60" s="16"/>
      <c r="W60" s="16"/>
    </row>
    <row r="61" spans="2:23" ht="15.75" x14ac:dyDescent="0.25">
      <c r="B61" s="259" t="s">
        <v>238</v>
      </c>
      <c r="C61" s="260"/>
      <c r="D61" s="260"/>
      <c r="E61" s="260"/>
      <c r="F61" s="260"/>
      <c r="G61" s="260"/>
      <c r="H61" s="261"/>
      <c r="O61" s="35"/>
      <c r="P61" s="16"/>
      <c r="Q61" s="16"/>
      <c r="R61" s="16"/>
      <c r="S61" s="16"/>
      <c r="T61" s="16"/>
      <c r="U61" s="16"/>
      <c r="V61" s="16"/>
      <c r="W61" s="16"/>
    </row>
    <row r="62" spans="2:23" ht="18.75" thickBot="1" x14ac:dyDescent="0.3">
      <c r="B62" s="256" t="s">
        <v>239</v>
      </c>
      <c r="C62" s="257"/>
      <c r="D62" s="257"/>
      <c r="E62" s="257"/>
      <c r="F62" s="257"/>
      <c r="G62" s="257"/>
      <c r="H62" s="258"/>
      <c r="I62" s="56"/>
      <c r="P62" s="16"/>
      <c r="Q62" s="16"/>
      <c r="R62" s="16"/>
      <c r="S62" s="16"/>
      <c r="T62" s="16"/>
      <c r="U62" s="16"/>
    </row>
    <row r="63" spans="2:23" x14ac:dyDescent="0.25">
      <c r="B63" s="58" t="s">
        <v>240</v>
      </c>
      <c r="C63" s="27">
        <f>C26/2</f>
        <v>7.5</v>
      </c>
      <c r="D63" s="11"/>
      <c r="E63" s="11"/>
      <c r="F63" s="11"/>
      <c r="G63" s="68" t="s">
        <v>120</v>
      </c>
      <c r="H63" s="69" t="s">
        <v>241</v>
      </c>
      <c r="I63" s="16"/>
      <c r="P63" s="16"/>
      <c r="Q63" s="16"/>
      <c r="R63" s="16"/>
      <c r="S63" s="16"/>
      <c r="T63" s="16"/>
      <c r="U63" s="16"/>
    </row>
    <row r="64" spans="2:23" x14ac:dyDescent="0.25">
      <c r="B64" s="58" t="s">
        <v>242</v>
      </c>
      <c r="C64" s="70">
        <f>C25*0.03</f>
        <v>2.76E-2</v>
      </c>
      <c r="D64" s="11"/>
      <c r="E64" s="11"/>
      <c r="F64" s="11"/>
      <c r="G64" s="68" t="s">
        <v>107</v>
      </c>
      <c r="H64" s="69" t="s">
        <v>243</v>
      </c>
      <c r="I64" s="35"/>
    </row>
    <row r="65" spans="2:21" ht="18" x14ac:dyDescent="0.25">
      <c r="B65" s="58" t="s">
        <v>244</v>
      </c>
      <c r="C65" s="71">
        <v>1.7999999999999999E-2</v>
      </c>
      <c r="D65" s="11"/>
      <c r="E65" s="11"/>
      <c r="F65" s="11"/>
      <c r="G65" s="68" t="s">
        <v>107</v>
      </c>
      <c r="H65" s="69" t="s">
        <v>245</v>
      </c>
      <c r="I65" s="35"/>
      <c r="J65" s="56"/>
    </row>
    <row r="66" spans="2:21" x14ac:dyDescent="0.25">
      <c r="B66" s="58" t="s">
        <v>246</v>
      </c>
      <c r="C66" s="11"/>
      <c r="D66" s="226">
        <f>Iripple_max/(8*dVo_dc*fsw_Hz)*10^6</f>
        <v>14.673139240613294</v>
      </c>
      <c r="E66" s="11"/>
      <c r="F66" s="11"/>
      <c r="G66" s="68" t="s">
        <v>138</v>
      </c>
      <c r="H66" s="69" t="s">
        <v>247</v>
      </c>
      <c r="I66" s="35"/>
      <c r="J66" s="35"/>
      <c r="K66" s="16"/>
      <c r="L66" s="16"/>
      <c r="M66" s="16"/>
      <c r="N66" s="16"/>
      <c r="O66" s="55"/>
    </row>
    <row r="67" spans="2:21" s="3" customFormat="1" ht="15" x14ac:dyDescent="0.25">
      <c r="B67" s="58" t="s">
        <v>248</v>
      </c>
      <c r="C67" s="11"/>
      <c r="D67" s="73">
        <f>((Lout*Io_step^2)*(Vout/(Vin_min*fsw_Hz)+toff_min_max_sec))/(2*dVo_trans*Vout*((Vin_min-Vout)/(Vin_min*fsw_Hz)-toff_min_max_sec))</f>
        <v>342.16396211834461</v>
      </c>
      <c r="E67" s="11"/>
      <c r="F67" s="11"/>
      <c r="G67" s="68" t="s">
        <v>138</v>
      </c>
      <c r="H67" s="69" t="s">
        <v>249</v>
      </c>
      <c r="P67" s="16"/>
      <c r="Q67" s="55"/>
      <c r="R67" s="55"/>
      <c r="S67" s="9"/>
      <c r="T67" s="9"/>
      <c r="U67" s="9"/>
    </row>
    <row r="68" spans="2:21" s="3" customFormat="1" ht="15" x14ac:dyDescent="0.25">
      <c r="B68" s="58" t="s">
        <v>250</v>
      </c>
      <c r="C68" s="11"/>
      <c r="D68" s="73">
        <f>Lout*Io_step^2/(2*Vout*dVo_trans)</f>
        <v>775.34262759924377</v>
      </c>
      <c r="E68" s="11"/>
      <c r="F68" s="11"/>
      <c r="G68" s="68" t="s">
        <v>138</v>
      </c>
      <c r="H68" s="69" t="s">
        <v>251</v>
      </c>
      <c r="P68" s="16"/>
      <c r="Q68" s="55"/>
      <c r="R68" s="55"/>
      <c r="S68" s="9"/>
      <c r="T68" s="9"/>
      <c r="U68" s="9"/>
    </row>
    <row r="69" spans="2:21" s="3" customFormat="1" ht="15" x14ac:dyDescent="0.25">
      <c r="B69" s="58" t="s">
        <v>252</v>
      </c>
      <c r="C69" s="11"/>
      <c r="D69" s="73">
        <f>(15/(PI()*fsw_Hz))^2*1/Lout_H*1000000</f>
        <v>45.076156835444394</v>
      </c>
      <c r="E69" s="11"/>
      <c r="F69" s="11"/>
      <c r="G69" s="68" t="s">
        <v>138</v>
      </c>
      <c r="H69" s="69" t="s">
        <v>253</v>
      </c>
      <c r="P69" s="9"/>
      <c r="Q69" s="66"/>
      <c r="R69" s="66"/>
      <c r="S69" s="9"/>
      <c r="T69" s="9"/>
      <c r="U69" s="9"/>
    </row>
    <row r="70" spans="2:21" s="3" customFormat="1" ht="15" x14ac:dyDescent="0.25">
      <c r="B70" s="58" t="s">
        <v>254</v>
      </c>
      <c r="C70" s="11"/>
      <c r="D70" s="73">
        <f>(MAX(D66:D69))</f>
        <v>775.34262759924377</v>
      </c>
      <c r="E70" s="11"/>
      <c r="F70" s="11"/>
      <c r="G70" s="68" t="s">
        <v>138</v>
      </c>
      <c r="H70" s="69" t="s">
        <v>255</v>
      </c>
      <c r="P70" s="9"/>
      <c r="Q70" s="66"/>
      <c r="R70" s="66"/>
      <c r="S70" s="9"/>
      <c r="T70" s="9"/>
      <c r="U70" s="9"/>
    </row>
    <row r="71" spans="2:21" s="3" customFormat="1" ht="15" x14ac:dyDescent="0.25">
      <c r="B71" s="58" t="s">
        <v>256</v>
      </c>
      <c r="C71" s="11"/>
      <c r="D71" s="73">
        <f>2500/(PI()^2*fsw_Hz^2*Lout_H)*1000000</f>
        <v>500.84618706049315</v>
      </c>
      <c r="E71" s="11"/>
      <c r="F71" s="11"/>
      <c r="G71" s="68" t="s">
        <v>138</v>
      </c>
      <c r="H71" s="69" t="s">
        <v>257</v>
      </c>
      <c r="P71" s="9"/>
      <c r="Q71" s="66"/>
      <c r="R71" s="66"/>
      <c r="S71" s="9"/>
      <c r="T71" s="9"/>
      <c r="U71" s="9"/>
    </row>
    <row r="72" spans="2:21" s="3" customFormat="1" ht="15" x14ac:dyDescent="0.25">
      <c r="B72" s="58" t="s">
        <v>258</v>
      </c>
      <c r="C72" s="11"/>
      <c r="D72" s="73">
        <f>dVo_trans/Io_step*1000</f>
        <v>3.68</v>
      </c>
      <c r="E72" s="11"/>
      <c r="F72" s="11"/>
      <c r="G72" s="68" t="s">
        <v>153</v>
      </c>
      <c r="H72" s="69" t="s">
        <v>259</v>
      </c>
      <c r="P72" s="9"/>
      <c r="Q72" s="66"/>
      <c r="R72" s="66"/>
      <c r="S72" s="9"/>
      <c r="T72" s="9"/>
      <c r="U72" s="9"/>
    </row>
    <row r="73" spans="2:21" ht="15" x14ac:dyDescent="0.25">
      <c r="B73" s="58" t="s">
        <v>260</v>
      </c>
      <c r="C73" s="11"/>
      <c r="D73" s="73">
        <f>dVo_dc/Iripple_max*1000</f>
        <v>10.022315001439676</v>
      </c>
      <c r="E73" s="11"/>
      <c r="F73" s="11"/>
      <c r="G73" s="68" t="s">
        <v>153</v>
      </c>
      <c r="H73" s="69" t="s">
        <v>261</v>
      </c>
      <c r="J73" s="74"/>
      <c r="L73" s="45"/>
      <c r="P73" s="9"/>
      <c r="Q73" s="66"/>
      <c r="R73" s="66"/>
      <c r="S73" s="16"/>
      <c r="T73" s="16"/>
      <c r="U73" s="16"/>
    </row>
    <row r="74" spans="2:21" ht="15" x14ac:dyDescent="0.25">
      <c r="B74" s="58" t="s">
        <v>262</v>
      </c>
      <c r="C74" s="11"/>
      <c r="D74" s="73">
        <f>MIN(D72:D73)</f>
        <v>3.68</v>
      </c>
      <c r="E74" s="11"/>
      <c r="F74" s="11"/>
      <c r="G74" s="68" t="s">
        <v>153</v>
      </c>
      <c r="H74" s="69" t="s">
        <v>461</v>
      </c>
      <c r="J74" s="74"/>
      <c r="L74" s="45"/>
      <c r="P74" s="9"/>
      <c r="Q74" s="66"/>
      <c r="R74" s="66"/>
      <c r="S74" s="16"/>
      <c r="T74" s="16"/>
      <c r="U74" s="16"/>
    </row>
    <row r="75" spans="2:21" x14ac:dyDescent="0.25">
      <c r="B75" s="58" t="s">
        <v>263</v>
      </c>
      <c r="C75" s="11"/>
      <c r="D75" s="11"/>
      <c r="E75" s="75">
        <v>536</v>
      </c>
      <c r="F75" s="11"/>
      <c r="G75" s="68" t="s">
        <v>138</v>
      </c>
      <c r="H75" s="69" t="s">
        <v>264</v>
      </c>
      <c r="J75" s="74"/>
      <c r="L75" s="45"/>
      <c r="P75" s="16"/>
      <c r="Q75" s="55"/>
      <c r="R75" s="55"/>
      <c r="S75" s="16"/>
      <c r="T75" s="16"/>
      <c r="U75" s="16"/>
    </row>
    <row r="76" spans="2:21" x14ac:dyDescent="0.25">
      <c r="B76" s="58" t="s">
        <v>265</v>
      </c>
      <c r="C76" s="11"/>
      <c r="D76" s="11"/>
      <c r="E76" s="75">
        <v>1</v>
      </c>
      <c r="F76" s="11"/>
      <c r="G76" s="68" t="s">
        <v>153</v>
      </c>
      <c r="H76" s="69" t="s">
        <v>266</v>
      </c>
      <c r="I76" s="45"/>
      <c r="P76" s="16"/>
      <c r="Q76" s="55"/>
      <c r="R76" s="55"/>
      <c r="S76" s="16"/>
      <c r="T76" s="16"/>
      <c r="U76" s="16"/>
    </row>
    <row r="77" spans="2:21" x14ac:dyDescent="0.25">
      <c r="B77" s="58" t="s">
        <v>267</v>
      </c>
      <c r="C77" s="11"/>
      <c r="D77" s="11"/>
      <c r="E77" s="27">
        <v>1</v>
      </c>
      <c r="F77" s="11"/>
      <c r="G77" s="68"/>
      <c r="H77" s="13" t="s">
        <v>268</v>
      </c>
      <c r="I77" s="45"/>
      <c r="P77" s="16"/>
      <c r="Q77" s="55"/>
      <c r="R77" s="55"/>
      <c r="S77" s="16"/>
      <c r="T77" s="16"/>
      <c r="U77" s="16"/>
    </row>
    <row r="78" spans="2:21" x14ac:dyDescent="0.25">
      <c r="B78" s="58" t="s">
        <v>269</v>
      </c>
      <c r="C78" s="11"/>
      <c r="D78" s="11"/>
      <c r="E78" s="76">
        <v>1</v>
      </c>
      <c r="F78" s="11"/>
      <c r="G78" s="68"/>
      <c r="H78" s="13" t="s">
        <v>270</v>
      </c>
      <c r="J78" s="74"/>
      <c r="L78" s="45"/>
      <c r="P78" s="16"/>
      <c r="Q78" s="55"/>
      <c r="R78" s="55"/>
      <c r="S78" s="16"/>
      <c r="T78" s="16"/>
      <c r="U78" s="16"/>
    </row>
    <row r="79" spans="2:21" x14ac:dyDescent="0.25">
      <c r="B79" s="58" t="s">
        <v>21</v>
      </c>
      <c r="C79" s="11"/>
      <c r="D79" s="11"/>
      <c r="E79" s="11"/>
      <c r="F79" s="77">
        <f>Cout_nominal*N_Cout*Cout_derating</f>
        <v>536</v>
      </c>
      <c r="G79" s="68" t="s">
        <v>138</v>
      </c>
      <c r="H79" s="13" t="s">
        <v>271</v>
      </c>
      <c r="I79" s="45"/>
      <c r="J79" s="45"/>
      <c r="P79" s="16"/>
      <c r="Q79" s="55"/>
      <c r="R79" s="55"/>
      <c r="S79" s="16"/>
      <c r="T79" s="16"/>
      <c r="U79" s="16"/>
    </row>
    <row r="80" spans="2:21" x14ac:dyDescent="0.25">
      <c r="B80" s="58" t="s">
        <v>272</v>
      </c>
      <c r="C80" s="11"/>
      <c r="D80" s="11"/>
      <c r="E80" s="11"/>
      <c r="F80" s="72">
        <f>ESR_nominal/N_Cout</f>
        <v>1</v>
      </c>
      <c r="G80" s="68" t="s">
        <v>153</v>
      </c>
      <c r="H80" s="13" t="s">
        <v>273</v>
      </c>
      <c r="I80" s="45"/>
      <c r="J80" s="45"/>
      <c r="P80" s="16"/>
      <c r="Q80" s="55"/>
      <c r="R80" s="55"/>
      <c r="S80" s="16"/>
      <c r="T80" s="16"/>
      <c r="U80" s="16"/>
    </row>
    <row r="81" spans="2:23" x14ac:dyDescent="0.25">
      <c r="B81" s="58" t="s">
        <v>274</v>
      </c>
      <c r="C81" s="11"/>
      <c r="D81" s="11"/>
      <c r="E81" s="11"/>
      <c r="F81" s="72">
        <f>SQRT((Io_step*ESR*0.001)^2+(((Lout*Io_step^2)*(Vout/(Vin_min*fsw_Hz)+toff_min_max_sec))/(2*Cout*Vout*((Vin_min-Vout)/(Vin_min*fsw_Hz)-toff_min_max_sec)))^2)*1000</f>
        <v>19.148767728127691</v>
      </c>
      <c r="G81" s="68" t="s">
        <v>275</v>
      </c>
      <c r="H81" s="13" t="s">
        <v>276</v>
      </c>
      <c r="I81" s="45"/>
      <c r="J81" s="45"/>
      <c r="P81" s="16"/>
      <c r="Q81" s="55"/>
      <c r="R81" s="55"/>
      <c r="S81" s="16"/>
      <c r="T81" s="16"/>
      <c r="U81" s="16"/>
    </row>
    <row r="82" spans="2:23" x14ac:dyDescent="0.25">
      <c r="B82" s="58" t="s">
        <v>277</v>
      </c>
      <c r="C82" s="11"/>
      <c r="D82" s="11"/>
      <c r="E82" s="11"/>
      <c r="F82" s="72">
        <f>SQRT((Io_step*ESR*0.001)^2+(Lout*Io_step^2/(2*Vout*Cout))^2)*1000</f>
        <v>40.622708626102522</v>
      </c>
      <c r="G82" s="68" t="s">
        <v>275</v>
      </c>
      <c r="H82" s="13" t="s">
        <v>278</v>
      </c>
      <c r="I82" s="45"/>
      <c r="J82" s="45"/>
      <c r="P82" s="16"/>
      <c r="Q82" s="55"/>
      <c r="R82" s="55"/>
      <c r="S82" s="16"/>
      <c r="T82" s="16"/>
      <c r="U82" s="16"/>
    </row>
    <row r="83" spans="2:23" x14ac:dyDescent="0.25">
      <c r="B83" s="58" t="s">
        <v>279</v>
      </c>
      <c r="C83" s="11"/>
      <c r="D83" s="11"/>
      <c r="E83" s="11"/>
      <c r="F83" s="65">
        <f>SQRT((ESR_Ohm*Iripple_max)^2+(Iripple_max/(8*Cout_F*0.000001*fsw_Hz))^2)*10^-3</f>
        <v>0.4927546759940179</v>
      </c>
      <c r="G83" s="68" t="s">
        <v>275</v>
      </c>
      <c r="H83" s="13" t="s">
        <v>280</v>
      </c>
      <c r="I83" s="45"/>
      <c r="J83" s="45"/>
      <c r="P83" s="16"/>
      <c r="Q83" s="55"/>
      <c r="R83" s="55"/>
      <c r="S83" s="16"/>
      <c r="T83" s="16"/>
      <c r="U83" s="16"/>
    </row>
    <row r="84" spans="2:23" hidden="1" x14ac:dyDescent="0.25">
      <c r="B84" s="58" t="s">
        <v>281</v>
      </c>
      <c r="C84" s="11"/>
      <c r="D84" s="11"/>
      <c r="E84" s="11"/>
      <c r="F84" s="72" t="e">
        <f>IF(Stability&gt;2,"GOOD","BAD")</f>
        <v>#NAME?</v>
      </c>
      <c r="G84" s="68"/>
      <c r="H84" s="13" t="s">
        <v>282</v>
      </c>
      <c r="I84" s="45"/>
      <c r="J84" s="45"/>
      <c r="P84" s="16"/>
      <c r="Q84" s="55"/>
      <c r="R84" s="55"/>
      <c r="S84" s="16"/>
      <c r="T84" s="16"/>
      <c r="U84" s="16"/>
    </row>
    <row r="85" spans="2:23" x14ac:dyDescent="0.25">
      <c r="B85" s="58" t="s">
        <v>283</v>
      </c>
      <c r="C85" s="11"/>
      <c r="D85" s="11"/>
      <c r="E85" s="11"/>
      <c r="F85" s="72">
        <f>1/(2*PI()*SQRT(Lout*0.000001*Cout*0.000001))*0.001</f>
        <v>8.2165351368490978</v>
      </c>
      <c r="G85" s="68" t="s">
        <v>189</v>
      </c>
      <c r="H85" s="13" t="s">
        <v>450</v>
      </c>
      <c r="I85" s="45"/>
      <c r="J85" s="45"/>
      <c r="P85" s="16"/>
      <c r="Q85" s="55"/>
      <c r="R85" s="55"/>
      <c r="S85" s="16"/>
      <c r="T85" s="16"/>
      <c r="U85" s="16"/>
    </row>
    <row r="86" spans="2:23" ht="29.25" thickBot="1" x14ac:dyDescent="0.3">
      <c r="B86" s="58" t="s">
        <v>284</v>
      </c>
      <c r="C86" s="11"/>
      <c r="D86" s="11"/>
      <c r="E86" s="11"/>
      <c r="F86" s="72">
        <f>1/(2*PI()*Cout*0.000001*ESR*0.001)*0.001</f>
        <v>296.93086397741672</v>
      </c>
      <c r="G86" s="68" t="s">
        <v>189</v>
      </c>
      <c r="H86" s="13" t="s">
        <v>285</v>
      </c>
      <c r="I86" s="45"/>
      <c r="J86" s="45"/>
      <c r="P86" s="16"/>
      <c r="Q86" s="55"/>
      <c r="R86" s="55"/>
      <c r="S86" s="16"/>
      <c r="T86" s="16"/>
      <c r="U86" s="16"/>
    </row>
    <row r="87" spans="2:23" ht="15.75" x14ac:dyDescent="0.25">
      <c r="B87" s="259" t="s">
        <v>286</v>
      </c>
      <c r="C87" s="260"/>
      <c r="D87" s="260"/>
      <c r="E87" s="260"/>
      <c r="F87" s="260"/>
      <c r="G87" s="260"/>
      <c r="H87" s="261"/>
      <c r="O87" s="35"/>
      <c r="P87" s="16"/>
      <c r="Q87" s="55"/>
      <c r="R87" s="55"/>
      <c r="S87" s="16"/>
      <c r="T87" s="16"/>
      <c r="U87" s="16"/>
      <c r="V87" s="16"/>
      <c r="W87" s="16"/>
    </row>
    <row r="88" spans="2:23" ht="15" thickBot="1" x14ac:dyDescent="0.3">
      <c r="B88" s="256" t="s">
        <v>287</v>
      </c>
      <c r="C88" s="257"/>
      <c r="D88" s="257"/>
      <c r="E88" s="257"/>
      <c r="F88" s="257"/>
      <c r="G88" s="257"/>
      <c r="H88" s="258"/>
      <c r="I88" s="45"/>
      <c r="O88" s="35"/>
      <c r="P88" s="16"/>
      <c r="Q88" s="55"/>
      <c r="R88" s="55"/>
      <c r="S88" s="16"/>
      <c r="T88" s="16"/>
      <c r="U88" s="16"/>
    </row>
    <row r="89" spans="2:23" x14ac:dyDescent="0.25">
      <c r="B89" s="58" t="s">
        <v>288</v>
      </c>
      <c r="C89" s="11"/>
      <c r="D89" s="227">
        <f>Vin_min*0.02*1000</f>
        <v>216.00000000000003</v>
      </c>
      <c r="E89" s="11"/>
      <c r="F89" s="11"/>
      <c r="G89" s="68" t="s">
        <v>275</v>
      </c>
      <c r="H89" s="13" t="s">
        <v>289</v>
      </c>
      <c r="J89" s="45"/>
      <c r="P89" s="16"/>
      <c r="Q89" s="16"/>
      <c r="R89" s="16"/>
    </row>
    <row r="90" spans="2:23" x14ac:dyDescent="0.25">
      <c r="B90" s="58" t="s">
        <v>290</v>
      </c>
      <c r="C90" s="78">
        <f>D89</f>
        <v>216.00000000000003</v>
      </c>
      <c r="D90" s="11"/>
      <c r="E90" s="11"/>
      <c r="F90" s="11"/>
      <c r="G90" s="68" t="s">
        <v>275</v>
      </c>
      <c r="H90" s="13" t="s">
        <v>291</v>
      </c>
      <c r="P90" s="16"/>
      <c r="Q90" s="16"/>
      <c r="R90" s="16"/>
    </row>
    <row r="91" spans="2:23" x14ac:dyDescent="0.25">
      <c r="B91" s="58" t="s">
        <v>292</v>
      </c>
      <c r="C91" s="11"/>
      <c r="D91" s="87">
        <f>(Iout*Vout)/(fsw_select*Vin_min*10^3)*10^6</f>
        <v>1.5032679738562094</v>
      </c>
      <c r="E91" s="11"/>
      <c r="F91" s="11"/>
      <c r="G91" s="68" t="s">
        <v>293</v>
      </c>
      <c r="H91" s="13" t="s">
        <v>294</v>
      </c>
      <c r="P91" s="16"/>
      <c r="Q91" s="55"/>
      <c r="R91" s="55"/>
    </row>
    <row r="92" spans="2:23" ht="15" x14ac:dyDescent="0.25">
      <c r="B92" s="58" t="s">
        <v>295</v>
      </c>
      <c r="C92" s="11"/>
      <c r="D92" s="80">
        <f>MAX(Q_input/Vi_ripple_target*10^3,10)</f>
        <v>10</v>
      </c>
      <c r="E92" s="11"/>
      <c r="F92" s="11"/>
      <c r="G92" s="68" t="s">
        <v>138</v>
      </c>
      <c r="H92" s="13" t="s">
        <v>296</v>
      </c>
    </row>
    <row r="93" spans="2:23" ht="15" x14ac:dyDescent="0.25">
      <c r="B93" s="58" t="s">
        <v>144</v>
      </c>
      <c r="C93" s="11"/>
      <c r="D93" s="11"/>
      <c r="E93" s="78">
        <v>100</v>
      </c>
      <c r="F93" s="11"/>
      <c r="G93" s="68" t="s">
        <v>138</v>
      </c>
      <c r="H93" s="13" t="s">
        <v>297</v>
      </c>
    </row>
    <row r="94" spans="2:23" x14ac:dyDescent="0.25">
      <c r="B94" s="58" t="s">
        <v>298</v>
      </c>
      <c r="C94" s="11"/>
      <c r="D94" s="11"/>
      <c r="E94" s="11"/>
      <c r="F94" s="81">
        <f>D91*1000/E93</f>
        <v>15.032679738562095</v>
      </c>
      <c r="G94" s="68" t="s">
        <v>275</v>
      </c>
      <c r="H94" s="13" t="s">
        <v>299</v>
      </c>
      <c r="I94" s="82"/>
      <c r="J94" s="82"/>
    </row>
    <row r="95" spans="2:23" ht="15" thickBot="1" x14ac:dyDescent="0.3">
      <c r="B95" s="58" t="s">
        <v>300</v>
      </c>
      <c r="C95" s="11"/>
      <c r="D95" s="11"/>
      <c r="E95" s="11"/>
      <c r="F95" s="83">
        <f>Iout*SQRT(Vout/Vin_min*(Vin_min-Vout)/Vin_min)</f>
        <v>4.1873560413802826</v>
      </c>
      <c r="G95" s="68" t="s">
        <v>120</v>
      </c>
      <c r="H95" s="13" t="s">
        <v>301</v>
      </c>
      <c r="I95" s="82"/>
      <c r="J95" s="82"/>
      <c r="O95" s="60"/>
    </row>
    <row r="96" spans="2:23" ht="16.5" thickBot="1" x14ac:dyDescent="0.3">
      <c r="B96" s="253" t="s">
        <v>310</v>
      </c>
      <c r="C96" s="254"/>
      <c r="D96" s="254"/>
      <c r="E96" s="254"/>
      <c r="F96" s="254"/>
      <c r="G96" s="254"/>
      <c r="H96" s="255"/>
      <c r="I96" s="16"/>
    </row>
    <row r="97" spans="2:15" x14ac:dyDescent="0.25">
      <c r="B97" s="58" t="s">
        <v>410</v>
      </c>
      <c r="C97" s="27" t="s">
        <v>412</v>
      </c>
      <c r="D97" s="228"/>
      <c r="E97" s="84"/>
      <c r="F97" s="84"/>
      <c r="G97" s="68"/>
      <c r="H97" s="13" t="s">
        <v>415</v>
      </c>
      <c r="I97" s="16"/>
    </row>
    <row r="98" spans="2:15" x14ac:dyDescent="0.25">
      <c r="B98" s="58" t="s">
        <v>411</v>
      </c>
      <c r="C98" s="229"/>
      <c r="D98" s="230">
        <f>IF(C97="Vin", Vin_max, EN_pin_in)</f>
        <v>13</v>
      </c>
      <c r="E98" s="84"/>
      <c r="F98" s="84"/>
      <c r="G98" s="68" t="s">
        <v>107</v>
      </c>
      <c r="H98" s="13" t="s">
        <v>414</v>
      </c>
      <c r="I98" s="16"/>
    </row>
    <row r="99" spans="2:15" x14ac:dyDescent="0.25">
      <c r="B99" s="58" t="s">
        <v>311</v>
      </c>
      <c r="C99" s="86">
        <v>7.4</v>
      </c>
      <c r="D99" s="84"/>
      <c r="E99" s="84"/>
      <c r="F99" s="84"/>
      <c r="G99" s="68" t="s">
        <v>107</v>
      </c>
      <c r="H99" s="13" t="s">
        <v>312</v>
      </c>
      <c r="I99" s="16"/>
    </row>
    <row r="100" spans="2:15" x14ac:dyDescent="0.25">
      <c r="B100" s="58" t="s">
        <v>313</v>
      </c>
      <c r="C100" s="84"/>
      <c r="D100" s="85">
        <v>10</v>
      </c>
      <c r="E100" s="84"/>
      <c r="F100" s="84"/>
      <c r="G100" s="68" t="s">
        <v>131</v>
      </c>
      <c r="H100" s="13" t="s">
        <v>459</v>
      </c>
      <c r="I100" s="16"/>
    </row>
    <row r="101" spans="2:15" x14ac:dyDescent="0.25">
      <c r="B101" s="58" t="s">
        <v>165</v>
      </c>
      <c r="C101" s="84"/>
      <c r="D101" s="84"/>
      <c r="E101" s="86">
        <v>100</v>
      </c>
      <c r="F101" s="84"/>
      <c r="G101" s="68" t="s">
        <v>131</v>
      </c>
      <c r="H101" s="69" t="s">
        <v>314</v>
      </c>
      <c r="O101" s="60"/>
    </row>
    <row r="102" spans="2:15" x14ac:dyDescent="0.25">
      <c r="B102" s="58" t="s">
        <v>315</v>
      </c>
      <c r="C102" s="84"/>
      <c r="D102" s="84"/>
      <c r="E102" s="84"/>
      <c r="F102" s="81">
        <f>Ren_b*6000/(Ren_b+6000)</f>
        <v>98.360655737704917</v>
      </c>
      <c r="G102" s="68" t="s">
        <v>131</v>
      </c>
      <c r="H102" s="69" t="s">
        <v>316</v>
      </c>
      <c r="I102" s="16"/>
      <c r="J102" s="16"/>
      <c r="K102" s="16"/>
      <c r="L102" s="16"/>
      <c r="M102" s="16"/>
      <c r="N102" s="16"/>
      <c r="O102" s="16"/>
    </row>
    <row r="103" spans="2:15" ht="18" x14ac:dyDescent="0.25">
      <c r="B103" s="58" t="s">
        <v>317</v>
      </c>
      <c r="C103" s="84"/>
      <c r="D103" s="80">
        <f>Ren_b_eff*Vstart_target/EN_rise-Ren_b_eff</f>
        <v>508.19672131147553</v>
      </c>
      <c r="E103" s="84"/>
      <c r="F103" s="84"/>
      <c r="G103" s="68" t="s">
        <v>131</v>
      </c>
      <c r="H103" s="69" t="s">
        <v>306</v>
      </c>
      <c r="I103" s="56"/>
    </row>
    <row r="104" spans="2:15" x14ac:dyDescent="0.25">
      <c r="B104" s="58" t="s">
        <v>162</v>
      </c>
      <c r="C104" s="84"/>
      <c r="D104" s="84"/>
      <c r="E104" s="86">
        <v>100</v>
      </c>
      <c r="F104" s="84"/>
      <c r="G104" s="68" t="s">
        <v>131</v>
      </c>
      <c r="H104" s="69" t="s">
        <v>307</v>
      </c>
      <c r="J104" s="16"/>
      <c r="K104" s="16"/>
      <c r="L104" s="16"/>
      <c r="M104" s="16"/>
      <c r="N104" s="16"/>
      <c r="O104" s="16"/>
    </row>
    <row r="105" spans="2:15" x14ac:dyDescent="0.25">
      <c r="B105" s="58" t="s">
        <v>416</v>
      </c>
      <c r="C105" s="84"/>
      <c r="D105" s="84"/>
      <c r="E105" s="84"/>
      <c r="F105" s="79">
        <f>Ren_b/(Ren_t+Ren_b)*EN_pin_connected</f>
        <v>6.5</v>
      </c>
      <c r="G105" s="68" t="s">
        <v>107</v>
      </c>
      <c r="H105" s="69" t="s">
        <v>417</v>
      </c>
      <c r="J105" s="16"/>
      <c r="K105" s="16"/>
      <c r="L105" s="16"/>
      <c r="M105" s="16"/>
      <c r="N105" s="16"/>
      <c r="O105" s="16"/>
    </row>
    <row r="106" spans="2:15" ht="28.5" x14ac:dyDescent="0.25">
      <c r="B106" s="58" t="s">
        <v>318</v>
      </c>
      <c r="C106" s="84"/>
      <c r="D106" s="84"/>
      <c r="E106" s="84"/>
      <c r="F106" s="79">
        <f>EN_rise*(Ren_b_eff+Ren_t)/Ren_b_eff</f>
        <v>2.42</v>
      </c>
      <c r="G106" s="68" t="s">
        <v>107</v>
      </c>
      <c r="H106" s="69" t="s">
        <v>319</v>
      </c>
      <c r="I106" s="16"/>
      <c r="J106" s="16"/>
      <c r="K106" s="16"/>
      <c r="L106" s="16"/>
      <c r="M106" s="16"/>
      <c r="N106" s="16"/>
      <c r="O106" s="16"/>
    </row>
    <row r="107" spans="2:15" ht="15" thickBot="1" x14ac:dyDescent="0.3">
      <c r="B107" s="58" t="s">
        <v>320</v>
      </c>
      <c r="C107" s="84"/>
      <c r="D107" s="84"/>
      <c r="E107" s="84"/>
      <c r="F107" s="79">
        <f>EN_fall*(Ren_b_eff+Ren_t)/Ren_b_eff</f>
        <v>1.9158333333333333</v>
      </c>
      <c r="G107" s="68" t="s">
        <v>107</v>
      </c>
      <c r="H107" s="69" t="s">
        <v>321</v>
      </c>
      <c r="I107" s="16"/>
      <c r="J107" s="16"/>
      <c r="K107" s="16"/>
      <c r="L107" s="16"/>
      <c r="M107" s="16"/>
      <c r="N107" s="16"/>
      <c r="O107" s="16"/>
    </row>
    <row r="108" spans="2:15" ht="16.5" thickBot="1" x14ac:dyDescent="0.3">
      <c r="B108" s="253" t="s">
        <v>322</v>
      </c>
      <c r="C108" s="254"/>
      <c r="D108" s="254"/>
      <c r="E108" s="254"/>
      <c r="F108" s="254"/>
      <c r="G108" s="254"/>
      <c r="H108" s="255"/>
      <c r="I108" s="16"/>
      <c r="J108" s="16"/>
      <c r="K108" s="16"/>
      <c r="L108" s="16"/>
      <c r="M108" s="16"/>
      <c r="N108" s="16"/>
      <c r="O108" s="16"/>
    </row>
    <row r="109" spans="2:15" x14ac:dyDescent="0.25">
      <c r="B109" s="58" t="s">
        <v>323</v>
      </c>
      <c r="C109" s="84"/>
      <c r="D109" s="80">
        <v>2.2000000000000002</v>
      </c>
      <c r="E109" s="84"/>
      <c r="F109" s="84"/>
      <c r="G109" s="68" t="s">
        <v>138</v>
      </c>
      <c r="H109" s="13" t="s">
        <v>324</v>
      </c>
      <c r="I109" s="16"/>
      <c r="J109" s="16"/>
      <c r="K109" s="16"/>
      <c r="L109" s="16"/>
      <c r="M109" s="16"/>
      <c r="N109" s="16"/>
      <c r="O109" s="16"/>
    </row>
    <row r="110" spans="2:15" x14ac:dyDescent="0.25">
      <c r="B110" s="58" t="s">
        <v>325</v>
      </c>
      <c r="C110" s="84"/>
      <c r="D110" s="84"/>
      <c r="E110" s="86">
        <v>4.7</v>
      </c>
      <c r="F110" s="84"/>
      <c r="G110" s="68" t="s">
        <v>138</v>
      </c>
      <c r="H110" s="13" t="s">
        <v>326</v>
      </c>
      <c r="I110" s="16"/>
      <c r="J110" s="16"/>
      <c r="K110" s="16"/>
      <c r="L110" s="16"/>
      <c r="M110" s="16"/>
      <c r="N110" s="16"/>
      <c r="O110" s="16"/>
    </row>
    <row r="111" spans="2:15" x14ac:dyDescent="0.25">
      <c r="B111" s="58" t="s">
        <v>327</v>
      </c>
      <c r="C111" s="84"/>
      <c r="D111" s="80">
        <v>0.1</v>
      </c>
      <c r="E111" s="84"/>
      <c r="F111" s="84"/>
      <c r="G111" s="68" t="s">
        <v>138</v>
      </c>
      <c r="H111" s="69" t="s">
        <v>328</v>
      </c>
      <c r="I111" s="16"/>
      <c r="J111" s="16"/>
      <c r="K111" s="16"/>
      <c r="L111" s="16"/>
      <c r="M111" s="16"/>
      <c r="N111" s="16"/>
      <c r="O111" s="16"/>
    </row>
    <row r="112" spans="2:15" x14ac:dyDescent="0.25">
      <c r="B112" s="58" t="s">
        <v>329</v>
      </c>
      <c r="C112" s="84"/>
      <c r="D112" s="84"/>
      <c r="E112" s="86">
        <v>0.22</v>
      </c>
      <c r="F112" s="84"/>
      <c r="G112" s="68" t="s">
        <v>138</v>
      </c>
      <c r="H112" s="69" t="s">
        <v>330</v>
      </c>
      <c r="I112" s="16"/>
      <c r="J112" s="16"/>
      <c r="K112" s="16"/>
      <c r="L112" s="16"/>
      <c r="M112" s="16"/>
      <c r="N112" s="16"/>
      <c r="O112" s="16"/>
    </row>
    <row r="113" spans="2:18" x14ac:dyDescent="0.25">
      <c r="B113" s="61" t="s">
        <v>331</v>
      </c>
      <c r="C113" s="84"/>
      <c r="D113" s="80">
        <v>100</v>
      </c>
      <c r="E113" s="84"/>
      <c r="F113" s="84"/>
      <c r="G113" s="68" t="s">
        <v>131</v>
      </c>
      <c r="H113" s="69" t="s">
        <v>332</v>
      </c>
      <c r="I113" s="16"/>
      <c r="J113" s="16"/>
      <c r="K113" s="16"/>
      <c r="L113" s="16"/>
      <c r="M113" s="16"/>
      <c r="N113" s="16"/>
      <c r="O113" s="16"/>
    </row>
    <row r="114" spans="2:18" ht="15" thickBot="1" x14ac:dyDescent="0.3">
      <c r="B114" s="90" t="s">
        <v>174</v>
      </c>
      <c r="C114" s="91"/>
      <c r="D114" s="91"/>
      <c r="E114" s="92">
        <v>10</v>
      </c>
      <c r="F114" s="91"/>
      <c r="G114" s="93" t="s">
        <v>131</v>
      </c>
      <c r="H114" s="94" t="s">
        <v>333</v>
      </c>
      <c r="I114" s="16"/>
      <c r="J114" s="16"/>
      <c r="K114" s="16"/>
      <c r="L114" s="16"/>
      <c r="M114" s="16"/>
      <c r="N114" s="16"/>
      <c r="O114" s="16"/>
    </row>
    <row r="115" spans="2:18" ht="16.5" thickBot="1" x14ac:dyDescent="0.3">
      <c r="B115" s="253" t="s">
        <v>438</v>
      </c>
      <c r="C115" s="254"/>
      <c r="D115" s="254"/>
      <c r="E115" s="254"/>
      <c r="F115" s="254"/>
      <c r="G115" s="254"/>
      <c r="H115" s="255"/>
      <c r="I115" s="16"/>
      <c r="J115" s="16"/>
      <c r="K115" s="16"/>
      <c r="L115" s="16"/>
      <c r="M115" s="16"/>
      <c r="N115" s="16"/>
      <c r="O115" s="16"/>
    </row>
    <row r="116" spans="2:18" x14ac:dyDescent="0.25">
      <c r="B116" s="235" t="s">
        <v>430</v>
      </c>
      <c r="C116" s="236"/>
      <c r="D116" s="248"/>
      <c r="E116" s="236"/>
      <c r="F116" s="237">
        <f>IF(OR(Vout&gt;3.29, Lout*(1-Tol_L)&lt;0.25), 4, IF(Vout&gt;1.8, 3, 2))</f>
        <v>2</v>
      </c>
      <c r="G116" s="238"/>
      <c r="H116" s="25" t="s">
        <v>431</v>
      </c>
      <c r="I116" s="16"/>
      <c r="J116" s="16"/>
      <c r="K116" s="16"/>
      <c r="L116" s="16"/>
      <c r="M116" s="16"/>
      <c r="N116" s="16"/>
      <c r="O116" s="16"/>
    </row>
    <row r="117" spans="2:18" x14ac:dyDescent="0.25">
      <c r="B117" s="58" t="s">
        <v>432</v>
      </c>
      <c r="C117" s="16"/>
      <c r="D117" s="229"/>
      <c r="E117" s="86">
        <v>2.1999999999999999E-2</v>
      </c>
      <c r="F117" s="233"/>
      <c r="G117" s="68" t="s">
        <v>386</v>
      </c>
      <c r="H117" s="13" t="s">
        <v>434</v>
      </c>
      <c r="I117" s="16"/>
      <c r="J117" s="16"/>
      <c r="K117" s="16"/>
      <c r="L117" s="16"/>
      <c r="M117" s="16"/>
      <c r="N117" s="16"/>
      <c r="O117" s="16"/>
    </row>
    <row r="118" spans="2:18" x14ac:dyDescent="0.25">
      <c r="B118" s="61" t="s">
        <v>440</v>
      </c>
      <c r="C118" s="88"/>
      <c r="D118" s="241">
        <f>1/2/3.1415/Rfb_b/Rfb_t*(Rfb_b+Rfb_t)/fsw_select*1000</f>
        <v>5.0123464581493513E-2</v>
      </c>
      <c r="E118" s="249"/>
      <c r="F118" s="88"/>
      <c r="G118" s="89" t="s">
        <v>160</v>
      </c>
      <c r="H118" s="48" t="s">
        <v>436</v>
      </c>
      <c r="I118" s="16"/>
      <c r="J118" s="16"/>
      <c r="K118" s="16"/>
      <c r="L118" s="16"/>
      <c r="M118" s="16"/>
      <c r="N118" s="16"/>
      <c r="O118" s="16"/>
      <c r="P118" s="97"/>
      <c r="Q118" s="97"/>
      <c r="R118" s="97"/>
    </row>
    <row r="119" spans="2:18" x14ac:dyDescent="0.25">
      <c r="B119" s="61" t="s">
        <v>457</v>
      </c>
      <c r="C119" s="88"/>
      <c r="D119" s="229"/>
      <c r="E119" s="243">
        <v>1</v>
      </c>
      <c r="F119" s="88"/>
      <c r="G119" s="89" t="s">
        <v>160</v>
      </c>
      <c r="H119" s="48" t="s">
        <v>456</v>
      </c>
      <c r="I119" s="16"/>
      <c r="J119" s="16"/>
      <c r="K119" s="16"/>
      <c r="L119" s="16"/>
      <c r="M119" s="16"/>
      <c r="N119" s="16"/>
      <c r="O119" s="16"/>
      <c r="P119" s="97"/>
      <c r="Q119" s="97"/>
      <c r="R119" s="97"/>
    </row>
    <row r="120" spans="2:18" x14ac:dyDescent="0.25">
      <c r="B120" s="61" t="s">
        <v>441</v>
      </c>
      <c r="C120" s="88"/>
      <c r="D120" s="229"/>
      <c r="E120" s="84"/>
      <c r="F120" s="242">
        <f>1/2/PI()/fsw_select/E119*1000</f>
        <v>0.18724110951987688</v>
      </c>
      <c r="G120" s="68" t="s">
        <v>131</v>
      </c>
      <c r="H120" s="48" t="s">
        <v>458</v>
      </c>
      <c r="I120" s="16"/>
      <c r="J120" s="16"/>
      <c r="K120" s="16"/>
      <c r="L120" s="16"/>
      <c r="M120" s="16"/>
      <c r="N120" s="16"/>
      <c r="O120" s="16"/>
      <c r="P120" s="97"/>
      <c r="Q120" s="97"/>
      <c r="R120" s="97"/>
    </row>
    <row r="121" spans="2:18" s="97" customFormat="1" x14ac:dyDescent="0.25">
      <c r="B121" s="58" t="s">
        <v>448</v>
      </c>
      <c r="C121" s="84"/>
      <c r="D121" s="87">
        <f>Lout*(1-Tol_L)*Cout*fsw_select*Vin_nom/c_ramp/Vout/N_factor/1000000*2</f>
        <v>151.26640316205533</v>
      </c>
      <c r="E121" s="250"/>
      <c r="F121" s="84"/>
      <c r="G121" s="68" t="s">
        <v>131</v>
      </c>
      <c r="H121" s="13" t="s">
        <v>449</v>
      </c>
      <c r="I121" s="96"/>
      <c r="J121" s="96"/>
      <c r="K121" s="96"/>
      <c r="L121" s="96"/>
      <c r="M121" s="96"/>
      <c r="N121" s="96"/>
      <c r="O121" s="96"/>
      <c r="P121" s="1"/>
      <c r="Q121" s="1"/>
      <c r="R121" s="1"/>
    </row>
    <row r="122" spans="2:18" x14ac:dyDescent="0.25">
      <c r="B122" s="58" t="s">
        <v>433</v>
      </c>
      <c r="C122" s="84"/>
      <c r="D122" s="234"/>
      <c r="E122" s="86">
        <v>14.3</v>
      </c>
      <c r="F122" s="84"/>
      <c r="G122" s="68" t="s">
        <v>131</v>
      </c>
      <c r="H122" s="13" t="s">
        <v>435</v>
      </c>
      <c r="I122" s="16"/>
      <c r="J122" s="16"/>
      <c r="K122" s="16"/>
      <c r="L122" s="16"/>
      <c r="M122" s="16"/>
      <c r="N122" s="16"/>
      <c r="O122" s="16"/>
    </row>
    <row r="123" spans="2:18" x14ac:dyDescent="0.25">
      <c r="B123" s="58" t="s">
        <v>439</v>
      </c>
      <c r="C123" s="84"/>
      <c r="D123" s="244">
        <f>(Vin_nom-Vout)*Vout/Vin_nom/fsw_select/r_ripple/c_ramp*1000</f>
        <v>3.1766451017787918</v>
      </c>
      <c r="E123" s="250"/>
      <c r="F123" s="84"/>
      <c r="G123" s="68" t="s">
        <v>275</v>
      </c>
      <c r="H123" s="13" t="s">
        <v>453</v>
      </c>
      <c r="I123" s="16"/>
      <c r="J123" s="16"/>
      <c r="K123" s="16"/>
      <c r="L123" s="16"/>
      <c r="M123" s="16"/>
      <c r="N123" s="16"/>
      <c r="O123" s="16"/>
      <c r="P123" s="97"/>
      <c r="Q123" s="97"/>
      <c r="R123" s="97"/>
    </row>
    <row r="124" spans="2:18" x14ac:dyDescent="0.25">
      <c r="B124" s="58" t="s">
        <v>442</v>
      </c>
      <c r="C124" s="84"/>
      <c r="D124" s="244">
        <f>(0.5*(vinj_calculated+Iripple_max*ESR)+0.5*F83)</f>
        <v>2.7326960104119382</v>
      </c>
      <c r="E124" s="250"/>
      <c r="F124" s="84"/>
      <c r="G124" s="68" t="s">
        <v>275</v>
      </c>
      <c r="H124" s="13" t="s">
        <v>454</v>
      </c>
      <c r="I124" s="16"/>
      <c r="J124" s="16"/>
      <c r="K124" s="16"/>
      <c r="L124" s="16"/>
      <c r="M124" s="16"/>
      <c r="N124" s="16"/>
      <c r="O124" s="16"/>
      <c r="P124" s="97"/>
      <c r="Q124" s="97"/>
      <c r="R124" s="97"/>
    </row>
    <row r="125" spans="2:18" ht="15" thickBot="1" x14ac:dyDescent="0.3">
      <c r="B125" s="61" t="s">
        <v>443</v>
      </c>
      <c r="C125" s="88"/>
      <c r="D125" s="245">
        <f>0.6+D124/1000</f>
        <v>0.60273269601041191</v>
      </c>
      <c r="E125" s="249"/>
      <c r="F125" s="88"/>
      <c r="G125" s="89" t="s">
        <v>275</v>
      </c>
      <c r="H125" s="48" t="s">
        <v>455</v>
      </c>
      <c r="I125" s="16"/>
      <c r="J125" s="16"/>
      <c r="K125" s="16"/>
      <c r="L125" s="16"/>
      <c r="M125" s="16"/>
      <c r="N125" s="16"/>
      <c r="O125" s="16"/>
      <c r="P125" s="97"/>
      <c r="Q125" s="97"/>
      <c r="R125" s="97"/>
    </row>
    <row r="126" spans="2:18" ht="16.5" thickBot="1" x14ac:dyDescent="0.3">
      <c r="B126" s="253" t="s">
        <v>447</v>
      </c>
      <c r="C126" s="254"/>
      <c r="D126" s="254"/>
      <c r="E126" s="254"/>
      <c r="F126" s="254"/>
      <c r="G126" s="254"/>
      <c r="H126" s="255"/>
      <c r="I126" s="16"/>
      <c r="J126" s="16"/>
      <c r="K126" s="16"/>
      <c r="L126" s="16"/>
      <c r="M126" s="16"/>
      <c r="N126" s="16"/>
      <c r="O126" s="16"/>
    </row>
    <row r="127" spans="2:18" x14ac:dyDescent="0.25">
      <c r="B127" s="235" t="s">
        <v>302</v>
      </c>
      <c r="C127" s="236"/>
      <c r="D127" s="239">
        <v>10</v>
      </c>
      <c r="E127" s="236"/>
      <c r="F127" s="236"/>
      <c r="G127" s="238" t="s">
        <v>131</v>
      </c>
      <c r="H127" s="25" t="s">
        <v>303</v>
      </c>
      <c r="I127" s="16"/>
      <c r="J127" s="16"/>
      <c r="K127" s="16"/>
      <c r="L127" s="16"/>
      <c r="M127" s="16"/>
      <c r="N127" s="16"/>
      <c r="O127" s="16"/>
    </row>
    <row r="128" spans="2:18" x14ac:dyDescent="0.25">
      <c r="B128" s="58" t="s">
        <v>148</v>
      </c>
      <c r="C128" s="84"/>
      <c r="D128" s="84"/>
      <c r="E128" s="86">
        <v>10.25</v>
      </c>
      <c r="F128" s="84"/>
      <c r="G128" s="68" t="s">
        <v>131</v>
      </c>
      <c r="H128" s="13" t="s">
        <v>304</v>
      </c>
      <c r="I128" s="16"/>
      <c r="J128" s="16"/>
      <c r="K128" s="16"/>
      <c r="L128" s="16"/>
      <c r="M128" s="16"/>
      <c r="N128" s="16"/>
      <c r="O128" s="16"/>
    </row>
    <row r="129" spans="2:15" x14ac:dyDescent="0.25">
      <c r="B129" s="58" t="s">
        <v>305</v>
      </c>
      <c r="C129" s="84"/>
      <c r="D129" s="247">
        <f>Rfb_b*(Vout/vfb_1-1)</f>
        <v>5.3954097519824966</v>
      </c>
      <c r="E129" s="84"/>
      <c r="F129" s="84"/>
      <c r="G129" s="68" t="s">
        <v>131</v>
      </c>
      <c r="H129" s="13" t="s">
        <v>306</v>
      </c>
      <c r="I129" s="16"/>
      <c r="J129" s="16"/>
      <c r="K129" s="16"/>
      <c r="L129" s="16"/>
      <c r="M129" s="16"/>
      <c r="N129" s="16"/>
      <c r="O129" s="16"/>
    </row>
    <row r="130" spans="2:15" x14ac:dyDescent="0.25">
      <c r="B130" s="58" t="s">
        <v>151</v>
      </c>
      <c r="C130" s="84"/>
      <c r="D130" s="84"/>
      <c r="E130" s="86">
        <v>5.8780000000000001</v>
      </c>
      <c r="F130" s="84"/>
      <c r="G130" s="68" t="s">
        <v>131</v>
      </c>
      <c r="H130" s="13" t="s">
        <v>307</v>
      </c>
      <c r="I130" s="16"/>
      <c r="J130" s="16"/>
      <c r="K130" s="16"/>
      <c r="L130" s="16"/>
      <c r="M130" s="16"/>
      <c r="N130" s="16"/>
      <c r="O130" s="16"/>
    </row>
    <row r="131" spans="2:15" x14ac:dyDescent="0.25">
      <c r="B131" s="58" t="s">
        <v>446</v>
      </c>
      <c r="C131" s="84"/>
      <c r="D131" s="84"/>
      <c r="E131" s="84"/>
      <c r="F131" s="83">
        <f>Rfb_t*Rfb_b/(Rfb_b+Rfb_t)</f>
        <v>3.73570808531746</v>
      </c>
      <c r="G131" s="68" t="s">
        <v>131</v>
      </c>
      <c r="H131" s="13"/>
      <c r="I131" s="16"/>
      <c r="J131" s="16"/>
      <c r="K131" s="16"/>
      <c r="L131" s="16"/>
      <c r="M131" s="16"/>
      <c r="N131" s="16"/>
      <c r="O131" s="16"/>
    </row>
    <row r="132" spans="2:15" x14ac:dyDescent="0.25">
      <c r="B132" s="58" t="s">
        <v>308</v>
      </c>
      <c r="C132" s="84"/>
      <c r="D132" s="84"/>
      <c r="E132" s="84"/>
      <c r="F132" s="83">
        <f>vfb_1*(1+Rfb_t/Rfb_b)</f>
        <v>0.94837784597618768</v>
      </c>
      <c r="G132" s="68" t="s">
        <v>107</v>
      </c>
      <c r="H132" s="13" t="s">
        <v>309</v>
      </c>
      <c r="I132" s="16"/>
      <c r="J132" s="16"/>
      <c r="K132" s="16"/>
      <c r="L132" s="16"/>
      <c r="M132" s="16"/>
      <c r="N132" s="16"/>
      <c r="O132" s="16"/>
    </row>
    <row r="133" spans="2:15" x14ac:dyDescent="0.25">
      <c r="B133" s="58" t="s">
        <v>437</v>
      </c>
      <c r="C133" s="84"/>
      <c r="D133" s="84"/>
      <c r="E133" s="84"/>
      <c r="F133" s="83">
        <f>(0.5*(vinj_calculated+Iripple_max*ESR)+0.5*F83)*F131/(F131+F120)</f>
        <v>2.6022653044411745</v>
      </c>
      <c r="G133" s="68" t="s">
        <v>275</v>
      </c>
      <c r="H133" s="13" t="s">
        <v>451</v>
      </c>
      <c r="I133" s="16"/>
      <c r="J133" s="16"/>
      <c r="K133" s="16"/>
      <c r="L133" s="16"/>
      <c r="M133" s="16"/>
      <c r="N133" s="16"/>
      <c r="O133" s="16"/>
    </row>
    <row r="134" spans="2:15" x14ac:dyDescent="0.25">
      <c r="B134" s="58" t="s">
        <v>25</v>
      </c>
      <c r="C134" s="84"/>
      <c r="D134" s="84"/>
      <c r="E134" s="84"/>
      <c r="F134" s="242">
        <f>Vref+F133/1000</f>
        <v>0.60260226530444116</v>
      </c>
      <c r="G134" s="68" t="s">
        <v>107</v>
      </c>
      <c r="H134" s="13" t="s">
        <v>452</v>
      </c>
      <c r="I134" s="16"/>
      <c r="J134" s="16"/>
      <c r="K134" s="16"/>
      <c r="L134" s="16"/>
      <c r="M134" s="16"/>
      <c r="N134" s="16"/>
      <c r="O134" s="16"/>
    </row>
    <row r="135" spans="2:15" x14ac:dyDescent="0.25">
      <c r="B135" s="58" t="s">
        <v>444</v>
      </c>
      <c r="C135" s="84"/>
      <c r="D135" s="84"/>
      <c r="E135" s="84"/>
      <c r="F135" s="83">
        <f>(Vout/F134-1)*Rfb_b</f>
        <v>5.3987961346044102</v>
      </c>
      <c r="G135" s="68" t="s">
        <v>131</v>
      </c>
      <c r="H135" s="13" t="s">
        <v>445</v>
      </c>
      <c r="I135" s="16"/>
      <c r="J135" s="16"/>
      <c r="K135" s="16"/>
      <c r="L135" s="16"/>
      <c r="M135" s="16"/>
      <c r="N135" s="16"/>
      <c r="O135" s="16"/>
    </row>
    <row r="136" spans="2:15" x14ac:dyDescent="0.25">
      <c r="B136" s="58" t="s">
        <v>421</v>
      </c>
      <c r="C136" s="57">
        <v>0.2</v>
      </c>
      <c r="D136" s="232">
        <f>ROVP_margin+1</f>
        <v>1.2</v>
      </c>
      <c r="E136" s="251"/>
      <c r="F136" s="84"/>
      <c r="G136" s="68"/>
      <c r="H136" s="13" t="s">
        <v>429</v>
      </c>
      <c r="I136" s="16"/>
      <c r="J136" s="16"/>
      <c r="K136" s="16"/>
      <c r="L136" s="16"/>
      <c r="M136" s="16"/>
      <c r="N136" s="16"/>
      <c r="O136" s="16"/>
    </row>
    <row r="137" spans="2:15" x14ac:dyDescent="0.25">
      <c r="B137" s="58" t="s">
        <v>423</v>
      </c>
      <c r="C137" s="84"/>
      <c r="D137" s="85">
        <v>10</v>
      </c>
      <c r="E137" s="84"/>
      <c r="F137" s="84"/>
      <c r="G137" s="68" t="s">
        <v>131</v>
      </c>
      <c r="H137" s="13" t="s">
        <v>422</v>
      </c>
      <c r="I137" s="16"/>
      <c r="J137" s="16"/>
      <c r="K137" s="16"/>
      <c r="L137" s="16"/>
      <c r="M137" s="16"/>
      <c r="N137" s="16"/>
      <c r="O137" s="16"/>
    </row>
    <row r="138" spans="2:15" x14ac:dyDescent="0.25">
      <c r="B138" s="58" t="s">
        <v>424</v>
      </c>
      <c r="C138" s="84"/>
      <c r="D138" s="84"/>
      <c r="E138" s="86">
        <v>10</v>
      </c>
      <c r="F138" s="84"/>
      <c r="G138" s="68" t="s">
        <v>131</v>
      </c>
      <c r="H138" s="13" t="s">
        <v>304</v>
      </c>
      <c r="I138" s="16"/>
      <c r="J138" s="16"/>
      <c r="K138" s="16"/>
      <c r="L138" s="16"/>
      <c r="M138" s="16"/>
      <c r="N138" s="16"/>
      <c r="O138" s="16"/>
    </row>
    <row r="139" spans="2:15" x14ac:dyDescent="0.25">
      <c r="B139" s="58" t="s">
        <v>425</v>
      </c>
      <c r="C139" s="84"/>
      <c r="D139" s="87">
        <f>Rfb_b*(rovp_total*Vout/Vref-1)</f>
        <v>8.610000000000003</v>
      </c>
      <c r="E139" s="84"/>
      <c r="F139" s="84"/>
      <c r="G139" s="68" t="s">
        <v>131</v>
      </c>
      <c r="H139" s="13" t="s">
        <v>306</v>
      </c>
      <c r="I139" s="16"/>
      <c r="J139" s="16"/>
      <c r="K139" s="16"/>
      <c r="L139" s="16"/>
      <c r="M139" s="16"/>
      <c r="N139" s="16"/>
      <c r="O139" s="16"/>
    </row>
    <row r="140" spans="2:15" x14ac:dyDescent="0.25">
      <c r="B140" s="58" t="s">
        <v>426</v>
      </c>
      <c r="C140" s="84"/>
      <c r="D140" s="84"/>
      <c r="E140" s="86">
        <v>10</v>
      </c>
      <c r="F140" s="84"/>
      <c r="G140" s="68" t="s">
        <v>131</v>
      </c>
      <c r="H140" s="13" t="s">
        <v>307</v>
      </c>
      <c r="I140" s="16"/>
      <c r="J140" s="16"/>
      <c r="K140" s="16"/>
      <c r="L140" s="16"/>
      <c r="M140" s="16"/>
      <c r="N140" s="16"/>
      <c r="O140" s="16"/>
    </row>
    <row r="141" spans="2:15" ht="15" thickBot="1" x14ac:dyDescent="0.3">
      <c r="B141" s="90" t="s">
        <v>427</v>
      </c>
      <c r="C141" s="91"/>
      <c r="D141" s="91"/>
      <c r="E141" s="91"/>
      <c r="F141" s="240">
        <f>Vref*(1+Rrovp_t/Rrovp_b)</f>
        <v>1.2</v>
      </c>
      <c r="G141" s="93" t="s">
        <v>107</v>
      </c>
      <c r="H141" s="30" t="s">
        <v>428</v>
      </c>
      <c r="I141" s="16"/>
      <c r="J141" s="16"/>
      <c r="K141" s="16"/>
      <c r="L141" s="16"/>
      <c r="M141" s="16"/>
      <c r="N141" s="16"/>
      <c r="O141" s="16"/>
    </row>
    <row r="142" spans="2:15" x14ac:dyDescent="0.25">
      <c r="B142" s="95"/>
      <c r="C142" s="95"/>
      <c r="D142" s="95"/>
      <c r="E142" s="95"/>
      <c r="F142" s="95"/>
      <c r="G142" s="95"/>
      <c r="H142" s="95"/>
      <c r="I142" s="16"/>
      <c r="J142" s="16"/>
      <c r="K142" s="16"/>
      <c r="L142" s="16"/>
      <c r="M142" s="16"/>
      <c r="N142" s="16"/>
      <c r="O142" s="16"/>
    </row>
    <row r="143" spans="2:15" x14ac:dyDescent="0.25">
      <c r="B143" s="95"/>
      <c r="C143" s="95"/>
      <c r="D143" s="95"/>
      <c r="E143" s="95"/>
      <c r="F143" s="95"/>
      <c r="G143" s="95"/>
      <c r="H143" s="95"/>
      <c r="I143" s="16"/>
      <c r="J143" s="16"/>
      <c r="K143" s="16"/>
      <c r="L143" s="16"/>
      <c r="M143" s="16"/>
      <c r="N143" s="16"/>
      <c r="O143" s="16"/>
    </row>
    <row r="144" spans="2:15" x14ac:dyDescent="0.25">
      <c r="B144" s="95"/>
      <c r="C144" s="95"/>
      <c r="D144" s="95"/>
      <c r="E144" s="95"/>
      <c r="F144" s="95"/>
      <c r="G144" s="95"/>
      <c r="H144" s="95"/>
      <c r="I144" s="16"/>
      <c r="J144" s="16"/>
      <c r="K144" s="16"/>
      <c r="L144" s="16"/>
      <c r="M144" s="16"/>
      <c r="N144" s="16"/>
      <c r="O144" s="16"/>
    </row>
    <row r="145" spans="2:15" x14ac:dyDescent="0.25">
      <c r="B145" s="95"/>
      <c r="C145" s="95"/>
      <c r="D145" s="95"/>
      <c r="E145" s="95"/>
      <c r="F145" s="95"/>
      <c r="G145" s="95"/>
      <c r="H145" s="95"/>
      <c r="I145" s="16"/>
      <c r="J145" s="16"/>
      <c r="K145" s="16"/>
      <c r="L145" s="16"/>
      <c r="M145" s="16"/>
      <c r="N145" s="16"/>
      <c r="O145" s="16"/>
    </row>
    <row r="146" spans="2:15" x14ac:dyDescent="0.25">
      <c r="B146" s="95"/>
      <c r="C146" s="95"/>
      <c r="D146" s="95"/>
      <c r="E146" s="95"/>
      <c r="F146" s="95"/>
      <c r="G146" s="95"/>
      <c r="H146" s="95"/>
      <c r="I146" s="16"/>
      <c r="J146" s="16"/>
      <c r="K146" s="16"/>
      <c r="L146" s="16"/>
      <c r="M146" s="16"/>
      <c r="N146" s="16"/>
      <c r="O146" s="16"/>
    </row>
    <row r="147" spans="2:15" x14ac:dyDescent="0.25">
      <c r="B147" s="95"/>
      <c r="C147" s="95"/>
      <c r="D147" s="95"/>
      <c r="E147" s="95"/>
      <c r="F147" s="95"/>
      <c r="G147" s="95"/>
      <c r="H147" s="95"/>
      <c r="I147" s="16"/>
      <c r="J147" s="16"/>
      <c r="K147" s="16"/>
      <c r="L147" s="16"/>
      <c r="M147" s="16"/>
      <c r="N147" s="16"/>
      <c r="O147" s="16"/>
    </row>
    <row r="148" spans="2:15" x14ac:dyDescent="0.25">
      <c r="B148" s="95"/>
      <c r="C148" s="95"/>
      <c r="D148" s="95"/>
      <c r="E148" s="95"/>
      <c r="F148" s="95"/>
      <c r="G148" s="95"/>
      <c r="H148" s="95"/>
      <c r="I148" s="16"/>
      <c r="J148" s="16"/>
      <c r="K148" s="16"/>
      <c r="L148" s="16"/>
      <c r="M148" s="16"/>
      <c r="N148" s="16"/>
      <c r="O148" s="16"/>
    </row>
    <row r="149" spans="2:15" x14ac:dyDescent="0.25">
      <c r="B149" s="95"/>
      <c r="C149" s="95"/>
      <c r="D149" s="95"/>
      <c r="E149" s="95"/>
      <c r="F149" s="95"/>
      <c r="G149" s="95"/>
      <c r="H149" s="95"/>
      <c r="I149" s="16"/>
      <c r="J149" s="16"/>
      <c r="K149" s="16"/>
      <c r="L149" s="16"/>
      <c r="M149" s="16"/>
      <c r="N149" s="16"/>
      <c r="O149" s="16"/>
    </row>
    <row r="150" spans="2:15" x14ac:dyDescent="0.25">
      <c r="B150" s="95"/>
      <c r="C150" s="95"/>
      <c r="D150" s="95"/>
      <c r="E150" s="95"/>
      <c r="F150" s="95"/>
      <c r="G150" s="95"/>
      <c r="H150" s="95"/>
      <c r="I150" s="16"/>
      <c r="J150" s="16"/>
      <c r="K150" s="16"/>
      <c r="L150" s="16"/>
      <c r="M150" s="16"/>
      <c r="N150" s="16"/>
      <c r="O150" s="16"/>
    </row>
    <row r="151" spans="2:15" x14ac:dyDescent="0.25">
      <c r="B151" s="95"/>
      <c r="C151" s="95"/>
      <c r="D151" s="95"/>
      <c r="E151" s="95"/>
      <c r="F151" s="95"/>
      <c r="G151" s="95"/>
      <c r="H151" s="95"/>
      <c r="I151" s="16"/>
      <c r="J151" s="16"/>
      <c r="K151" s="16"/>
      <c r="L151" s="16"/>
      <c r="M151" s="16"/>
      <c r="N151" s="16"/>
      <c r="O151" s="16"/>
    </row>
    <row r="152" spans="2:15" x14ac:dyDescent="0.25">
      <c r="B152" s="95"/>
      <c r="C152" s="95"/>
      <c r="D152" s="95"/>
      <c r="E152" s="95"/>
      <c r="F152" s="95"/>
      <c r="G152" s="95"/>
      <c r="H152" s="95"/>
      <c r="I152" s="16"/>
      <c r="J152" s="16"/>
      <c r="K152" s="16"/>
      <c r="L152" s="16"/>
      <c r="M152" s="16"/>
      <c r="N152" s="16"/>
      <c r="O152" s="16"/>
    </row>
    <row r="153" spans="2:15" x14ac:dyDescent="0.25">
      <c r="B153" s="95"/>
      <c r="C153" s="95"/>
      <c r="D153" s="95"/>
      <c r="E153" s="95"/>
      <c r="F153" s="95"/>
      <c r="G153" s="95"/>
      <c r="H153" s="95"/>
      <c r="I153" s="16"/>
      <c r="J153" s="16"/>
      <c r="K153" s="16"/>
      <c r="L153" s="16"/>
      <c r="M153" s="16"/>
      <c r="N153" s="16"/>
      <c r="O153" s="16"/>
    </row>
    <row r="154" spans="2:15" x14ac:dyDescent="0.25">
      <c r="B154" s="16"/>
      <c r="C154" s="16"/>
      <c r="D154" s="16"/>
      <c r="E154" s="16"/>
      <c r="F154" s="16"/>
      <c r="G154" s="16"/>
      <c r="H154" s="16"/>
    </row>
    <row r="155" spans="2:15" x14ac:dyDescent="0.25">
      <c r="B155" s="16"/>
      <c r="C155" s="16"/>
      <c r="D155" s="16"/>
      <c r="E155" s="16"/>
      <c r="F155" s="16"/>
      <c r="G155" s="16"/>
      <c r="H155" s="16"/>
    </row>
  </sheetData>
  <sheetProtection password="8D71" sheet="1" objects="1" scenarios="1"/>
  <protectedRanges>
    <protectedRange password="CD94" sqref="S121:XFD121 I121:O121 A121 P118:R120 P123:R125" name="Range1"/>
  </protectedRanges>
  <mergeCells count="17">
    <mergeCell ref="B87:H87"/>
    <mergeCell ref="B32:H32"/>
    <mergeCell ref="B1:H1"/>
    <mergeCell ref="B3:H3"/>
    <mergeCell ref="P11:R11"/>
    <mergeCell ref="B21:H21"/>
    <mergeCell ref="B27:H27"/>
    <mergeCell ref="B38:H38"/>
    <mergeCell ref="B39:H39"/>
    <mergeCell ref="B52:H52"/>
    <mergeCell ref="B61:H61"/>
    <mergeCell ref="B62:H62"/>
    <mergeCell ref="B115:H115"/>
    <mergeCell ref="B88:H88"/>
    <mergeCell ref="B126:H126"/>
    <mergeCell ref="B96:H96"/>
    <mergeCell ref="B108:H108"/>
  </mergeCells>
  <conditionalFormatting sqref="C143:F143">
    <cfRule type="cellIs" dxfId="41" priority="46" operator="greaterThan">
      <formula>$C$142</formula>
    </cfRule>
  </conditionalFormatting>
  <conditionalFormatting sqref="M38">
    <cfRule type="cellIs" dxfId="40" priority="40" operator="lessThan">
      <formula>$I$30</formula>
    </cfRule>
    <cfRule type="cellIs" dxfId="39" priority="41" operator="greaterThan">
      <formula>$J$38</formula>
    </cfRule>
  </conditionalFormatting>
  <conditionalFormatting sqref="F86">
    <cfRule type="cellIs" dxfId="38" priority="39" operator="lessThan">
      <formula>fsw_select/10</formula>
    </cfRule>
  </conditionalFormatting>
  <conditionalFormatting sqref="E128">
    <cfRule type="cellIs" dxfId="37" priority="37" operator="notBetween">
      <formula>1</formula>
      <formula>20</formula>
    </cfRule>
  </conditionalFormatting>
  <conditionalFormatting sqref="F132">
    <cfRule type="cellIs" dxfId="36" priority="36" operator="notBetween">
      <formula>Vout*0.99</formula>
      <formula>Vout*1.01</formula>
    </cfRule>
  </conditionalFormatting>
  <conditionalFormatting sqref="F58">
    <cfRule type="cellIs" dxfId="35" priority="34" operator="lessThan">
      <formula>$C$26</formula>
    </cfRule>
  </conditionalFormatting>
  <conditionalFormatting sqref="F106">
    <cfRule type="cellIs" dxfId="34" priority="32" operator="greaterThan">
      <formula>Vin_min</formula>
    </cfRule>
    <cfRule type="cellIs" dxfId="33" priority="33" operator="greaterThan">
      <formula>Vin_min-0.5</formula>
    </cfRule>
  </conditionalFormatting>
  <conditionalFormatting sqref="E101 E114">
    <cfRule type="cellIs" dxfId="32" priority="31" operator="notBetween">
      <formula>1</formula>
      <formula>100</formula>
    </cfRule>
  </conditionalFormatting>
  <conditionalFormatting sqref="E110">
    <cfRule type="cellIs" dxfId="31" priority="29" operator="lessThan">
      <formula>1</formula>
    </cfRule>
  </conditionalFormatting>
  <conditionalFormatting sqref="E112">
    <cfRule type="cellIs" dxfId="30" priority="30" operator="lessThan">
      <formula>0.1</formula>
    </cfRule>
  </conditionalFormatting>
  <conditionalFormatting sqref="F84">
    <cfRule type="cellIs" dxfId="29" priority="28" operator="equal">
      <formula>"BAD"</formula>
    </cfRule>
  </conditionalFormatting>
  <conditionalFormatting sqref="C99">
    <cfRule type="cellIs" dxfId="28" priority="50" operator="greaterThan">
      <formula>$C$22</formula>
    </cfRule>
  </conditionalFormatting>
  <conditionalFormatting sqref="F81:F82">
    <cfRule type="cellIs" dxfId="27" priority="51" operator="greaterThan">
      <formula>$C$64*1000</formula>
    </cfRule>
  </conditionalFormatting>
  <conditionalFormatting sqref="D42">
    <cfRule type="cellIs" dxfId="26" priority="52" operator="greaterThan">
      <formula>$E$44</formula>
    </cfRule>
  </conditionalFormatting>
  <conditionalFormatting sqref="D43">
    <cfRule type="cellIs" dxfId="25" priority="53" operator="lessThan">
      <formula>$E$44</formula>
    </cfRule>
  </conditionalFormatting>
  <conditionalFormatting sqref="F41:F46">
    <cfRule type="cellIs" dxfId="24" priority="27" operator="greaterThan">
      <formula>6</formula>
    </cfRule>
  </conditionalFormatting>
  <conditionalFormatting sqref="F79">
    <cfRule type="cellIs" dxfId="23" priority="54" operator="greaterThan">
      <formula>$D$71</formula>
    </cfRule>
    <cfRule type="cellIs" dxfId="22" priority="55" operator="lessThan">
      <formula>$D$70</formula>
    </cfRule>
  </conditionalFormatting>
  <conditionalFormatting sqref="F80">
    <cfRule type="cellIs" dxfId="21" priority="56" operator="greaterThan">
      <formula>$D$74</formula>
    </cfRule>
  </conditionalFormatting>
  <conditionalFormatting sqref="D33:D34">
    <cfRule type="cellIs" dxfId="20" priority="23" operator="lessThan">
      <formula>fsw_select</formula>
    </cfRule>
  </conditionalFormatting>
  <conditionalFormatting sqref="D36">
    <cfRule type="containsErrors" dxfId="19" priority="24">
      <formula>ISERROR(D36)</formula>
    </cfRule>
  </conditionalFormatting>
  <conditionalFormatting sqref="C35">
    <cfRule type="cellIs" dxfId="18" priority="25" operator="greaterThan">
      <formula>#REF!</formula>
    </cfRule>
    <cfRule type="cellIs" dxfId="17" priority="26" operator="notEqual">
      <formula>#REF!</formula>
    </cfRule>
  </conditionalFormatting>
  <conditionalFormatting sqref="D37">
    <cfRule type="containsErrors" dxfId="16" priority="22">
      <formula>ISERROR(D37)</formula>
    </cfRule>
  </conditionalFormatting>
  <conditionalFormatting sqref="C98">
    <cfRule type="expression" dxfId="15" priority="19">
      <formula>$C$97="Vin"</formula>
    </cfRule>
    <cfRule type="expression" dxfId="14" priority="21">
      <formula>$C$97&lt;&gt;"Vin"</formula>
    </cfRule>
  </conditionalFormatting>
  <conditionalFormatting sqref="F105">
    <cfRule type="cellIs" dxfId="13" priority="15" operator="greaterThan">
      <formula>7</formula>
    </cfRule>
    <cfRule type="expression" priority="16">
      <formula>$F$105&gt;7</formula>
    </cfRule>
  </conditionalFormatting>
  <conditionalFormatting sqref="E138">
    <cfRule type="cellIs" dxfId="12" priority="14" operator="notBetween">
      <formula>1</formula>
      <formula>20</formula>
    </cfRule>
  </conditionalFormatting>
  <conditionalFormatting sqref="F141">
    <cfRule type="cellIs" dxfId="11" priority="12" operator="lessThan">
      <formula>$F$132</formula>
    </cfRule>
    <cfRule type="cellIs" dxfId="10" priority="13" operator="notBetween">
      <formula>Vout*($D$136)*0.99</formula>
      <formula>Vout*($D$136)*1.01</formula>
    </cfRule>
  </conditionalFormatting>
  <conditionalFormatting sqref="C22:C24">
    <cfRule type="cellIs" dxfId="9" priority="10" operator="lessThan">
      <formula>3</formula>
    </cfRule>
    <cfRule type="cellIs" dxfId="8" priority="11" operator="greaterThan">
      <formula>15</formula>
    </cfRule>
  </conditionalFormatting>
  <conditionalFormatting sqref="C26">
    <cfRule type="expression" dxfId="7" priority="9">
      <formula>$C$9&lt;$C$26</formula>
    </cfRule>
  </conditionalFormatting>
  <conditionalFormatting sqref="E122">
    <cfRule type="cellIs" dxfId="6" priority="4" operator="lessThan">
      <formula>0.1</formula>
    </cfRule>
  </conditionalFormatting>
  <dataValidations count="3">
    <dataValidation type="list" allowBlank="1" showInputMessage="1" showErrorMessage="1" sqref="C151:F152">
      <formula1>$K$42:$K$103</formula1>
    </dataValidation>
    <dataValidation type="decimal" errorStyle="warning" allowBlank="1" showInputMessage="1" showErrorMessage="1" error="Re-adjust Divider Ratio" sqref="M38">
      <formula1>I30</formula1>
      <formula2>J38</formula2>
    </dataValidation>
    <dataValidation type="list" allowBlank="1" showInputMessage="1" showErrorMessage="1" sqref="C108:F108 C96:F96 C115:F115">
      <formula1>$L$4:$L$38</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decimal" operator="lessThanOrEqual" allowBlank="1" showErrorMessage="1" error="Minimum Input Voltage" promptTitle="Minimum Input Voltage" prompt="Minimum Input Voltage">
          <x14:formula1>
            <xm:f>VLOOKUP(C3,[1]partData!#REF!,2,FALSE)</xm:f>
          </x14:formula1>
          <xm:sqref>C5:F6</xm:sqref>
        </x14:dataValidation>
        <x14:dataValidation type="list" allowBlank="1" showInputMessage="1" showErrorMessage="1">
          <x14:formula1>
            <xm:f>partData!$O$20:$O$21</xm:f>
          </x14:formula1>
          <xm:sqref>E29</xm:sqref>
        </x14:dataValidation>
        <x14:dataValidation type="list" allowBlank="1" showInputMessage="1" showErrorMessage="1">
          <x14:formula1>
            <xm:f>partData!$N$17:$N$20</xm:f>
          </x14:formula1>
          <xm:sqref>E28</xm:sqref>
        </x14:dataValidation>
        <x14:dataValidation type="list" allowBlank="1" showInputMessage="1" showErrorMessage="1">
          <x14:formula1>
            <xm:f>partData!$H$17:$H$24</xm:f>
          </x14:formula1>
          <xm:sqref>C35</xm:sqref>
        </x14:dataValidation>
        <x14:dataValidation type="list" allowBlank="1" showInputMessage="1" showErrorMessage="1">
          <x14:formula1>
            <xm:f>partData!$A$3:$A$4</xm:f>
          </x14:formula1>
          <xm:sqref>C4</xm:sqref>
        </x14:dataValidation>
        <x14:dataValidation type="list" allowBlank="1" showInputMessage="1" showErrorMessage="1">
          <x14:formula1>
            <xm:f>Extra!$E$2:$E$3</xm:f>
          </x14:formula1>
          <xm:sqref>C97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55"/>
  <sheetViews>
    <sheetView zoomScale="90" zoomScaleNormal="90" workbookViewId="0">
      <pane ySplit="1" topLeftCell="A2" activePane="bottomLeft" state="frozen"/>
      <selection pane="bottomLeft" activeCell="F3" sqref="F3"/>
    </sheetView>
  </sheetViews>
  <sheetFormatPr defaultColWidth="9.140625" defaultRowHeight="15" x14ac:dyDescent="0.25"/>
  <cols>
    <col min="1" max="1" width="15.28515625" style="196" customWidth="1"/>
    <col min="2" max="2" width="15.28515625" style="196" bestFit="1" customWidth="1"/>
    <col min="3" max="3" width="20.28515625" style="196" customWidth="1"/>
    <col min="4" max="4" width="50" style="196" customWidth="1"/>
    <col min="5" max="5" width="38.85546875" style="196" customWidth="1"/>
    <col min="6" max="6" width="24.42578125" style="197" customWidth="1"/>
    <col min="7" max="7" width="16.42578125" style="197" customWidth="1"/>
    <col min="8" max="8" width="14" style="198" customWidth="1"/>
    <col min="9" max="9" width="27.7109375" style="180" bestFit="1" customWidth="1"/>
    <col min="10" max="15" width="9.140625" style="176"/>
    <col min="16" max="16384" width="9.140625" style="171"/>
  </cols>
  <sheetData>
    <row r="1" spans="1:15" s="202" customFormat="1" ht="45.75" thickBot="1" x14ac:dyDescent="0.3">
      <c r="A1" s="203" t="s">
        <v>2</v>
      </c>
      <c r="B1" s="203" t="s">
        <v>0</v>
      </c>
      <c r="C1" s="203" t="s">
        <v>3</v>
      </c>
      <c r="D1" s="203" t="s">
        <v>6</v>
      </c>
      <c r="E1" s="203" t="s">
        <v>12</v>
      </c>
      <c r="F1" s="204" t="s">
        <v>92</v>
      </c>
      <c r="G1" s="204" t="s">
        <v>385</v>
      </c>
      <c r="H1" s="205" t="s">
        <v>71</v>
      </c>
      <c r="I1" s="199" t="s">
        <v>7</v>
      </c>
    </row>
    <row r="2" spans="1:15" ht="13.9" customHeight="1" x14ac:dyDescent="0.25">
      <c r="A2" s="273" t="s">
        <v>26</v>
      </c>
      <c r="B2" s="274"/>
      <c r="C2" s="274"/>
      <c r="D2" s="274"/>
      <c r="E2" s="274"/>
      <c r="F2" s="274"/>
      <c r="G2" s="274"/>
      <c r="H2" s="275"/>
      <c r="I2" s="170"/>
      <c r="J2" s="171"/>
      <c r="K2" s="171"/>
      <c r="L2" s="171"/>
      <c r="M2" s="171"/>
      <c r="N2" s="171"/>
      <c r="O2" s="171"/>
    </row>
    <row r="3" spans="1:15" s="176" customFormat="1" ht="30" x14ac:dyDescent="0.25">
      <c r="A3" s="172">
        <v>1</v>
      </c>
      <c r="B3" s="172" t="s">
        <v>25</v>
      </c>
      <c r="C3" s="173" t="s">
        <v>52</v>
      </c>
      <c r="D3" s="174" t="s">
        <v>36</v>
      </c>
      <c r="E3" s="174"/>
      <c r="F3" s="175" t="str">
        <f>CONCATENATE(partData!A19, partData!A20)</f>
        <v>Top Resistor: 5.399
Bottom Resistor: 10</v>
      </c>
      <c r="G3" s="175" t="str">
        <f>'Device Calculator'!G128</f>
        <v>kΩ</v>
      </c>
      <c r="H3" s="134" t="s">
        <v>5</v>
      </c>
      <c r="I3" s="199"/>
    </row>
    <row r="4" spans="1:15" s="176" customFormat="1" ht="30" x14ac:dyDescent="0.25">
      <c r="A4" s="177">
        <v>1</v>
      </c>
      <c r="B4" s="172" t="s">
        <v>25</v>
      </c>
      <c r="C4" s="173" t="s">
        <v>52</v>
      </c>
      <c r="D4" s="174" t="s">
        <v>37</v>
      </c>
      <c r="E4" s="174"/>
      <c r="F4" s="175"/>
      <c r="G4" s="175"/>
      <c r="H4" s="134" t="s">
        <v>5</v>
      </c>
      <c r="I4" s="199"/>
    </row>
    <row r="5" spans="1:15" s="176" customFormat="1" ht="90" x14ac:dyDescent="0.25">
      <c r="A5" s="172">
        <v>1</v>
      </c>
      <c r="B5" s="172" t="s">
        <v>25</v>
      </c>
      <c r="C5" s="173" t="s">
        <v>52</v>
      </c>
      <c r="D5" s="178" t="s">
        <v>19</v>
      </c>
      <c r="E5" s="178" t="s">
        <v>20</v>
      </c>
      <c r="F5" s="179"/>
      <c r="G5" s="179"/>
      <c r="H5" s="134" t="s">
        <v>5</v>
      </c>
      <c r="I5" s="200"/>
    </row>
    <row r="6" spans="1:15" x14ac:dyDescent="0.25">
      <c r="A6" s="181"/>
      <c r="B6" s="181"/>
      <c r="C6" s="182"/>
      <c r="D6" s="183"/>
      <c r="E6" s="183"/>
      <c r="F6" s="184"/>
      <c r="G6" s="184"/>
      <c r="H6" s="185"/>
      <c r="J6" s="171"/>
      <c r="K6" s="171"/>
      <c r="L6" s="171"/>
      <c r="M6" s="171"/>
      <c r="N6" s="171"/>
      <c r="O6" s="171"/>
    </row>
    <row r="7" spans="1:15" x14ac:dyDescent="0.25">
      <c r="A7" s="181"/>
      <c r="B7" s="181"/>
      <c r="C7" s="182"/>
      <c r="D7" s="183"/>
      <c r="E7" s="183"/>
      <c r="F7" s="184"/>
      <c r="G7" s="184"/>
      <c r="H7" s="185"/>
      <c r="J7" s="171"/>
      <c r="K7" s="171"/>
      <c r="L7" s="171"/>
      <c r="M7" s="171"/>
      <c r="N7" s="171"/>
      <c r="O7" s="171"/>
    </row>
    <row r="8" spans="1:15" s="176" customFormat="1" x14ac:dyDescent="0.25">
      <c r="A8" s="272" t="s">
        <v>13</v>
      </c>
      <c r="B8" s="272"/>
      <c r="C8" s="272"/>
      <c r="D8" s="272"/>
      <c r="E8" s="272"/>
      <c r="F8" s="272"/>
      <c r="G8" s="272"/>
      <c r="H8" s="272"/>
      <c r="I8" s="180"/>
    </row>
    <row r="9" spans="1:15" s="176" customFormat="1" ht="90" x14ac:dyDescent="0.25">
      <c r="A9" s="172">
        <v>2</v>
      </c>
      <c r="B9" s="172" t="s">
        <v>22</v>
      </c>
      <c r="C9" s="174" t="s">
        <v>57</v>
      </c>
      <c r="D9" s="174" t="s">
        <v>35</v>
      </c>
      <c r="E9" s="178" t="s">
        <v>58</v>
      </c>
      <c r="F9" s="179"/>
      <c r="G9" s="179"/>
      <c r="H9" s="134" t="s">
        <v>5</v>
      </c>
      <c r="I9" s="200"/>
    </row>
    <row r="10" spans="1:15" ht="213.75" customHeight="1" x14ac:dyDescent="0.25">
      <c r="A10" s="172">
        <v>20</v>
      </c>
      <c r="B10" s="172" t="s">
        <v>10</v>
      </c>
      <c r="C10" s="174" t="s">
        <v>53</v>
      </c>
      <c r="D10" s="174" t="s">
        <v>54</v>
      </c>
      <c r="E10" s="174"/>
      <c r="F10" s="175" t="str">
        <f>CONCATENATE('Device Calculator'!D30,VLOOKUP('Device Calculator'!D31,partData!B17:C20,2,0))</f>
        <v>39
Connect to GND</v>
      </c>
      <c r="G10" s="175" t="str">
        <f>'Device Calculator'!G30</f>
        <v>kΩ</v>
      </c>
      <c r="H10" s="134" t="s">
        <v>5</v>
      </c>
      <c r="I10" s="201"/>
      <c r="J10" s="171"/>
      <c r="K10" s="171"/>
      <c r="L10" s="171"/>
      <c r="M10" s="171"/>
      <c r="N10" s="171"/>
      <c r="O10" s="171"/>
    </row>
    <row r="11" spans="1:15" ht="60" x14ac:dyDescent="0.25">
      <c r="A11" s="172">
        <v>20</v>
      </c>
      <c r="B11" s="172" t="s">
        <v>10</v>
      </c>
      <c r="C11" s="174" t="s">
        <v>53</v>
      </c>
      <c r="D11" s="174" t="s">
        <v>38</v>
      </c>
      <c r="E11" s="174" t="s">
        <v>39</v>
      </c>
      <c r="F11" s="175"/>
      <c r="G11" s="175"/>
      <c r="H11" s="134" t="s">
        <v>5</v>
      </c>
      <c r="I11" s="201"/>
      <c r="J11" s="171"/>
      <c r="K11" s="171"/>
      <c r="L11" s="171"/>
      <c r="M11" s="171"/>
      <c r="N11" s="171"/>
      <c r="O11" s="171"/>
    </row>
    <row r="12" spans="1:15" ht="197.25" customHeight="1" x14ac:dyDescent="0.25">
      <c r="A12" s="172">
        <v>22</v>
      </c>
      <c r="B12" s="172" t="s">
        <v>23</v>
      </c>
      <c r="C12" s="186" t="s">
        <v>56</v>
      </c>
      <c r="D12" s="174" t="s">
        <v>55</v>
      </c>
      <c r="E12" s="174"/>
      <c r="F12" s="175" t="str">
        <f>CONCATENATE('Device Calculator'!D36,VLOOKUP('Device Calculator'!D37,partData!B19:C22,2,0))</f>
        <v>124
Connect to VREG</v>
      </c>
      <c r="G12" s="175" t="str">
        <f>'Device Calculator'!G36</f>
        <v>kΩ</v>
      </c>
      <c r="H12" s="134" t="s">
        <v>5</v>
      </c>
      <c r="I12" s="201"/>
      <c r="J12" s="171"/>
      <c r="K12" s="171"/>
      <c r="L12" s="171"/>
      <c r="M12" s="171"/>
      <c r="N12" s="171"/>
      <c r="O12" s="171"/>
    </row>
    <row r="13" spans="1:15" s="176" customFormat="1" ht="30" x14ac:dyDescent="0.25">
      <c r="A13" s="172">
        <v>3</v>
      </c>
      <c r="B13" s="172" t="s">
        <v>11</v>
      </c>
      <c r="C13" s="174" t="s">
        <v>59</v>
      </c>
      <c r="D13" s="178" t="s">
        <v>40</v>
      </c>
      <c r="E13" s="178"/>
      <c r="F13" s="179">
        <v>100</v>
      </c>
      <c r="G13" s="179" t="s">
        <v>131</v>
      </c>
      <c r="H13" s="134" t="s">
        <v>5</v>
      </c>
      <c r="I13" s="200"/>
    </row>
    <row r="14" spans="1:15" s="176" customFormat="1" ht="30" x14ac:dyDescent="0.25">
      <c r="A14" s="172">
        <v>21</v>
      </c>
      <c r="B14" s="172" t="s">
        <v>24</v>
      </c>
      <c r="C14" s="174" t="s">
        <v>60</v>
      </c>
      <c r="D14" s="178" t="s">
        <v>41</v>
      </c>
      <c r="E14" s="178"/>
      <c r="F14" s="187">
        <f>'Device Calculator'!D55</f>
        <v>212.70661460892046</v>
      </c>
      <c r="G14" s="187" t="str">
        <f>'Device Calculator'!G55</f>
        <v>kΩ</v>
      </c>
      <c r="H14" s="134" t="s">
        <v>5</v>
      </c>
      <c r="I14" s="200"/>
    </row>
    <row r="15" spans="1:15" s="176" customFormat="1" ht="60" x14ac:dyDescent="0.25">
      <c r="A15" s="172">
        <v>5</v>
      </c>
      <c r="B15" s="172" t="s">
        <v>418</v>
      </c>
      <c r="C15" s="231" t="s">
        <v>419</v>
      </c>
      <c r="D15" s="178" t="s">
        <v>420</v>
      </c>
      <c r="E15" s="178"/>
      <c r="F15" s="175" t="str">
        <f>CONCATENATE(partData!A31, partData!A32)</f>
        <v/>
      </c>
      <c r="G15" s="187"/>
      <c r="H15" s="134"/>
      <c r="I15" s="200"/>
    </row>
    <row r="16" spans="1:15" s="176" customFormat="1" x14ac:dyDescent="0.25">
      <c r="A16" s="181"/>
      <c r="B16" s="181"/>
      <c r="C16" s="182"/>
      <c r="D16" s="182"/>
      <c r="E16" s="182"/>
      <c r="F16" s="188"/>
      <c r="G16" s="188"/>
      <c r="H16" s="185"/>
      <c r="I16" s="180"/>
      <c r="M16" s="189"/>
    </row>
    <row r="17" spans="1:15" s="176" customFormat="1" x14ac:dyDescent="0.25">
      <c r="A17" s="181"/>
      <c r="B17" s="181"/>
      <c r="C17" s="182"/>
      <c r="D17" s="182"/>
      <c r="E17" s="182"/>
      <c r="F17" s="188"/>
      <c r="G17" s="188"/>
      <c r="H17" s="190"/>
      <c r="I17" s="180"/>
      <c r="M17" s="189"/>
    </row>
    <row r="18" spans="1:15" s="176" customFormat="1" x14ac:dyDescent="0.25">
      <c r="A18" s="272" t="s">
        <v>8</v>
      </c>
      <c r="B18" s="272"/>
      <c r="C18" s="272"/>
      <c r="D18" s="272"/>
      <c r="E18" s="272"/>
      <c r="F18" s="272"/>
      <c r="G18" s="272"/>
      <c r="H18" s="272"/>
      <c r="I18" s="180"/>
    </row>
    <row r="19" spans="1:15" s="176" customFormat="1" ht="60" x14ac:dyDescent="0.25">
      <c r="A19" s="174">
        <v>4</v>
      </c>
      <c r="B19" s="174" t="s">
        <v>27</v>
      </c>
      <c r="C19" s="173" t="s">
        <v>61</v>
      </c>
      <c r="D19" s="174" t="s">
        <v>63</v>
      </c>
      <c r="E19" s="178"/>
      <c r="F19" s="179"/>
      <c r="G19" s="179"/>
      <c r="H19" s="134" t="s">
        <v>5</v>
      </c>
      <c r="I19" s="200"/>
    </row>
    <row r="20" spans="1:15" s="176" customFormat="1" ht="45" x14ac:dyDescent="0.25">
      <c r="A20" s="174">
        <v>4</v>
      </c>
      <c r="B20" s="174" t="s">
        <v>27</v>
      </c>
      <c r="C20" s="173" t="s">
        <v>61</v>
      </c>
      <c r="D20" s="178" t="s">
        <v>62</v>
      </c>
      <c r="E20" s="178"/>
      <c r="F20" s="179"/>
      <c r="G20" s="179"/>
      <c r="H20" s="134" t="s">
        <v>5</v>
      </c>
      <c r="I20" s="200"/>
    </row>
    <row r="21" spans="1:15" s="176" customFormat="1" ht="30" x14ac:dyDescent="0.25">
      <c r="A21" s="174" t="s">
        <v>33</v>
      </c>
      <c r="B21" s="174" t="s">
        <v>28</v>
      </c>
      <c r="C21" s="178" t="s">
        <v>64</v>
      </c>
      <c r="D21" s="178" t="s">
        <v>90</v>
      </c>
      <c r="E21" s="178"/>
      <c r="F21" s="191"/>
      <c r="G21" s="191"/>
      <c r="H21" s="134" t="s">
        <v>5</v>
      </c>
      <c r="I21" s="200"/>
    </row>
    <row r="22" spans="1:15" ht="45" x14ac:dyDescent="0.25">
      <c r="A22" s="174" t="s">
        <v>33</v>
      </c>
      <c r="B22" s="174" t="s">
        <v>28</v>
      </c>
      <c r="C22" s="178" t="s">
        <v>64</v>
      </c>
      <c r="D22" s="178" t="s">
        <v>65</v>
      </c>
      <c r="E22" s="178"/>
      <c r="F22" s="179" t="s">
        <v>406</v>
      </c>
      <c r="G22" s="179" t="s">
        <v>407</v>
      </c>
      <c r="H22" s="134" t="s">
        <v>5</v>
      </c>
      <c r="I22" s="200"/>
      <c r="J22" s="171"/>
      <c r="K22" s="171"/>
      <c r="L22" s="171"/>
      <c r="M22" s="171"/>
      <c r="N22" s="171"/>
      <c r="O22" s="171"/>
    </row>
    <row r="23" spans="1:15" ht="60" x14ac:dyDescent="0.25">
      <c r="A23" s="174" t="s">
        <v>34</v>
      </c>
      <c r="B23" s="174" t="s">
        <v>29</v>
      </c>
      <c r="C23" s="178" t="s">
        <v>66</v>
      </c>
      <c r="D23" s="178" t="s">
        <v>42</v>
      </c>
      <c r="E23" s="178"/>
      <c r="F23" s="179">
        <f>'Device Calculator'!D92</f>
        <v>10</v>
      </c>
      <c r="G23" s="179" t="str">
        <f>'Device Calculator'!G92</f>
        <v>µF</v>
      </c>
      <c r="H23" s="134" t="s">
        <v>5</v>
      </c>
      <c r="I23" s="200"/>
      <c r="J23" s="171"/>
      <c r="K23" s="171"/>
      <c r="L23" s="171"/>
      <c r="M23" s="171"/>
      <c r="N23" s="171"/>
      <c r="O23" s="171"/>
    </row>
    <row r="24" spans="1:15" ht="45" x14ac:dyDescent="0.25">
      <c r="A24" s="174" t="s">
        <v>34</v>
      </c>
      <c r="B24" s="174" t="s">
        <v>29</v>
      </c>
      <c r="C24" s="178" t="s">
        <v>66</v>
      </c>
      <c r="D24" s="178" t="s">
        <v>43</v>
      </c>
      <c r="E24" s="178"/>
      <c r="F24" s="179"/>
      <c r="G24" s="179"/>
      <c r="H24" s="134" t="s">
        <v>5</v>
      </c>
      <c r="I24" s="200"/>
      <c r="J24" s="171"/>
      <c r="K24" s="171"/>
      <c r="L24" s="171"/>
      <c r="M24" s="171"/>
      <c r="N24" s="171"/>
      <c r="O24" s="171"/>
    </row>
    <row r="25" spans="1:15" ht="30" x14ac:dyDescent="0.25">
      <c r="A25" s="174" t="s">
        <v>34</v>
      </c>
      <c r="B25" s="174" t="s">
        <v>29</v>
      </c>
      <c r="C25" s="178" t="s">
        <v>66</v>
      </c>
      <c r="D25" s="178" t="s">
        <v>44</v>
      </c>
      <c r="E25" s="178"/>
      <c r="F25" s="179"/>
      <c r="G25" s="179"/>
      <c r="H25" s="134" t="s">
        <v>5</v>
      </c>
      <c r="I25" s="200"/>
      <c r="J25" s="171"/>
      <c r="K25" s="171"/>
      <c r="L25" s="171"/>
      <c r="M25" s="171"/>
      <c r="N25" s="171"/>
      <c r="O25" s="171"/>
    </row>
    <row r="26" spans="1:15" ht="45" x14ac:dyDescent="0.25">
      <c r="A26" s="174" t="s">
        <v>15</v>
      </c>
      <c r="B26" s="174" t="s">
        <v>134</v>
      </c>
      <c r="C26" s="178" t="s">
        <v>403</v>
      </c>
      <c r="D26" s="178" t="s">
        <v>405</v>
      </c>
      <c r="E26" s="178"/>
      <c r="F26" s="192">
        <f>'Device Calculator'!$D$41</f>
        <v>0.16762594268476624</v>
      </c>
      <c r="G26" s="179" t="str">
        <f>'Device Calculator'!$G$41</f>
        <v>µH</v>
      </c>
      <c r="H26" s="134" t="s">
        <v>5</v>
      </c>
      <c r="I26" s="200"/>
      <c r="J26" s="171"/>
      <c r="K26" s="171"/>
      <c r="L26" s="171"/>
      <c r="M26" s="171"/>
      <c r="N26" s="171"/>
      <c r="O26" s="171"/>
    </row>
    <row r="27" spans="1:15" ht="45" x14ac:dyDescent="0.25">
      <c r="A27" s="193" t="s">
        <v>15</v>
      </c>
      <c r="B27" s="174" t="s">
        <v>21</v>
      </c>
      <c r="C27" s="178" t="s">
        <v>50</v>
      </c>
      <c r="D27" s="178" t="s">
        <v>404</v>
      </c>
      <c r="E27" s="178"/>
      <c r="F27" s="194">
        <f>'Device Calculator'!D70</f>
        <v>775.34262759924377</v>
      </c>
      <c r="G27" s="194" t="str">
        <f>'Device Calculator'!G70</f>
        <v>µF</v>
      </c>
      <c r="H27" s="134" t="s">
        <v>5</v>
      </c>
      <c r="I27" s="200"/>
      <c r="J27" s="171"/>
      <c r="K27" s="171"/>
      <c r="L27" s="171"/>
      <c r="M27" s="171"/>
      <c r="N27" s="171"/>
      <c r="O27" s="171"/>
    </row>
    <row r="28" spans="1:15" ht="135" x14ac:dyDescent="0.25">
      <c r="A28" s="193" t="s">
        <v>15</v>
      </c>
      <c r="B28" s="174" t="s">
        <v>21</v>
      </c>
      <c r="C28" s="178" t="s">
        <v>50</v>
      </c>
      <c r="D28" s="178" t="s">
        <v>45</v>
      </c>
      <c r="E28" s="178"/>
      <c r="F28" s="179"/>
      <c r="G28" s="179"/>
      <c r="H28" s="134" t="s">
        <v>5</v>
      </c>
      <c r="I28" s="200"/>
      <c r="J28" s="171"/>
      <c r="K28" s="171"/>
      <c r="L28" s="171"/>
      <c r="M28" s="171"/>
      <c r="N28" s="171"/>
      <c r="O28" s="171"/>
    </row>
    <row r="29" spans="1:15" ht="45" x14ac:dyDescent="0.25">
      <c r="A29" s="193" t="s">
        <v>15</v>
      </c>
      <c r="B29" s="174" t="s">
        <v>30</v>
      </c>
      <c r="C29" s="178" t="s">
        <v>51</v>
      </c>
      <c r="D29" s="178" t="s">
        <v>46</v>
      </c>
      <c r="E29" s="178"/>
      <c r="F29" s="179"/>
      <c r="G29" s="179"/>
      <c r="H29" s="134" t="s">
        <v>5</v>
      </c>
      <c r="I29" s="200"/>
      <c r="J29" s="171"/>
      <c r="K29" s="171"/>
      <c r="L29" s="171"/>
      <c r="M29" s="171"/>
      <c r="N29" s="171"/>
      <c r="O29" s="171"/>
    </row>
    <row r="30" spans="1:15" ht="60" x14ac:dyDescent="0.25">
      <c r="A30" s="193" t="s">
        <v>15</v>
      </c>
      <c r="B30" s="174" t="s">
        <v>30</v>
      </c>
      <c r="C30" s="178" t="s">
        <v>51</v>
      </c>
      <c r="D30" s="178" t="s">
        <v>47</v>
      </c>
      <c r="E30" s="178"/>
      <c r="F30" s="179"/>
      <c r="G30" s="179"/>
      <c r="H30" s="134" t="s">
        <v>5</v>
      </c>
      <c r="I30" s="200"/>
      <c r="J30" s="171"/>
      <c r="K30" s="171"/>
      <c r="L30" s="171"/>
      <c r="M30" s="171"/>
      <c r="N30" s="171"/>
      <c r="O30" s="171"/>
    </row>
    <row r="31" spans="1:15" x14ac:dyDescent="0.25">
      <c r="A31" s="181"/>
      <c r="B31" s="181"/>
      <c r="C31" s="182"/>
      <c r="D31" s="182"/>
      <c r="E31" s="182"/>
      <c r="F31" s="188"/>
      <c r="G31" s="188"/>
      <c r="H31" s="185"/>
      <c r="J31" s="171"/>
      <c r="K31" s="171"/>
      <c r="L31" s="171"/>
      <c r="M31" s="171"/>
      <c r="N31" s="171"/>
      <c r="O31" s="171"/>
    </row>
    <row r="32" spans="1:15" x14ac:dyDescent="0.25">
      <c r="A32" s="181"/>
      <c r="B32" s="181"/>
      <c r="C32" s="182"/>
      <c r="D32" s="182"/>
      <c r="E32" s="182"/>
      <c r="F32" s="188"/>
      <c r="G32" s="188"/>
      <c r="H32" s="188"/>
      <c r="I32" s="170"/>
      <c r="J32" s="171"/>
      <c r="K32" s="171"/>
      <c r="L32" s="171"/>
      <c r="M32" s="171"/>
      <c r="N32" s="171"/>
      <c r="O32" s="171"/>
    </row>
    <row r="33" spans="1:15" x14ac:dyDescent="0.25">
      <c r="A33" s="272" t="s">
        <v>31</v>
      </c>
      <c r="B33" s="272"/>
      <c r="C33" s="272"/>
      <c r="D33" s="272"/>
      <c r="E33" s="272"/>
      <c r="F33" s="272"/>
      <c r="G33" s="272"/>
      <c r="H33" s="272"/>
      <c r="I33" s="170"/>
      <c r="J33" s="171"/>
      <c r="K33" s="171"/>
      <c r="L33" s="171"/>
      <c r="M33" s="171"/>
      <c r="N33" s="171"/>
      <c r="O33" s="171"/>
    </row>
    <row r="34" spans="1:15" ht="90" x14ac:dyDescent="0.25">
      <c r="A34" s="174">
        <v>19</v>
      </c>
      <c r="B34" s="174" t="s">
        <v>9</v>
      </c>
      <c r="C34" s="173" t="s">
        <v>67</v>
      </c>
      <c r="D34" s="178" t="s">
        <v>408</v>
      </c>
      <c r="E34" s="178"/>
      <c r="F34" s="179">
        <v>4.7</v>
      </c>
      <c r="G34" s="179" t="s">
        <v>386</v>
      </c>
      <c r="H34" s="134" t="s">
        <v>5</v>
      </c>
      <c r="I34" s="199"/>
      <c r="J34" s="171"/>
      <c r="K34" s="171"/>
      <c r="L34" s="171"/>
      <c r="M34" s="171"/>
      <c r="N34" s="171"/>
      <c r="O34" s="171"/>
    </row>
    <row r="35" spans="1:15" ht="75" x14ac:dyDescent="0.25">
      <c r="A35" s="174">
        <v>19</v>
      </c>
      <c r="B35" s="174" t="s">
        <v>9</v>
      </c>
      <c r="C35" s="195" t="s">
        <v>67</v>
      </c>
      <c r="D35" s="178" t="s">
        <v>409</v>
      </c>
      <c r="E35" s="178"/>
      <c r="F35" s="179">
        <v>4.7</v>
      </c>
      <c r="G35" s="179" t="s">
        <v>386</v>
      </c>
      <c r="H35" s="134" t="s">
        <v>5</v>
      </c>
      <c r="I35" s="199"/>
      <c r="J35" s="171"/>
      <c r="K35" s="171"/>
      <c r="L35" s="171"/>
      <c r="M35" s="171"/>
      <c r="N35" s="171"/>
      <c r="O35" s="171"/>
    </row>
    <row r="36" spans="1:15" ht="75" x14ac:dyDescent="0.25">
      <c r="A36" s="174">
        <v>18</v>
      </c>
      <c r="B36" s="174" t="s">
        <v>32</v>
      </c>
      <c r="C36" s="178" t="s">
        <v>68</v>
      </c>
      <c r="D36" s="178" t="s">
        <v>48</v>
      </c>
      <c r="E36" s="178" t="s">
        <v>49</v>
      </c>
      <c r="F36" s="179">
        <v>1</v>
      </c>
      <c r="G36" s="179" t="s">
        <v>386</v>
      </c>
      <c r="H36" s="134" t="s">
        <v>5</v>
      </c>
      <c r="I36" s="199"/>
      <c r="J36" s="171"/>
      <c r="K36" s="171"/>
      <c r="L36" s="171"/>
      <c r="M36" s="171"/>
      <c r="N36" s="171"/>
      <c r="O36" s="171"/>
    </row>
    <row r="37" spans="1:15" x14ac:dyDescent="0.25">
      <c r="H37" s="185"/>
      <c r="I37" s="170"/>
      <c r="J37" s="171"/>
      <c r="K37" s="171"/>
      <c r="L37" s="171"/>
      <c r="M37" s="171"/>
      <c r="N37" s="171"/>
      <c r="O37" s="171"/>
    </row>
    <row r="38" spans="1:15" x14ac:dyDescent="0.25">
      <c r="H38" s="185"/>
      <c r="I38" s="170"/>
      <c r="J38" s="171"/>
      <c r="K38" s="171"/>
      <c r="L38" s="171"/>
      <c r="M38" s="171"/>
      <c r="N38" s="171"/>
      <c r="O38" s="171"/>
    </row>
    <row r="39" spans="1:15" x14ac:dyDescent="0.25">
      <c r="A39" s="170"/>
      <c r="B39" s="171"/>
      <c r="C39" s="171"/>
      <c r="D39" s="171"/>
      <c r="E39" s="171"/>
      <c r="F39" s="171"/>
      <c r="G39" s="171"/>
      <c r="H39" s="171"/>
      <c r="I39" s="171"/>
      <c r="J39" s="171"/>
      <c r="K39" s="171"/>
      <c r="L39" s="171"/>
      <c r="M39" s="171"/>
      <c r="N39" s="171"/>
      <c r="O39" s="171"/>
    </row>
    <row r="40" spans="1:15" x14ac:dyDescent="0.25">
      <c r="A40" s="202"/>
      <c r="B40" s="171"/>
      <c r="C40" s="171"/>
      <c r="D40" s="171"/>
      <c r="E40" s="171"/>
      <c r="F40" s="171"/>
      <c r="G40" s="171"/>
      <c r="H40" s="171"/>
      <c r="I40" s="171"/>
      <c r="J40" s="171"/>
      <c r="K40" s="171"/>
      <c r="L40" s="171"/>
      <c r="M40" s="171"/>
      <c r="N40" s="171"/>
      <c r="O40" s="171"/>
    </row>
    <row r="41" spans="1:15" x14ac:dyDescent="0.25">
      <c r="H41" s="184"/>
      <c r="I41" s="171"/>
      <c r="J41" s="171"/>
      <c r="K41" s="171"/>
      <c r="L41" s="171"/>
      <c r="M41" s="171"/>
      <c r="N41" s="171"/>
      <c r="O41" s="171"/>
    </row>
    <row r="42" spans="1:15" x14ac:dyDescent="0.25">
      <c r="H42" s="184"/>
      <c r="I42" s="171"/>
      <c r="J42" s="171"/>
      <c r="K42" s="171"/>
      <c r="L42" s="171"/>
      <c r="M42" s="171"/>
      <c r="N42" s="171"/>
      <c r="O42" s="171"/>
    </row>
    <row r="43" spans="1:15" x14ac:dyDescent="0.25">
      <c r="H43" s="184"/>
      <c r="I43" s="171"/>
      <c r="J43" s="171"/>
      <c r="K43" s="171"/>
      <c r="L43" s="171"/>
      <c r="M43" s="171"/>
      <c r="N43" s="171"/>
      <c r="O43" s="171"/>
    </row>
    <row r="44" spans="1:15" ht="12.75" customHeight="1" x14ac:dyDescent="0.25">
      <c r="H44" s="184"/>
      <c r="I44" s="171"/>
      <c r="J44" s="171"/>
      <c r="K44" s="171"/>
      <c r="L44" s="171"/>
      <c r="M44" s="171"/>
      <c r="N44" s="171"/>
      <c r="O44" s="171"/>
    </row>
    <row r="45" spans="1:15" ht="12.75" customHeight="1" x14ac:dyDescent="0.25">
      <c r="H45" s="184"/>
      <c r="I45" s="171"/>
      <c r="J45" s="171"/>
      <c r="K45" s="171"/>
      <c r="L45" s="171"/>
      <c r="M45" s="171"/>
      <c r="N45" s="171"/>
      <c r="O45" s="171"/>
    </row>
    <row r="46" spans="1:15" x14ac:dyDescent="0.25">
      <c r="H46" s="184"/>
      <c r="I46" s="171"/>
      <c r="J46" s="171"/>
      <c r="K46" s="171"/>
      <c r="L46" s="171"/>
      <c r="M46" s="171"/>
      <c r="N46" s="171"/>
      <c r="O46" s="171"/>
    </row>
    <row r="47" spans="1:15" x14ac:dyDescent="0.25">
      <c r="H47" s="188"/>
      <c r="I47" s="176"/>
      <c r="O47" s="171"/>
    </row>
    <row r="48" spans="1:15" x14ac:dyDescent="0.25">
      <c r="H48" s="188"/>
      <c r="I48" s="176"/>
      <c r="O48" s="171"/>
    </row>
    <row r="49" spans="8:15" x14ac:dyDescent="0.25">
      <c r="H49" s="188"/>
      <c r="I49" s="176"/>
      <c r="O49" s="171"/>
    </row>
    <row r="50" spans="8:15" x14ac:dyDescent="0.25">
      <c r="H50" s="188"/>
      <c r="I50" s="176"/>
      <c r="O50" s="171"/>
    </row>
    <row r="51" spans="8:15" x14ac:dyDescent="0.25">
      <c r="H51" s="188"/>
      <c r="I51" s="176"/>
      <c r="O51" s="171"/>
    </row>
    <row r="52" spans="8:15" x14ac:dyDescent="0.25">
      <c r="H52" s="188"/>
      <c r="I52" s="176"/>
      <c r="O52" s="171"/>
    </row>
    <row r="53" spans="8:15" x14ac:dyDescent="0.25">
      <c r="H53" s="188"/>
      <c r="I53" s="176"/>
      <c r="O53" s="171"/>
    </row>
    <row r="54" spans="8:15" x14ac:dyDescent="0.25">
      <c r="H54" s="188"/>
      <c r="I54" s="176"/>
      <c r="O54" s="171"/>
    </row>
    <row r="55" spans="8:15" x14ac:dyDescent="0.25">
      <c r="H55" s="188"/>
      <c r="I55" s="176"/>
      <c r="O55" s="171"/>
    </row>
  </sheetData>
  <autoFilter ref="A1:O55"/>
  <mergeCells count="4">
    <mergeCell ref="A18:H18"/>
    <mergeCell ref="A33:H33"/>
    <mergeCell ref="A2:H2"/>
    <mergeCell ref="A8:H8"/>
  </mergeCells>
  <pageMargins left="0.7" right="0.7" top="0.75" bottom="0.75" header="0.3" footer="0.3"/>
  <pageSetup scale="82"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5" operator="equal" id="{EE2B8159-2FB6-4CEA-98DF-93D3A685DCAE}">
            <xm:f>Extra!$B$5</xm:f>
            <x14:dxf>
              <fill>
                <patternFill>
                  <bgColor theme="0" tint="-0.14996795556505021"/>
                </patternFill>
              </fill>
            </x14:dxf>
          </x14:cfRule>
          <x14:cfRule type="cellIs" priority="6" operator="equal" id="{FE700150-2BA6-4538-8953-71E43594CBA9}">
            <xm:f>Extra!$B$4</xm:f>
            <x14:dxf>
              <fill>
                <patternFill>
                  <bgColor theme="6"/>
                </patternFill>
              </fill>
            </x14:dxf>
          </x14:cfRule>
          <xm:sqref>H41:H1048576 H1:H14 H16:H38</xm:sqref>
        </x14:conditionalFormatting>
        <x14:conditionalFormatting xmlns:xm="http://schemas.microsoft.com/office/excel/2006/main">
          <x14:cfRule type="cellIs" priority="1" operator="equal" id="{687BD0C3-D7A3-4A3F-8EDD-83AAA7594FE7}">
            <xm:f>Extra!$B$5</xm:f>
            <x14:dxf>
              <fill>
                <patternFill>
                  <bgColor theme="0" tint="-0.14996795556505021"/>
                </patternFill>
              </fill>
            </x14:dxf>
          </x14:cfRule>
          <x14:cfRule type="cellIs" priority="2" operator="equal" id="{F2EB8DFF-1BBF-40E0-BFA8-1671E67A2263}">
            <xm:f>Extra!$B$4</xm:f>
            <x14:dxf>
              <fill>
                <patternFill>
                  <bgColor theme="6"/>
                </patternFill>
              </fill>
            </x14:dxf>
          </x14:cfRule>
          <xm:sqref>H15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Extra!$B$3:$B$5</xm:f>
          </x14:formula1>
          <xm:sqref>H17 H32:H36 H3:H5 H7:H15 H19:H30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8"/>
  <sheetViews>
    <sheetView zoomScale="90" zoomScaleNormal="90" workbookViewId="0">
      <pane ySplit="1" topLeftCell="A2" activePane="bottomLeft" state="frozen"/>
      <selection pane="bottomLeft" activeCell="I8" sqref="I8"/>
    </sheetView>
  </sheetViews>
  <sheetFormatPr defaultColWidth="9.140625" defaultRowHeight="15" x14ac:dyDescent="0.25"/>
  <cols>
    <col min="1" max="1" width="15.28515625" style="211" customWidth="1"/>
    <col min="2" max="2" width="12.7109375" style="211" bestFit="1" customWidth="1"/>
    <col min="3" max="4" width="19.28515625" style="211" customWidth="1"/>
    <col min="5" max="5" width="57.140625" style="211" customWidth="1"/>
    <col min="6" max="6" width="44" style="211" customWidth="1"/>
    <col min="7" max="7" width="14" style="208" bestFit="1" customWidth="1"/>
    <col min="8" max="8" width="24.28515625" style="209" customWidth="1"/>
    <col min="9" max="9" width="9.140625" style="210"/>
    <col min="10" max="10" width="18.7109375" style="210" customWidth="1"/>
    <col min="11" max="14" width="9.140625" style="210"/>
    <col min="15" max="16384" width="9.140625" style="207"/>
  </cols>
  <sheetData>
    <row r="1" spans="1:14" s="219" customFormat="1" ht="28.5" customHeight="1" thickBot="1" x14ac:dyDescent="0.3">
      <c r="A1" s="205" t="s">
        <v>2</v>
      </c>
      <c r="B1" s="205" t="s">
        <v>0</v>
      </c>
      <c r="C1" s="205" t="s">
        <v>3</v>
      </c>
      <c r="D1" s="205" t="s">
        <v>16</v>
      </c>
      <c r="E1" s="205" t="s">
        <v>1</v>
      </c>
      <c r="F1" s="205" t="s">
        <v>12</v>
      </c>
      <c r="G1" s="205" t="s">
        <v>71</v>
      </c>
      <c r="H1" s="218" t="s">
        <v>7</v>
      </c>
    </row>
    <row r="2" spans="1:14" ht="12.75" customHeight="1" x14ac:dyDescent="0.25">
      <c r="A2" s="279" t="s">
        <v>26</v>
      </c>
      <c r="B2" s="280"/>
      <c r="C2" s="280"/>
      <c r="D2" s="280"/>
      <c r="E2" s="280"/>
      <c r="F2" s="280"/>
      <c r="G2" s="281"/>
      <c r="H2" s="208"/>
      <c r="I2" s="207"/>
      <c r="J2" s="207"/>
      <c r="K2" s="207"/>
      <c r="L2" s="207"/>
      <c r="M2" s="207"/>
      <c r="N2" s="207"/>
    </row>
    <row r="3" spans="1:14" s="210" customFormat="1" ht="45" x14ac:dyDescent="0.25">
      <c r="A3" s="172">
        <v>1</v>
      </c>
      <c r="B3" s="172" t="s">
        <v>25</v>
      </c>
      <c r="C3" s="173" t="s">
        <v>52</v>
      </c>
      <c r="D3" s="174" t="s">
        <v>17</v>
      </c>
      <c r="E3" s="174" t="s">
        <v>81</v>
      </c>
      <c r="F3" s="174"/>
      <c r="G3" s="220" t="s">
        <v>5</v>
      </c>
      <c r="H3" s="221"/>
      <c r="I3" s="207"/>
      <c r="J3" s="207"/>
    </row>
    <row r="4" spans="1:14" x14ac:dyDescent="0.25">
      <c r="G4" s="207"/>
      <c r="H4" s="207"/>
      <c r="I4" s="207"/>
      <c r="J4" s="207"/>
      <c r="K4" s="207"/>
      <c r="L4" s="207"/>
      <c r="M4" s="207"/>
      <c r="N4" s="207"/>
    </row>
    <row r="5" spans="1:14" x14ac:dyDescent="0.25">
      <c r="G5" s="207"/>
      <c r="H5" s="207"/>
      <c r="I5" s="207"/>
      <c r="J5" s="207"/>
      <c r="K5" s="207"/>
      <c r="L5" s="207"/>
      <c r="M5" s="207"/>
      <c r="N5" s="207"/>
    </row>
    <row r="6" spans="1:14" x14ac:dyDescent="0.25">
      <c r="A6" s="282" t="s">
        <v>13</v>
      </c>
      <c r="B6" s="283"/>
      <c r="C6" s="283"/>
      <c r="D6" s="283"/>
      <c r="E6" s="283"/>
      <c r="F6" s="283"/>
      <c r="G6" s="284"/>
      <c r="H6" s="207"/>
      <c r="I6" s="207"/>
      <c r="J6" s="207"/>
      <c r="K6" s="207"/>
      <c r="L6" s="207"/>
      <c r="M6" s="207"/>
      <c r="N6" s="207"/>
    </row>
    <row r="7" spans="1:14" ht="45" x14ac:dyDescent="0.25">
      <c r="A7" s="172">
        <v>2</v>
      </c>
      <c r="B7" s="172" t="s">
        <v>22</v>
      </c>
      <c r="C7" s="174" t="s">
        <v>57</v>
      </c>
      <c r="D7" s="174" t="s">
        <v>17</v>
      </c>
      <c r="E7" s="174" t="s">
        <v>85</v>
      </c>
      <c r="F7" s="174"/>
      <c r="G7" s="220" t="s">
        <v>5</v>
      </c>
      <c r="H7" s="222"/>
      <c r="I7" s="212"/>
      <c r="J7" s="212"/>
      <c r="K7" s="207"/>
      <c r="L7" s="207"/>
      <c r="M7" s="207"/>
      <c r="N7" s="207"/>
    </row>
    <row r="8" spans="1:14" ht="75" x14ac:dyDescent="0.25">
      <c r="A8" s="172" t="s">
        <v>89</v>
      </c>
      <c r="B8" s="174" t="s">
        <v>77</v>
      </c>
      <c r="C8" s="174"/>
      <c r="D8" s="174" t="s">
        <v>18</v>
      </c>
      <c r="E8" s="174" t="s">
        <v>87</v>
      </c>
      <c r="F8" s="174"/>
      <c r="G8" s="220" t="s">
        <v>5</v>
      </c>
      <c r="H8" s="222"/>
      <c r="K8" s="207"/>
      <c r="L8" s="207"/>
      <c r="M8" s="207"/>
      <c r="N8" s="207"/>
    </row>
    <row r="9" spans="1:14" ht="45" x14ac:dyDescent="0.25">
      <c r="A9" s="172">
        <v>3</v>
      </c>
      <c r="B9" s="172" t="s">
        <v>11</v>
      </c>
      <c r="C9" s="174" t="s">
        <v>59</v>
      </c>
      <c r="D9" s="174" t="s">
        <v>18</v>
      </c>
      <c r="E9" s="174" t="s">
        <v>86</v>
      </c>
      <c r="F9" s="174"/>
      <c r="G9" s="220" t="s">
        <v>5</v>
      </c>
      <c r="H9" s="222"/>
      <c r="I9" s="207"/>
      <c r="J9" s="207"/>
      <c r="K9" s="207"/>
      <c r="L9" s="207"/>
      <c r="M9" s="207"/>
      <c r="N9" s="207"/>
    </row>
    <row r="10" spans="1:14" s="212" customFormat="1" x14ac:dyDescent="0.25">
      <c r="A10" s="213"/>
      <c r="B10" s="213"/>
      <c r="C10" s="214"/>
      <c r="D10" s="214"/>
      <c r="E10" s="213"/>
      <c r="F10" s="214"/>
      <c r="G10" s="215"/>
      <c r="H10" s="206"/>
      <c r="I10" s="207"/>
      <c r="J10" s="207"/>
    </row>
    <row r="11" spans="1:14" x14ac:dyDescent="0.25">
      <c r="I11" s="207"/>
      <c r="J11" s="207"/>
    </row>
    <row r="12" spans="1:14" x14ac:dyDescent="0.25">
      <c r="A12" s="285" t="s">
        <v>8</v>
      </c>
      <c r="B12" s="285"/>
      <c r="C12" s="285"/>
      <c r="D12" s="285"/>
      <c r="E12" s="285"/>
      <c r="F12" s="285"/>
      <c r="G12" s="285"/>
      <c r="H12" s="208"/>
      <c r="I12" s="207"/>
      <c r="J12" s="207"/>
      <c r="K12" s="207"/>
      <c r="L12" s="207"/>
      <c r="M12" s="207"/>
      <c r="N12" s="207"/>
    </row>
    <row r="13" spans="1:14" ht="210.75" customHeight="1" x14ac:dyDescent="0.25">
      <c r="A13" s="174">
        <v>4</v>
      </c>
      <c r="B13" s="174" t="s">
        <v>27</v>
      </c>
      <c r="C13" s="173" t="s">
        <v>61</v>
      </c>
      <c r="D13" s="174" t="s">
        <v>18</v>
      </c>
      <c r="E13" s="174" t="s">
        <v>88</v>
      </c>
      <c r="F13" s="172"/>
      <c r="G13" s="220" t="s">
        <v>5</v>
      </c>
      <c r="H13" s="222"/>
      <c r="I13" s="207"/>
      <c r="J13" s="207"/>
      <c r="K13" s="207"/>
      <c r="L13" s="207"/>
      <c r="M13" s="207"/>
      <c r="N13" s="207"/>
    </row>
    <row r="14" spans="1:14" ht="220.5" customHeight="1" x14ac:dyDescent="0.25">
      <c r="A14" s="174" t="s">
        <v>33</v>
      </c>
      <c r="B14" s="174" t="s">
        <v>28</v>
      </c>
      <c r="C14" s="178" t="s">
        <v>64</v>
      </c>
      <c r="D14" s="174" t="s">
        <v>17</v>
      </c>
      <c r="E14" s="174" t="s">
        <v>75</v>
      </c>
      <c r="F14" s="172"/>
      <c r="G14" s="220" t="s">
        <v>5</v>
      </c>
      <c r="H14" s="222"/>
      <c r="K14" s="207"/>
      <c r="L14" s="207"/>
      <c r="M14" s="207"/>
      <c r="N14" s="207"/>
    </row>
    <row r="15" spans="1:14" ht="217.5" customHeight="1" x14ac:dyDescent="0.25">
      <c r="A15" s="174" t="s">
        <v>33</v>
      </c>
      <c r="B15" s="174" t="s">
        <v>28</v>
      </c>
      <c r="C15" s="178" t="s">
        <v>64</v>
      </c>
      <c r="D15" s="174" t="s">
        <v>17</v>
      </c>
      <c r="E15" s="174" t="s">
        <v>76</v>
      </c>
      <c r="F15" s="172"/>
      <c r="G15" s="220" t="s">
        <v>5</v>
      </c>
      <c r="H15" s="222"/>
      <c r="K15" s="207"/>
      <c r="L15" s="207"/>
      <c r="M15" s="207"/>
      <c r="N15" s="207"/>
    </row>
    <row r="16" spans="1:14" ht="30" x14ac:dyDescent="0.25">
      <c r="A16" s="174" t="s">
        <v>34</v>
      </c>
      <c r="B16" s="174" t="s">
        <v>29</v>
      </c>
      <c r="C16" s="178" t="s">
        <v>66</v>
      </c>
      <c r="D16" s="174" t="s">
        <v>18</v>
      </c>
      <c r="E16" s="174" t="s">
        <v>72</v>
      </c>
      <c r="F16" s="172"/>
      <c r="G16" s="220" t="s">
        <v>5</v>
      </c>
      <c r="H16" s="222"/>
      <c r="K16" s="207"/>
      <c r="L16" s="207"/>
      <c r="M16" s="207"/>
      <c r="N16" s="207"/>
    </row>
    <row r="17" spans="1:14" ht="60" x14ac:dyDescent="0.25">
      <c r="A17" s="174" t="s">
        <v>34</v>
      </c>
      <c r="B17" s="174" t="s">
        <v>29</v>
      </c>
      <c r="C17" s="178" t="s">
        <v>66</v>
      </c>
      <c r="D17" s="174" t="s">
        <v>18</v>
      </c>
      <c r="E17" s="174" t="s">
        <v>82</v>
      </c>
      <c r="F17" s="172"/>
      <c r="G17" s="220" t="s">
        <v>5</v>
      </c>
      <c r="H17" s="222"/>
      <c r="K17" s="207"/>
      <c r="L17" s="207"/>
      <c r="M17" s="207"/>
      <c r="N17" s="207"/>
    </row>
    <row r="18" spans="1:14" s="210" customFormat="1" x14ac:dyDescent="0.25">
      <c r="A18" s="196"/>
      <c r="B18" s="182"/>
      <c r="C18" s="183"/>
      <c r="D18" s="182"/>
      <c r="E18" s="181"/>
      <c r="F18" s="181"/>
      <c r="G18" s="216"/>
      <c r="H18" s="209"/>
    </row>
    <row r="19" spans="1:14" x14ac:dyDescent="0.25">
      <c r="A19" s="181"/>
      <c r="B19" s="181"/>
      <c r="C19" s="182"/>
      <c r="D19" s="182"/>
      <c r="E19" s="182"/>
      <c r="F19" s="182"/>
      <c r="G19" s="216"/>
      <c r="H19" s="208"/>
      <c r="K19" s="207"/>
      <c r="L19" s="207"/>
      <c r="M19" s="207"/>
      <c r="N19" s="207"/>
    </row>
    <row r="20" spans="1:14" x14ac:dyDescent="0.25">
      <c r="A20" s="276" t="s">
        <v>31</v>
      </c>
      <c r="B20" s="277"/>
      <c r="C20" s="277"/>
      <c r="D20" s="277"/>
      <c r="E20" s="277"/>
      <c r="F20" s="277"/>
      <c r="G20" s="278"/>
      <c r="H20" s="208"/>
      <c r="K20" s="207"/>
      <c r="L20" s="207"/>
      <c r="M20" s="207"/>
      <c r="N20" s="207"/>
    </row>
    <row r="21" spans="1:14" ht="267.75" customHeight="1" x14ac:dyDescent="0.25">
      <c r="A21" s="174">
        <v>19</v>
      </c>
      <c r="B21" s="174" t="s">
        <v>9</v>
      </c>
      <c r="C21" s="174" t="s">
        <v>84</v>
      </c>
      <c r="D21" s="174" t="s">
        <v>17</v>
      </c>
      <c r="E21" s="174" t="s">
        <v>91</v>
      </c>
      <c r="F21" s="174"/>
      <c r="G21" s="220" t="s">
        <v>5</v>
      </c>
      <c r="H21" s="222"/>
      <c r="K21" s="207"/>
      <c r="L21" s="207"/>
      <c r="M21" s="207"/>
      <c r="N21" s="207"/>
    </row>
    <row r="22" spans="1:14" ht="255" customHeight="1" x14ac:dyDescent="0.25">
      <c r="A22" s="174">
        <v>19</v>
      </c>
      <c r="B22" s="174" t="s">
        <v>9</v>
      </c>
      <c r="C22" s="186" t="s">
        <v>67</v>
      </c>
      <c r="D22" s="174" t="s">
        <v>18</v>
      </c>
      <c r="E22" s="174" t="s">
        <v>73</v>
      </c>
      <c r="F22" s="174"/>
      <c r="G22" s="220" t="s">
        <v>5</v>
      </c>
      <c r="H22" s="222"/>
      <c r="K22" s="207"/>
      <c r="L22" s="207"/>
      <c r="M22" s="207"/>
      <c r="N22" s="207"/>
    </row>
    <row r="23" spans="1:14" s="210" customFormat="1" ht="252.75" customHeight="1" x14ac:dyDescent="0.25">
      <c r="A23" s="174">
        <v>18</v>
      </c>
      <c r="B23" s="174" t="s">
        <v>32</v>
      </c>
      <c r="C23" s="178" t="s">
        <v>68</v>
      </c>
      <c r="D23" s="174" t="s">
        <v>18</v>
      </c>
      <c r="E23" s="174" t="s">
        <v>74</v>
      </c>
      <c r="F23" s="174"/>
      <c r="G23" s="220" t="s">
        <v>5</v>
      </c>
      <c r="H23" s="221"/>
    </row>
    <row r="24" spans="1:14" s="210" customFormat="1" x14ac:dyDescent="0.25">
      <c r="A24" s="217"/>
      <c r="B24" s="211"/>
      <c r="C24" s="211"/>
      <c r="D24" s="211"/>
      <c r="E24" s="211"/>
      <c r="F24" s="211"/>
      <c r="I24" s="207"/>
      <c r="J24" s="207"/>
    </row>
    <row r="26" spans="1:14" x14ac:dyDescent="0.25">
      <c r="A26" s="276" t="s">
        <v>14</v>
      </c>
      <c r="B26" s="277"/>
      <c r="C26" s="277"/>
      <c r="D26" s="277"/>
      <c r="E26" s="277"/>
      <c r="F26" s="277"/>
      <c r="G26" s="278"/>
    </row>
    <row r="27" spans="1:14" ht="75" x14ac:dyDescent="0.25">
      <c r="A27" s="174" t="s">
        <v>15</v>
      </c>
      <c r="B27" s="174" t="s">
        <v>79</v>
      </c>
      <c r="C27" s="174"/>
      <c r="D27" s="174" t="s">
        <v>17</v>
      </c>
      <c r="E27" s="174" t="s">
        <v>78</v>
      </c>
      <c r="F27" s="174"/>
      <c r="G27" s="220" t="s">
        <v>5</v>
      </c>
      <c r="H27" s="221"/>
    </row>
    <row r="28" spans="1:14" ht="75" x14ac:dyDescent="0.25">
      <c r="A28" s="174" t="s">
        <v>15</v>
      </c>
      <c r="B28" s="174" t="s">
        <v>83</v>
      </c>
      <c r="C28" s="172"/>
      <c r="D28" s="172" t="s">
        <v>18</v>
      </c>
      <c r="E28" s="174" t="s">
        <v>80</v>
      </c>
      <c r="F28" s="172"/>
      <c r="G28" s="220" t="s">
        <v>5</v>
      </c>
      <c r="H28" s="221"/>
    </row>
  </sheetData>
  <sheetProtection password="D989" sheet="1" objects="1" scenarios="1"/>
  <autoFilter ref="A1:R27"/>
  <mergeCells count="5">
    <mergeCell ref="A26:G26"/>
    <mergeCell ref="A2:G2"/>
    <mergeCell ref="A6:G6"/>
    <mergeCell ref="A12:G12"/>
    <mergeCell ref="A20:G20"/>
  </mergeCells>
  <pageMargins left="0.7" right="0.7" top="0.75" bottom="0.75" header="0.3" footer="0.3"/>
  <pageSetup scale="74"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4" operator="equal" id="{5AE26E42-E49B-4470-B13C-FB493CC5EAB4}">
            <xm:f>Extra!$B$5</xm:f>
            <x14:dxf>
              <fill>
                <patternFill>
                  <bgColor theme="0" tint="-0.14996795556505021"/>
                </patternFill>
              </fill>
            </x14:dxf>
          </x14:cfRule>
          <x14:cfRule type="cellIs" priority="5" operator="equal" id="{85DFEB5E-783E-4924-A1F6-672C02502F92}">
            <xm:f>Extra!$B$4</xm:f>
            <x14:dxf>
              <fill>
                <patternFill>
                  <bgColor theme="6"/>
                </patternFill>
              </fill>
            </x14:dxf>
          </x14:cfRule>
          <xm:sqref>G1:G17 G20:G1048576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Extra!$B$3:$B$5</xm:f>
          </x14:formula1>
          <xm:sqref>G21:G23 G27:G28 G3:G5 G7:G10 G13:G17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48"/>
  <sheetViews>
    <sheetView workbookViewId="0">
      <selection activeCell="H25" sqref="H25"/>
    </sheetView>
  </sheetViews>
  <sheetFormatPr defaultRowHeight="15" x14ac:dyDescent="0.25"/>
  <cols>
    <col min="1" max="1" width="16.85546875" customWidth="1"/>
    <col min="2" max="2" width="9.85546875" bestFit="1" customWidth="1"/>
    <col min="3" max="3" width="8.5703125" bestFit="1" customWidth="1"/>
    <col min="4" max="4" width="10" bestFit="1" customWidth="1"/>
    <col min="5" max="5" width="9.42578125" bestFit="1" customWidth="1"/>
    <col min="6" max="6" width="6.42578125" bestFit="1" customWidth="1"/>
    <col min="7" max="7" width="16.42578125" bestFit="1" customWidth="1"/>
    <col min="8" max="8" width="9.28515625" bestFit="1" customWidth="1"/>
    <col min="9" max="9" width="8.5703125" bestFit="1" customWidth="1"/>
    <col min="10" max="10" width="12" customWidth="1"/>
    <col min="11" max="12" width="8.85546875" bestFit="1" customWidth="1"/>
    <col min="13" max="13" width="16.140625" bestFit="1" customWidth="1"/>
    <col min="14" max="14" width="12.42578125" bestFit="1" customWidth="1"/>
    <col min="15" max="15" width="11.140625" customWidth="1"/>
    <col min="16" max="16" width="7.28515625" customWidth="1"/>
    <col min="17" max="17" width="12.140625" customWidth="1"/>
    <col min="18" max="18" width="7.7109375" bestFit="1" customWidth="1"/>
    <col min="19" max="19" width="4.42578125" bestFit="1" customWidth="1"/>
    <col min="20" max="20" width="7.5703125" bestFit="1" customWidth="1"/>
    <col min="21" max="21" width="6.85546875" bestFit="1" customWidth="1"/>
    <col min="22" max="22" width="11" style="115" bestFit="1" customWidth="1"/>
  </cols>
  <sheetData>
    <row r="1" spans="1:22" x14ac:dyDescent="0.25">
      <c r="A1" s="98">
        <v>1</v>
      </c>
      <c r="B1" s="98">
        <v>2</v>
      </c>
      <c r="C1" s="98">
        <v>3</v>
      </c>
      <c r="D1" s="98">
        <v>4</v>
      </c>
      <c r="E1" s="98">
        <v>5</v>
      </c>
      <c r="F1" s="98">
        <v>6</v>
      </c>
      <c r="G1" s="98">
        <v>7</v>
      </c>
      <c r="H1" s="98">
        <v>8</v>
      </c>
      <c r="I1" s="98">
        <v>9</v>
      </c>
      <c r="J1" s="98">
        <v>10</v>
      </c>
      <c r="K1" s="98">
        <v>11</v>
      </c>
      <c r="L1" s="98">
        <v>12</v>
      </c>
      <c r="M1" s="98">
        <v>13</v>
      </c>
      <c r="N1" s="98">
        <v>14</v>
      </c>
      <c r="O1" s="98">
        <v>15</v>
      </c>
      <c r="P1" s="98">
        <v>16</v>
      </c>
      <c r="Q1" s="98">
        <v>17</v>
      </c>
      <c r="R1" s="98">
        <v>18</v>
      </c>
      <c r="S1" s="98">
        <v>19</v>
      </c>
      <c r="T1" s="98">
        <v>20</v>
      </c>
      <c r="U1" s="98">
        <v>21</v>
      </c>
      <c r="V1" s="99"/>
    </row>
    <row r="2" spans="1:22" x14ac:dyDescent="0.25">
      <c r="A2" s="100" t="s">
        <v>334</v>
      </c>
      <c r="B2" s="100" t="s">
        <v>335</v>
      </c>
      <c r="C2" s="100" t="s">
        <v>336</v>
      </c>
      <c r="D2" s="100" t="s">
        <v>337</v>
      </c>
      <c r="E2" s="100" t="s">
        <v>338</v>
      </c>
      <c r="F2" s="100" t="s">
        <v>339</v>
      </c>
      <c r="G2" s="100" t="s">
        <v>340</v>
      </c>
      <c r="H2" s="100" t="s">
        <v>341</v>
      </c>
      <c r="I2" s="100" t="s">
        <v>342</v>
      </c>
      <c r="J2" s="100" t="s">
        <v>116</v>
      </c>
      <c r="K2" s="100" t="s">
        <v>343</v>
      </c>
      <c r="L2" s="100" t="s">
        <v>344</v>
      </c>
      <c r="M2" s="100" t="s">
        <v>345</v>
      </c>
      <c r="N2" s="100" t="s">
        <v>346</v>
      </c>
      <c r="O2" s="100" t="s">
        <v>347</v>
      </c>
      <c r="P2" s="101" t="s">
        <v>348</v>
      </c>
      <c r="Q2" s="100" t="s">
        <v>349</v>
      </c>
      <c r="R2" s="101" t="s">
        <v>350</v>
      </c>
      <c r="S2" s="101" t="s">
        <v>351</v>
      </c>
      <c r="T2" s="101" t="s">
        <v>126</v>
      </c>
      <c r="U2" s="101" t="s">
        <v>129</v>
      </c>
      <c r="V2" s="102"/>
    </row>
    <row r="3" spans="1:22" x14ac:dyDescent="0.25">
      <c r="A3" s="103" t="s">
        <v>352</v>
      </c>
      <c r="B3" s="103">
        <v>1.5</v>
      </c>
      <c r="C3" s="103">
        <v>15</v>
      </c>
      <c r="D3" s="103">
        <v>20</v>
      </c>
      <c r="E3" s="103">
        <v>250</v>
      </c>
      <c r="F3" s="103">
        <v>500</v>
      </c>
      <c r="G3" s="103">
        <v>1000</v>
      </c>
      <c r="H3" s="103">
        <v>26</v>
      </c>
      <c r="I3" s="103">
        <v>35</v>
      </c>
      <c r="J3" s="103">
        <v>0.6</v>
      </c>
      <c r="K3" s="103" t="s">
        <v>353</v>
      </c>
      <c r="L3" s="103" t="s">
        <v>354</v>
      </c>
      <c r="M3" s="103">
        <v>5</v>
      </c>
      <c r="N3" s="103">
        <v>4.5</v>
      </c>
      <c r="O3" s="103">
        <v>260</v>
      </c>
      <c r="P3" s="103">
        <v>5</v>
      </c>
      <c r="Q3" s="103">
        <v>2</v>
      </c>
      <c r="R3" s="103"/>
      <c r="S3" s="103"/>
      <c r="T3" s="103">
        <v>1.2</v>
      </c>
      <c r="U3" s="103">
        <v>0.95</v>
      </c>
      <c r="V3" s="104"/>
    </row>
    <row r="4" spans="1:22" x14ac:dyDescent="0.25">
      <c r="A4" s="103" t="s">
        <v>103</v>
      </c>
      <c r="B4" s="103">
        <v>1.5</v>
      </c>
      <c r="C4" s="103">
        <v>15</v>
      </c>
      <c r="D4" s="103">
        <v>30</v>
      </c>
      <c r="E4" s="103">
        <v>250</v>
      </c>
      <c r="F4" s="103">
        <v>500</v>
      </c>
      <c r="G4" s="103">
        <v>1000</v>
      </c>
      <c r="H4" s="103">
        <v>34</v>
      </c>
      <c r="I4" s="103">
        <v>35</v>
      </c>
      <c r="J4" s="103">
        <v>0.6</v>
      </c>
      <c r="K4" s="103" t="s">
        <v>353</v>
      </c>
      <c r="L4" s="103" t="s">
        <v>354</v>
      </c>
      <c r="M4" s="103">
        <v>5</v>
      </c>
      <c r="N4" s="103">
        <v>4.5</v>
      </c>
      <c r="O4" s="103">
        <v>260</v>
      </c>
      <c r="P4" s="103">
        <v>5.5</v>
      </c>
      <c r="Q4" s="103">
        <v>2.2000000000000002</v>
      </c>
      <c r="R4" s="103"/>
      <c r="S4" s="103"/>
      <c r="T4" s="103">
        <v>1.2</v>
      </c>
      <c r="U4" s="103">
        <v>0.95</v>
      </c>
      <c r="V4" s="104"/>
    </row>
    <row r="5" spans="1:22" x14ac:dyDescent="0.25">
      <c r="A5" s="103" t="s">
        <v>355</v>
      </c>
      <c r="B5" s="103">
        <v>1.5</v>
      </c>
      <c r="C5" s="103">
        <v>22</v>
      </c>
      <c r="D5" s="103">
        <v>8</v>
      </c>
      <c r="E5" s="103">
        <v>250</v>
      </c>
      <c r="F5" s="103">
        <v>500</v>
      </c>
      <c r="G5" s="103">
        <v>1000</v>
      </c>
      <c r="H5" s="103">
        <v>10.5</v>
      </c>
      <c r="I5" s="103">
        <v>35</v>
      </c>
      <c r="J5" s="103">
        <v>0.6</v>
      </c>
      <c r="K5" s="103" t="s">
        <v>353</v>
      </c>
      <c r="L5" s="103" t="s">
        <v>354</v>
      </c>
      <c r="M5" s="103">
        <v>5</v>
      </c>
      <c r="N5" s="103">
        <v>4.5</v>
      </c>
      <c r="O5" s="103">
        <v>260</v>
      </c>
      <c r="P5" s="103">
        <v>9</v>
      </c>
      <c r="Q5" s="103">
        <v>4.5</v>
      </c>
      <c r="R5" s="103"/>
      <c r="S5" s="103"/>
      <c r="T5" s="103">
        <v>1.3</v>
      </c>
      <c r="U5" s="103">
        <v>1</v>
      </c>
      <c r="V5" s="104"/>
    </row>
    <row r="6" spans="1:22" x14ac:dyDescent="0.25">
      <c r="A6" s="103" t="s">
        <v>356</v>
      </c>
      <c r="B6" s="103">
        <v>1.5</v>
      </c>
      <c r="C6" s="103">
        <v>22</v>
      </c>
      <c r="D6" s="103">
        <v>14</v>
      </c>
      <c r="E6" s="103">
        <v>250</v>
      </c>
      <c r="F6" s="103">
        <v>500</v>
      </c>
      <c r="G6" s="103">
        <v>1000</v>
      </c>
      <c r="H6" s="103">
        <v>10.5</v>
      </c>
      <c r="I6" s="103">
        <v>35</v>
      </c>
      <c r="J6" s="103">
        <v>0.6</v>
      </c>
      <c r="K6" s="103" t="s">
        <v>353</v>
      </c>
      <c r="L6" s="103" t="s">
        <v>354</v>
      </c>
      <c r="M6" s="103">
        <v>5</v>
      </c>
      <c r="N6" s="103">
        <v>4.5</v>
      </c>
      <c r="O6" s="103">
        <v>260</v>
      </c>
      <c r="P6" s="103">
        <v>9</v>
      </c>
      <c r="Q6" s="103">
        <v>4.5</v>
      </c>
      <c r="R6" s="103"/>
      <c r="S6" s="103"/>
      <c r="T6" s="103">
        <v>1.3</v>
      </c>
      <c r="U6" s="103">
        <v>1</v>
      </c>
      <c r="V6" s="104"/>
    </row>
    <row r="7" spans="1:22" x14ac:dyDescent="0.25">
      <c r="A7" s="103"/>
      <c r="B7" s="103"/>
      <c r="C7" s="103"/>
      <c r="D7" s="103"/>
      <c r="E7" s="103"/>
      <c r="F7" s="103"/>
      <c r="G7" s="103"/>
      <c r="H7" s="103"/>
      <c r="I7" s="103"/>
      <c r="J7" s="103"/>
      <c r="K7" s="103"/>
      <c r="L7" s="103"/>
      <c r="M7" s="103"/>
      <c r="N7" s="103"/>
      <c r="O7" s="103"/>
      <c r="P7" s="103"/>
      <c r="Q7" s="103"/>
      <c r="R7" s="105"/>
      <c r="S7" s="103"/>
      <c r="T7" s="103"/>
      <c r="U7" s="103"/>
      <c r="V7" s="104"/>
    </row>
    <row r="8" spans="1:22" x14ac:dyDescent="0.25">
      <c r="A8" s="106"/>
      <c r="B8" s="107"/>
      <c r="C8" s="107"/>
      <c r="D8" s="107"/>
      <c r="E8" s="107"/>
      <c r="F8" s="107"/>
      <c r="G8" s="107"/>
      <c r="H8" s="107"/>
      <c r="I8" s="107"/>
      <c r="J8" s="108"/>
      <c r="K8" s="109"/>
      <c r="L8" s="109"/>
      <c r="M8" s="107"/>
      <c r="N8" s="107"/>
      <c r="O8" s="107"/>
      <c r="P8" s="107"/>
      <c r="Q8" s="107"/>
      <c r="R8" s="107"/>
      <c r="S8" s="107"/>
      <c r="T8" s="107"/>
      <c r="U8" s="107"/>
      <c r="V8" s="104"/>
    </row>
    <row r="9" spans="1:22" x14ac:dyDescent="0.25">
      <c r="A9" s="106"/>
      <c r="B9" s="107"/>
      <c r="C9" s="107"/>
      <c r="D9" s="107"/>
      <c r="E9" s="107"/>
      <c r="F9" s="107"/>
      <c r="G9" s="107"/>
      <c r="H9" s="107"/>
      <c r="I9" s="107"/>
      <c r="J9" s="108"/>
      <c r="K9" s="109"/>
      <c r="L9" s="109"/>
      <c r="M9" s="107"/>
      <c r="N9" s="107"/>
      <c r="O9" s="107"/>
      <c r="P9" s="107"/>
      <c r="Q9" s="107"/>
      <c r="R9" s="107"/>
      <c r="S9" s="107"/>
      <c r="T9" s="107"/>
      <c r="U9" s="107"/>
      <c r="V9" s="104"/>
    </row>
    <row r="10" spans="1:22" x14ac:dyDescent="0.25">
      <c r="A10" s="106"/>
      <c r="B10" s="106"/>
      <c r="C10" s="106"/>
      <c r="D10" s="106"/>
      <c r="E10" s="106"/>
      <c r="F10" s="106"/>
      <c r="G10" s="106"/>
      <c r="H10" s="106"/>
      <c r="I10" s="109"/>
      <c r="J10" s="108"/>
      <c r="K10" s="109"/>
      <c r="L10" s="109"/>
      <c r="M10" s="110"/>
      <c r="N10" s="106"/>
      <c r="O10" s="109"/>
      <c r="P10" s="109"/>
      <c r="Q10" s="109"/>
      <c r="R10" s="107"/>
      <c r="S10" s="108"/>
      <c r="T10" s="107"/>
      <c r="U10" s="107"/>
      <c r="V10" s="104"/>
    </row>
    <row r="11" spans="1:22" x14ac:dyDescent="0.25">
      <c r="A11" s="106"/>
      <c r="B11" s="106"/>
      <c r="C11" s="106"/>
      <c r="D11" s="106"/>
      <c r="E11" s="106"/>
      <c r="F11" s="106"/>
      <c r="G11" s="106"/>
      <c r="H11" s="106"/>
      <c r="I11" s="109"/>
      <c r="J11" s="108"/>
      <c r="K11" s="109"/>
      <c r="L11" s="109"/>
      <c r="M11" s="110"/>
      <c r="N11" s="106"/>
      <c r="O11" s="109"/>
      <c r="P11" s="109"/>
      <c r="Q11" s="109"/>
      <c r="R11" s="107"/>
      <c r="S11" s="108"/>
      <c r="T11" s="107"/>
      <c r="U11" s="107"/>
      <c r="V11" s="104"/>
    </row>
    <row r="12" spans="1:22" x14ac:dyDescent="0.25">
      <c r="A12" s="111"/>
      <c r="B12" s="111"/>
      <c r="C12" s="111"/>
      <c r="D12" s="111"/>
      <c r="E12" s="111"/>
      <c r="F12" s="111"/>
      <c r="G12" s="111"/>
      <c r="H12" s="111"/>
      <c r="I12" s="112"/>
      <c r="J12" s="112"/>
      <c r="K12" s="112"/>
      <c r="L12" s="112"/>
      <c r="M12" s="112"/>
      <c r="N12" s="112"/>
      <c r="O12" s="112"/>
      <c r="P12" s="112"/>
      <c r="Q12" s="112"/>
      <c r="R12" s="113"/>
      <c r="S12" s="113"/>
      <c r="V12" s="104"/>
    </row>
    <row r="13" spans="1:22" x14ac:dyDescent="0.25">
      <c r="A13" s="111"/>
      <c r="B13" s="114"/>
      <c r="C13" s="111"/>
      <c r="D13" s="111"/>
      <c r="E13" s="111"/>
      <c r="F13" s="111"/>
      <c r="G13" s="111"/>
      <c r="H13" s="111"/>
      <c r="I13" s="112"/>
      <c r="J13" s="112"/>
      <c r="K13" s="112"/>
      <c r="L13" s="112"/>
      <c r="M13" s="112"/>
      <c r="N13" s="112"/>
      <c r="O13" s="112"/>
      <c r="P13" s="112"/>
      <c r="Q13" s="112"/>
      <c r="R13" s="113"/>
      <c r="S13" s="113"/>
      <c r="V13" s="104"/>
    </row>
    <row r="14" spans="1:22" x14ac:dyDescent="0.25">
      <c r="A14" s="111"/>
      <c r="B14" s="111"/>
      <c r="C14" s="111"/>
      <c r="D14" s="111"/>
      <c r="E14" s="111"/>
      <c r="F14" s="111"/>
      <c r="G14" s="111"/>
      <c r="H14" s="111"/>
      <c r="I14" s="112"/>
      <c r="J14" s="112"/>
      <c r="K14" s="112"/>
      <c r="L14" s="112"/>
      <c r="M14" s="112"/>
      <c r="N14" s="112"/>
      <c r="O14" s="112"/>
      <c r="P14" s="112"/>
      <c r="Q14" s="112"/>
      <c r="R14" s="113"/>
      <c r="S14" s="113"/>
    </row>
    <row r="15" spans="1:22" ht="15.75" thickBot="1" x14ac:dyDescent="0.3">
      <c r="A15" s="246">
        <f>'Device Calculator'!F135</f>
        <v>5.3987961346044102</v>
      </c>
      <c r="B15" s="103"/>
      <c r="C15" s="103"/>
      <c r="D15" s="103"/>
      <c r="E15" s="103"/>
      <c r="F15" s="103"/>
      <c r="G15" s="103"/>
      <c r="H15" s="116" t="s">
        <v>357</v>
      </c>
      <c r="I15" s="103"/>
      <c r="J15" s="103"/>
      <c r="K15" s="103"/>
      <c r="L15" s="103"/>
      <c r="M15" s="144" t="s">
        <v>358</v>
      </c>
      <c r="N15" s="103"/>
      <c r="O15" s="103"/>
      <c r="P15" s="103"/>
      <c r="Q15" s="103"/>
      <c r="R15" s="103"/>
      <c r="S15" s="103"/>
      <c r="T15" s="103"/>
      <c r="U15" s="103"/>
    </row>
    <row r="16" spans="1:22" ht="27" thickBot="1" x14ac:dyDescent="0.3">
      <c r="A16" s="246">
        <f>ROUND(A15,3)</f>
        <v>5.399</v>
      </c>
      <c r="B16" s="103"/>
      <c r="C16" s="103"/>
      <c r="D16" s="103"/>
      <c r="E16" s="103"/>
      <c r="F16" s="103"/>
      <c r="G16" s="103"/>
      <c r="H16" s="117" t="s">
        <v>359</v>
      </c>
      <c r="I16" s="118" t="s">
        <v>360</v>
      </c>
      <c r="J16" s="119" t="s">
        <v>361</v>
      </c>
      <c r="K16" s="103"/>
      <c r="L16" s="103"/>
      <c r="M16" s="145"/>
      <c r="N16" s="162" t="s">
        <v>362</v>
      </c>
      <c r="O16" s="142" t="s">
        <v>363</v>
      </c>
      <c r="P16" s="158" t="s">
        <v>364</v>
      </c>
      <c r="Q16" s="143" t="s">
        <v>361</v>
      </c>
      <c r="R16" s="103"/>
      <c r="S16" s="103"/>
      <c r="T16" s="103"/>
      <c r="U16" s="103"/>
    </row>
    <row r="17" spans="1:19" ht="39" x14ac:dyDescent="0.25">
      <c r="A17" s="138" t="s">
        <v>387</v>
      </c>
      <c r="B17" s="112" t="s">
        <v>391</v>
      </c>
      <c r="C17" s="141" t="s">
        <v>392</v>
      </c>
      <c r="D17" s="103"/>
      <c r="E17" s="103"/>
      <c r="F17" s="103"/>
      <c r="G17" s="103"/>
      <c r="H17" s="121">
        <v>250</v>
      </c>
      <c r="I17" s="122">
        <v>0</v>
      </c>
      <c r="J17" s="153" t="s">
        <v>391</v>
      </c>
      <c r="K17" s="103"/>
      <c r="L17" s="103"/>
      <c r="M17" s="163" t="s">
        <v>395</v>
      </c>
      <c r="N17" s="151">
        <v>0.7</v>
      </c>
      <c r="O17" s="148" t="s">
        <v>181</v>
      </c>
      <c r="P17" s="147">
        <v>39</v>
      </c>
      <c r="Q17" s="159" t="s">
        <v>391</v>
      </c>
      <c r="S17" s="113"/>
    </row>
    <row r="18" spans="1:19" ht="51.75" x14ac:dyDescent="0.25">
      <c r="A18" s="140" t="s">
        <v>388</v>
      </c>
      <c r="B18" s="112" t="s">
        <v>11</v>
      </c>
      <c r="C18" s="141" t="s">
        <v>389</v>
      </c>
      <c r="D18" s="103"/>
      <c r="E18" s="103"/>
      <c r="F18" s="103"/>
      <c r="G18" s="103"/>
      <c r="H18" s="123">
        <v>300</v>
      </c>
      <c r="I18" s="124">
        <v>187</v>
      </c>
      <c r="J18" s="154" t="s">
        <v>391</v>
      </c>
      <c r="K18" s="103"/>
      <c r="L18" s="103"/>
      <c r="M18" s="156" t="s">
        <v>396</v>
      </c>
      <c r="N18" s="164">
        <v>1.4</v>
      </c>
      <c r="O18" s="152" t="s">
        <v>181</v>
      </c>
      <c r="P18" s="146">
        <v>100</v>
      </c>
      <c r="Q18" s="160" t="s">
        <v>391</v>
      </c>
      <c r="S18" s="113"/>
    </row>
    <row r="19" spans="1:19" ht="39" x14ac:dyDescent="0.25">
      <c r="A19" s="139" t="str">
        <f>CONCATENATE($A$17, A16)</f>
        <v>Top Resistor: 5.399</v>
      </c>
      <c r="B19" s="112" t="s">
        <v>32</v>
      </c>
      <c r="C19" s="141" t="s">
        <v>390</v>
      </c>
      <c r="D19" s="103"/>
      <c r="E19" s="103"/>
      <c r="F19" s="103"/>
      <c r="G19" s="103"/>
      <c r="H19" s="123">
        <v>400</v>
      </c>
      <c r="I19" s="124">
        <v>619</v>
      </c>
      <c r="J19" s="154" t="s">
        <v>391</v>
      </c>
      <c r="K19" s="103"/>
      <c r="L19" s="103"/>
      <c r="M19" s="156" t="s">
        <v>397</v>
      </c>
      <c r="N19" s="164">
        <v>2.8</v>
      </c>
      <c r="O19" s="152" t="s">
        <v>181</v>
      </c>
      <c r="P19" s="146">
        <v>200</v>
      </c>
      <c r="Q19" s="160" t="s">
        <v>391</v>
      </c>
      <c r="S19" s="113"/>
    </row>
    <row r="20" spans="1:19" ht="39" x14ac:dyDescent="0.25">
      <c r="A20" s="139" t="str">
        <f>CONCATENATE($A$18, 'Device Calculator'!D127)</f>
        <v xml:space="preserve">
Bottom Resistor: 10</v>
      </c>
      <c r="B20" s="112" t="s">
        <v>5</v>
      </c>
      <c r="C20" s="141" t="s">
        <v>393</v>
      </c>
      <c r="D20" s="103"/>
      <c r="E20" s="103"/>
      <c r="F20" s="103"/>
      <c r="G20" s="103"/>
      <c r="H20" s="123">
        <v>500</v>
      </c>
      <c r="I20" s="124" t="s">
        <v>15</v>
      </c>
      <c r="J20" s="154" t="s">
        <v>5</v>
      </c>
      <c r="K20" s="103"/>
      <c r="L20" s="103"/>
      <c r="M20" s="156" t="s">
        <v>398</v>
      </c>
      <c r="N20" s="164">
        <v>5.6</v>
      </c>
      <c r="O20" s="152" t="s">
        <v>181</v>
      </c>
      <c r="P20" s="146">
        <v>475</v>
      </c>
      <c r="Q20" s="160" t="s">
        <v>391</v>
      </c>
      <c r="S20" s="113"/>
    </row>
    <row r="21" spans="1:19" x14ac:dyDescent="0.25">
      <c r="A21" s="112"/>
      <c r="B21" s="112"/>
      <c r="C21" s="103"/>
      <c r="D21" s="103"/>
      <c r="E21" s="103"/>
      <c r="F21" s="103"/>
      <c r="G21" s="103"/>
      <c r="H21" s="123">
        <v>650</v>
      </c>
      <c r="I21" s="124">
        <v>866</v>
      </c>
      <c r="J21" s="154" t="s">
        <v>32</v>
      </c>
      <c r="K21" s="103"/>
      <c r="L21" s="103"/>
      <c r="M21" s="156" t="s">
        <v>399</v>
      </c>
      <c r="N21" s="164">
        <v>0.7</v>
      </c>
      <c r="O21" s="152" t="s">
        <v>365</v>
      </c>
      <c r="P21" s="146">
        <v>39</v>
      </c>
      <c r="Q21" s="160" t="s">
        <v>11</v>
      </c>
      <c r="S21" s="113"/>
    </row>
    <row r="22" spans="1:19" x14ac:dyDescent="0.25">
      <c r="A22" s="125"/>
      <c r="B22" s="111"/>
      <c r="C22" s="103"/>
      <c r="D22" s="103"/>
      <c r="E22" s="103"/>
      <c r="F22" s="103"/>
      <c r="G22" s="103"/>
      <c r="H22" s="123">
        <v>750</v>
      </c>
      <c r="I22" s="124">
        <v>309</v>
      </c>
      <c r="J22" s="154" t="s">
        <v>32</v>
      </c>
      <c r="K22" s="103"/>
      <c r="L22" s="103"/>
      <c r="M22" s="156" t="s">
        <v>400</v>
      </c>
      <c r="N22" s="164">
        <v>1.4</v>
      </c>
      <c r="O22" s="152" t="s">
        <v>365</v>
      </c>
      <c r="P22" s="146">
        <v>100</v>
      </c>
      <c r="Q22" s="160" t="s">
        <v>11</v>
      </c>
      <c r="R22" s="113"/>
      <c r="S22" s="113"/>
    </row>
    <row r="23" spans="1:19" x14ac:dyDescent="0.25">
      <c r="A23" s="139" t="e">
        <f>CONCATENATE($A$17, 'Device Calculator'!#REF!)</f>
        <v>#REF!</v>
      </c>
      <c r="B23" s="111"/>
      <c r="C23" s="103"/>
      <c r="D23" s="103"/>
      <c r="E23" s="103"/>
      <c r="F23" s="103"/>
      <c r="G23" s="103"/>
      <c r="H23" s="123">
        <v>850</v>
      </c>
      <c r="I23" s="124">
        <v>124</v>
      </c>
      <c r="J23" s="154" t="s">
        <v>32</v>
      </c>
      <c r="K23" s="103"/>
      <c r="L23" s="103"/>
      <c r="M23" s="156" t="s">
        <v>401</v>
      </c>
      <c r="N23" s="164">
        <v>2.8</v>
      </c>
      <c r="O23" s="152" t="s">
        <v>365</v>
      </c>
      <c r="P23" s="146">
        <v>200</v>
      </c>
      <c r="Q23" s="160" t="s">
        <v>11</v>
      </c>
      <c r="R23" s="113"/>
      <c r="S23" s="113"/>
    </row>
    <row r="24" spans="1:19" ht="15.75" thickBot="1" x14ac:dyDescent="0.3">
      <c r="A24" s="139" t="str">
        <f>CONCATENATE($A$18, 'Device Calculator'!D132)</f>
        <v xml:space="preserve">
Bottom Resistor: </v>
      </c>
      <c r="B24" s="111"/>
      <c r="C24" s="103"/>
      <c r="D24" s="103"/>
      <c r="E24" s="103"/>
      <c r="F24" s="103"/>
      <c r="G24" s="103"/>
      <c r="H24" s="126">
        <v>970</v>
      </c>
      <c r="I24" s="127">
        <v>0</v>
      </c>
      <c r="J24" s="155" t="s">
        <v>32</v>
      </c>
      <c r="K24" s="103"/>
      <c r="L24" s="103"/>
      <c r="M24" s="157" t="s">
        <v>402</v>
      </c>
      <c r="N24" s="165">
        <v>5.6</v>
      </c>
      <c r="O24" s="150" t="s">
        <v>365</v>
      </c>
      <c r="P24" s="149">
        <v>475</v>
      </c>
      <c r="Q24" s="161" t="s">
        <v>11</v>
      </c>
      <c r="R24" s="113"/>
      <c r="S24" s="113"/>
    </row>
    <row r="25" spans="1:19" x14ac:dyDescent="0.25">
      <c r="A25" s="128"/>
      <c r="B25" s="111"/>
      <c r="C25" s="111"/>
      <c r="D25" s="111"/>
      <c r="E25" s="111"/>
      <c r="F25" s="111"/>
      <c r="G25" s="111"/>
      <c r="H25" s="111"/>
      <c r="I25" s="112"/>
      <c r="J25" s="112"/>
      <c r="K25" s="112"/>
      <c r="L25" s="112"/>
      <c r="M25" s="112"/>
      <c r="N25" s="112"/>
      <c r="O25" s="112"/>
      <c r="P25" s="112"/>
      <c r="Q25" s="112"/>
      <c r="R25" s="113"/>
      <c r="S25" s="113"/>
    </row>
    <row r="26" spans="1:19" x14ac:dyDescent="0.25">
      <c r="A26" s="111"/>
      <c r="B26" s="111"/>
      <c r="C26" s="111"/>
      <c r="D26" s="111"/>
      <c r="E26" s="111"/>
      <c r="F26" s="111"/>
      <c r="G26" s="111"/>
      <c r="H26" s="111"/>
      <c r="I26" s="112"/>
      <c r="J26" s="112"/>
      <c r="K26" s="112"/>
      <c r="L26" s="112"/>
      <c r="M26" s="112"/>
      <c r="N26" s="112"/>
      <c r="O26" s="112"/>
      <c r="P26" s="112"/>
      <c r="Q26" s="112"/>
      <c r="R26" s="113"/>
      <c r="S26" s="113"/>
    </row>
    <row r="27" spans="1:19" x14ac:dyDescent="0.25">
      <c r="A27" s="111"/>
      <c r="B27" s="111"/>
      <c r="C27" s="111"/>
      <c r="D27" s="111"/>
      <c r="E27" s="111"/>
      <c r="F27" s="111"/>
      <c r="G27" s="111"/>
      <c r="H27" s="111"/>
      <c r="I27" s="112"/>
      <c r="J27" s="112"/>
      <c r="K27" s="112"/>
      <c r="L27" s="112"/>
      <c r="M27" s="112"/>
      <c r="N27" s="112"/>
      <c r="O27" s="112"/>
      <c r="P27" s="112"/>
      <c r="Q27" s="112"/>
      <c r="R27" s="113"/>
      <c r="S27" s="113"/>
    </row>
    <row r="28" spans="1:19" x14ac:dyDescent="0.25">
      <c r="A28" s="111"/>
      <c r="B28" s="111"/>
      <c r="C28" s="111"/>
      <c r="D28" s="111"/>
      <c r="E28" s="111"/>
      <c r="F28" s="111"/>
      <c r="G28" s="111"/>
      <c r="H28" s="111"/>
      <c r="I28" s="112"/>
      <c r="J28" s="112"/>
      <c r="K28" s="112"/>
      <c r="L28" s="112"/>
      <c r="M28" s="112"/>
      <c r="N28" s="112"/>
      <c r="O28" s="112"/>
      <c r="P28" s="112"/>
      <c r="Q28" s="112"/>
      <c r="R28" s="113"/>
      <c r="S28" s="113"/>
    </row>
    <row r="30" spans="1:19" x14ac:dyDescent="0.25">
      <c r="A30" s="111"/>
      <c r="B30" s="111"/>
      <c r="C30" s="111"/>
      <c r="D30" s="111"/>
      <c r="E30" s="111"/>
      <c r="F30" s="111"/>
      <c r="G30" s="111"/>
      <c r="H30" s="111"/>
    </row>
    <row r="31" spans="1:19" x14ac:dyDescent="0.25">
      <c r="A31" s="111"/>
      <c r="B31" s="111"/>
      <c r="C31" s="111"/>
      <c r="D31" s="111"/>
      <c r="E31" s="111"/>
      <c r="F31" s="111"/>
      <c r="G31" s="111"/>
      <c r="H31" s="111"/>
    </row>
    <row r="32" spans="1:19" x14ac:dyDescent="0.25">
      <c r="A32" s="111"/>
      <c r="B32" s="111"/>
      <c r="C32" s="111"/>
      <c r="D32" s="111"/>
      <c r="E32" s="111"/>
      <c r="F32" s="111"/>
      <c r="G32" s="111"/>
      <c r="H32" s="111"/>
    </row>
    <row r="33" spans="1:8" x14ac:dyDescent="0.25">
      <c r="A33" s="111"/>
      <c r="B33" s="111"/>
      <c r="C33" s="111"/>
      <c r="D33" s="111"/>
      <c r="E33" s="111"/>
      <c r="F33" s="111"/>
      <c r="G33" s="111"/>
      <c r="H33" s="111"/>
    </row>
    <row r="34" spans="1:8" x14ac:dyDescent="0.25">
      <c r="A34" s="111"/>
      <c r="B34" s="111"/>
      <c r="C34" s="111"/>
      <c r="D34" s="111"/>
      <c r="E34" s="111"/>
      <c r="F34" s="111"/>
      <c r="G34" s="111"/>
      <c r="H34" s="111"/>
    </row>
    <row r="35" spans="1:8" x14ac:dyDescent="0.25">
      <c r="A35" s="111"/>
      <c r="B35" s="111"/>
      <c r="C35" s="111"/>
      <c r="D35" s="111"/>
      <c r="E35" s="111"/>
      <c r="F35" s="111"/>
      <c r="G35" s="111"/>
      <c r="H35" s="111"/>
    </row>
    <row r="36" spans="1:8" x14ac:dyDescent="0.25">
      <c r="A36" s="111"/>
      <c r="B36" s="111"/>
      <c r="C36" s="111"/>
      <c r="D36" s="111"/>
      <c r="E36" s="111"/>
      <c r="F36" s="111"/>
      <c r="G36" s="111"/>
      <c r="H36" s="111"/>
    </row>
    <row r="37" spans="1:8" x14ac:dyDescent="0.25">
      <c r="A37" s="111"/>
      <c r="B37" s="111"/>
      <c r="C37" s="111"/>
      <c r="D37" s="111"/>
      <c r="E37" s="111"/>
      <c r="F37" s="111"/>
      <c r="G37" s="111"/>
      <c r="H37" s="111"/>
    </row>
    <row r="38" spans="1:8" x14ac:dyDescent="0.25">
      <c r="A38" s="111"/>
      <c r="B38" s="111"/>
      <c r="C38" s="111"/>
      <c r="D38" s="111"/>
      <c r="E38" s="111"/>
      <c r="F38" s="111"/>
      <c r="G38" s="111"/>
      <c r="H38" s="111"/>
    </row>
    <row r="39" spans="1:8" x14ac:dyDescent="0.25">
      <c r="A39" s="111"/>
      <c r="B39" s="111"/>
      <c r="C39" s="111"/>
      <c r="D39" s="111"/>
      <c r="E39" s="111"/>
      <c r="F39" s="111"/>
      <c r="G39" s="111"/>
      <c r="H39" s="111"/>
    </row>
    <row r="40" spans="1:8" x14ac:dyDescent="0.25">
      <c r="A40" s="111"/>
      <c r="B40" s="111"/>
      <c r="C40" s="111"/>
      <c r="D40" s="111"/>
      <c r="E40" s="111"/>
      <c r="F40" s="111"/>
      <c r="G40" s="111"/>
      <c r="H40" s="111"/>
    </row>
    <row r="41" spans="1:8" x14ac:dyDescent="0.25">
      <c r="A41" s="111"/>
      <c r="B41" s="111"/>
      <c r="C41" s="111"/>
      <c r="D41" s="111"/>
      <c r="E41" s="111"/>
      <c r="F41" s="111"/>
      <c r="G41" s="111"/>
      <c r="H41" s="111"/>
    </row>
    <row r="42" spans="1:8" x14ac:dyDescent="0.25">
      <c r="A42" s="111"/>
      <c r="B42" s="111"/>
      <c r="C42" s="111"/>
      <c r="D42" s="111"/>
      <c r="E42" s="111"/>
      <c r="F42" s="111"/>
      <c r="G42" s="111"/>
      <c r="H42" s="111"/>
    </row>
    <row r="43" spans="1:8" x14ac:dyDescent="0.25">
      <c r="A43" s="111"/>
      <c r="B43" s="111"/>
      <c r="C43" s="111"/>
      <c r="D43" s="111"/>
      <c r="E43" s="111"/>
      <c r="F43" s="111"/>
      <c r="G43" s="111"/>
      <c r="H43" s="111"/>
    </row>
    <row r="44" spans="1:8" x14ac:dyDescent="0.25">
      <c r="A44" s="111"/>
      <c r="B44" s="111"/>
      <c r="C44" s="111"/>
      <c r="D44" s="111"/>
      <c r="E44" s="111"/>
      <c r="F44" s="111"/>
      <c r="G44" s="111"/>
      <c r="H44" s="111"/>
    </row>
    <row r="45" spans="1:8" x14ac:dyDescent="0.25">
      <c r="A45" s="111"/>
      <c r="B45" s="111"/>
      <c r="C45" s="111"/>
      <c r="D45" s="111"/>
      <c r="E45" s="111"/>
      <c r="F45" s="111"/>
      <c r="G45" s="111"/>
      <c r="H45" s="111"/>
    </row>
    <row r="46" spans="1:8" x14ac:dyDescent="0.25">
      <c r="A46" s="111"/>
      <c r="B46" s="111"/>
      <c r="C46" s="111"/>
      <c r="D46" s="111"/>
      <c r="E46" s="111"/>
      <c r="F46" s="111"/>
      <c r="G46" s="111"/>
      <c r="H46" s="111"/>
    </row>
    <row r="47" spans="1:8" x14ac:dyDescent="0.25">
      <c r="A47" s="111"/>
      <c r="B47" s="111"/>
      <c r="C47" s="111"/>
      <c r="D47" s="111"/>
      <c r="E47" s="111"/>
      <c r="F47" s="111"/>
      <c r="G47" s="111"/>
      <c r="H47" s="111"/>
    </row>
    <row r="48" spans="1:8" x14ac:dyDescent="0.25">
      <c r="A48" s="111"/>
      <c r="B48" s="111"/>
      <c r="C48" s="111"/>
      <c r="D48" s="111"/>
      <c r="E48" s="111"/>
      <c r="F48" s="111"/>
      <c r="G48" s="111"/>
      <c r="H48" s="111"/>
    </row>
  </sheetData>
  <protectedRanges>
    <protectedRange password="CD94" sqref="V1:V13" name="Range1"/>
  </protectedRange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48"/>
  <sheetViews>
    <sheetView workbookViewId="0">
      <selection activeCell="B13" sqref="B13"/>
    </sheetView>
  </sheetViews>
  <sheetFormatPr defaultRowHeight="15" x14ac:dyDescent="0.25"/>
  <cols>
    <col min="1" max="1" width="15.140625" bestFit="1" customWidth="1"/>
    <col min="2" max="2" width="9.85546875" bestFit="1" customWidth="1"/>
    <col min="3" max="3" width="8.5703125" bestFit="1" customWidth="1"/>
    <col min="4" max="4" width="10" bestFit="1" customWidth="1"/>
    <col min="5" max="5" width="9.42578125" bestFit="1" customWidth="1"/>
    <col min="6" max="6" width="6.42578125" bestFit="1" customWidth="1"/>
    <col min="7" max="7" width="16.42578125" bestFit="1" customWidth="1"/>
    <col min="8" max="8" width="9.28515625" bestFit="1" customWidth="1"/>
    <col min="9" max="9" width="8.5703125" bestFit="1" customWidth="1"/>
    <col min="10" max="10" width="4.5703125" bestFit="1" customWidth="1"/>
    <col min="11" max="12" width="8.85546875" bestFit="1" customWidth="1"/>
    <col min="13" max="13" width="16.140625" bestFit="1" customWidth="1"/>
    <col min="14" max="14" width="12.42578125" bestFit="1" customWidth="1"/>
    <col min="15" max="15" width="6.42578125" bestFit="1" customWidth="1"/>
    <col min="16" max="16" width="5.85546875" bestFit="1" customWidth="1"/>
    <col min="17" max="17" width="5.5703125" bestFit="1" customWidth="1"/>
    <col min="18" max="18" width="7.7109375" bestFit="1" customWidth="1"/>
    <col min="19" max="19" width="4.42578125" bestFit="1" customWidth="1"/>
    <col min="20" max="20" width="7.5703125" bestFit="1" customWidth="1"/>
    <col min="21" max="21" width="6.85546875" bestFit="1" customWidth="1"/>
    <col min="22" max="22" width="11" style="115" bestFit="1" customWidth="1"/>
  </cols>
  <sheetData>
    <row r="1" spans="1:22" x14ac:dyDescent="0.25">
      <c r="A1" s="129">
        <v>1</v>
      </c>
      <c r="B1" s="129">
        <v>2</v>
      </c>
      <c r="C1" s="129">
        <v>3</v>
      </c>
      <c r="D1" s="129">
        <v>4</v>
      </c>
      <c r="E1" s="129">
        <v>5</v>
      </c>
      <c r="F1" s="129">
        <v>6</v>
      </c>
      <c r="G1" s="129">
        <v>7</v>
      </c>
      <c r="H1" s="129">
        <v>8</v>
      </c>
      <c r="I1" s="129">
        <v>9</v>
      </c>
      <c r="J1" s="129">
        <v>10</v>
      </c>
      <c r="K1" s="129">
        <v>11</v>
      </c>
      <c r="L1" s="129">
        <v>12</v>
      </c>
      <c r="M1" s="129">
        <v>13</v>
      </c>
      <c r="N1" s="129">
        <v>14</v>
      </c>
      <c r="O1" s="129">
        <v>15</v>
      </c>
      <c r="P1" s="129">
        <v>16</v>
      </c>
      <c r="Q1" s="129">
        <v>17</v>
      </c>
      <c r="R1" s="129">
        <v>18</v>
      </c>
      <c r="S1" s="129">
        <v>19</v>
      </c>
      <c r="T1" s="129">
        <v>20</v>
      </c>
      <c r="U1" s="129">
        <v>21</v>
      </c>
      <c r="V1" s="99"/>
    </row>
    <row r="2" spans="1:22" x14ac:dyDescent="0.25">
      <c r="A2" s="130" t="s">
        <v>334</v>
      </c>
      <c r="B2" s="130" t="s">
        <v>335</v>
      </c>
      <c r="C2" s="130" t="s">
        <v>336</v>
      </c>
      <c r="D2" s="130" t="s">
        <v>337</v>
      </c>
      <c r="E2" s="130" t="s">
        <v>338</v>
      </c>
      <c r="F2" s="130" t="s">
        <v>339</v>
      </c>
      <c r="G2" s="130" t="s">
        <v>340</v>
      </c>
      <c r="H2" s="130" t="s">
        <v>341</v>
      </c>
      <c r="I2" s="130" t="s">
        <v>342</v>
      </c>
      <c r="J2" s="130" t="s">
        <v>116</v>
      </c>
      <c r="K2" s="130" t="s">
        <v>343</v>
      </c>
      <c r="L2" s="130" t="s">
        <v>344</v>
      </c>
      <c r="M2" s="130" t="s">
        <v>366</v>
      </c>
      <c r="N2" s="130" t="s">
        <v>346</v>
      </c>
      <c r="O2" s="130" t="s">
        <v>347</v>
      </c>
      <c r="P2" s="131" t="s">
        <v>348</v>
      </c>
      <c r="Q2" s="130" t="s">
        <v>349</v>
      </c>
      <c r="R2" s="131" t="s">
        <v>350</v>
      </c>
      <c r="S2" s="131" t="s">
        <v>351</v>
      </c>
      <c r="T2" s="131" t="s">
        <v>126</v>
      </c>
      <c r="U2" s="131" t="s">
        <v>129</v>
      </c>
      <c r="V2" s="102"/>
    </row>
    <row r="3" spans="1:22" x14ac:dyDescent="0.25">
      <c r="A3" s="106" t="s">
        <v>367</v>
      </c>
      <c r="B3" s="106">
        <v>4</v>
      </c>
      <c r="C3" s="106">
        <v>16</v>
      </c>
      <c r="D3" s="106">
        <v>6</v>
      </c>
      <c r="E3" s="106">
        <v>1100</v>
      </c>
      <c r="F3" s="106">
        <v>2000</v>
      </c>
      <c r="G3" s="106">
        <v>600</v>
      </c>
      <c r="H3" s="106">
        <v>9.5</v>
      </c>
      <c r="I3" s="109">
        <v>95</v>
      </c>
      <c r="J3" s="108">
        <v>0.6</v>
      </c>
      <c r="K3" s="109" t="s">
        <v>353</v>
      </c>
      <c r="L3" s="109" t="s">
        <v>354</v>
      </c>
      <c r="M3" s="110">
        <v>3</v>
      </c>
      <c r="N3" s="106">
        <v>2.7</v>
      </c>
      <c r="O3" s="132">
        <v>200</v>
      </c>
      <c r="P3" s="107">
        <v>25</v>
      </c>
      <c r="Q3" s="107">
        <v>9.1999999999999993</v>
      </c>
      <c r="R3" s="107">
        <v>30000</v>
      </c>
      <c r="S3" s="107">
        <v>9</v>
      </c>
      <c r="T3" s="107">
        <v>1.22</v>
      </c>
      <c r="U3" s="107">
        <v>1.02</v>
      </c>
      <c r="V3" s="104"/>
    </row>
    <row r="4" spans="1:22" x14ac:dyDescent="0.25">
      <c r="A4" s="106" t="s">
        <v>368</v>
      </c>
      <c r="B4" s="106">
        <v>4</v>
      </c>
      <c r="C4" s="106">
        <v>16</v>
      </c>
      <c r="D4" s="106">
        <v>14</v>
      </c>
      <c r="E4" s="106">
        <v>600</v>
      </c>
      <c r="F4" s="106">
        <v>800</v>
      </c>
      <c r="G4" s="106">
        <v>1000</v>
      </c>
      <c r="H4" s="106">
        <v>15</v>
      </c>
      <c r="I4" s="109">
        <v>70</v>
      </c>
      <c r="J4" s="108">
        <v>0.6</v>
      </c>
      <c r="K4" s="109" t="s">
        <v>353</v>
      </c>
      <c r="L4" s="109" t="s">
        <v>354</v>
      </c>
      <c r="M4" s="110">
        <v>3</v>
      </c>
      <c r="N4" s="106"/>
      <c r="O4" s="109"/>
      <c r="P4" s="107"/>
      <c r="Q4" s="107"/>
      <c r="R4" s="107">
        <v>60000</v>
      </c>
      <c r="S4" s="107"/>
      <c r="T4" s="107"/>
      <c r="U4" s="107"/>
      <c r="V4" s="104"/>
    </row>
    <row r="5" spans="1:22" x14ac:dyDescent="0.25">
      <c r="A5" s="106" t="s">
        <v>369</v>
      </c>
      <c r="B5" s="106">
        <v>4</v>
      </c>
      <c r="C5" s="106">
        <v>16</v>
      </c>
      <c r="D5" s="106">
        <v>14</v>
      </c>
      <c r="E5" s="106">
        <v>600</v>
      </c>
      <c r="F5" s="106">
        <v>800</v>
      </c>
      <c r="G5" s="106">
        <v>1000</v>
      </c>
      <c r="H5" s="106">
        <v>15</v>
      </c>
      <c r="I5" s="109">
        <v>70</v>
      </c>
      <c r="J5" s="108">
        <v>0.6</v>
      </c>
      <c r="K5" s="109" t="s">
        <v>353</v>
      </c>
      <c r="L5" s="109" t="s">
        <v>354</v>
      </c>
      <c r="M5" s="110">
        <v>4.5</v>
      </c>
      <c r="N5" s="106"/>
      <c r="O5" s="109"/>
      <c r="P5" s="107"/>
      <c r="Q5" s="107"/>
      <c r="R5" s="107">
        <v>60000</v>
      </c>
      <c r="S5" s="107"/>
      <c r="T5" s="107"/>
      <c r="U5" s="107"/>
      <c r="V5" s="104"/>
    </row>
    <row r="6" spans="1:22" x14ac:dyDescent="0.25">
      <c r="A6" s="106" t="s">
        <v>370</v>
      </c>
      <c r="B6" s="106">
        <v>4</v>
      </c>
      <c r="C6" s="106">
        <v>16</v>
      </c>
      <c r="D6" s="106">
        <v>20</v>
      </c>
      <c r="E6" s="106">
        <v>600</v>
      </c>
      <c r="F6" s="106">
        <v>800</v>
      </c>
      <c r="G6" s="106">
        <v>1000</v>
      </c>
      <c r="H6" s="106">
        <v>20.9</v>
      </c>
      <c r="I6" s="109">
        <v>70</v>
      </c>
      <c r="J6" s="108">
        <v>0.6</v>
      </c>
      <c r="K6" s="109" t="s">
        <v>353</v>
      </c>
      <c r="L6" s="109" t="s">
        <v>354</v>
      </c>
      <c r="M6" s="110">
        <v>3</v>
      </c>
      <c r="N6" s="106"/>
      <c r="O6" s="109"/>
      <c r="P6" s="107"/>
      <c r="Q6" s="107"/>
      <c r="R6" s="107">
        <v>120000</v>
      </c>
      <c r="S6" s="107"/>
      <c r="T6" s="107"/>
      <c r="U6" s="107"/>
      <c r="V6" s="104"/>
    </row>
    <row r="7" spans="1:22" x14ac:dyDescent="0.25">
      <c r="A7" s="106" t="s">
        <v>371</v>
      </c>
      <c r="B7" s="106">
        <v>4</v>
      </c>
      <c r="C7" s="106">
        <v>16</v>
      </c>
      <c r="D7" s="106">
        <v>20</v>
      </c>
      <c r="E7" s="106">
        <v>600</v>
      </c>
      <c r="F7" s="106">
        <v>800</v>
      </c>
      <c r="G7" s="106">
        <v>1000</v>
      </c>
      <c r="H7" s="106">
        <v>20.9</v>
      </c>
      <c r="I7" s="109">
        <v>70</v>
      </c>
      <c r="J7" s="108">
        <v>0.6</v>
      </c>
      <c r="K7" s="109" t="s">
        <v>353</v>
      </c>
      <c r="L7" s="109" t="s">
        <v>354</v>
      </c>
      <c r="M7" s="110">
        <v>4.5</v>
      </c>
      <c r="N7" s="106"/>
      <c r="O7" s="109"/>
      <c r="P7" s="107"/>
      <c r="Q7" s="107"/>
      <c r="R7" s="107">
        <v>120000</v>
      </c>
      <c r="S7" s="107"/>
      <c r="T7" s="107"/>
      <c r="U7" s="107"/>
      <c r="V7" s="104"/>
    </row>
    <row r="8" spans="1:22" x14ac:dyDescent="0.25">
      <c r="A8" s="106" t="s">
        <v>372</v>
      </c>
      <c r="B8" s="107">
        <f t="shared" ref="B8:I8" si="0">B3</f>
        <v>4</v>
      </c>
      <c r="C8" s="107">
        <f t="shared" si="0"/>
        <v>16</v>
      </c>
      <c r="D8" s="107">
        <f t="shared" si="0"/>
        <v>6</v>
      </c>
      <c r="E8" s="107">
        <f t="shared" si="0"/>
        <v>1100</v>
      </c>
      <c r="F8" s="107">
        <f t="shared" si="0"/>
        <v>2000</v>
      </c>
      <c r="G8" s="107">
        <f t="shared" si="0"/>
        <v>600</v>
      </c>
      <c r="H8" s="107">
        <f t="shared" si="0"/>
        <v>9.5</v>
      </c>
      <c r="I8" s="107">
        <f t="shared" si="0"/>
        <v>95</v>
      </c>
      <c r="J8" s="108">
        <v>0.9</v>
      </c>
      <c r="K8" s="109" t="s">
        <v>354</v>
      </c>
      <c r="L8" s="109" t="s">
        <v>354</v>
      </c>
      <c r="M8" s="107">
        <f t="shared" ref="M8:U8" si="1">M3</f>
        <v>3</v>
      </c>
      <c r="N8" s="107">
        <f t="shared" si="1"/>
        <v>2.7</v>
      </c>
      <c r="O8" s="107">
        <f t="shared" si="1"/>
        <v>200</v>
      </c>
      <c r="P8" s="107">
        <f t="shared" si="1"/>
        <v>25</v>
      </c>
      <c r="Q8" s="107">
        <f t="shared" si="1"/>
        <v>9.1999999999999993</v>
      </c>
      <c r="R8" s="107">
        <f t="shared" si="1"/>
        <v>30000</v>
      </c>
      <c r="S8" s="107">
        <f t="shared" si="1"/>
        <v>9</v>
      </c>
      <c r="T8" s="107">
        <f t="shared" si="1"/>
        <v>1.22</v>
      </c>
      <c r="U8" s="107">
        <f t="shared" si="1"/>
        <v>1.02</v>
      </c>
      <c r="V8" s="104"/>
    </row>
    <row r="9" spans="1:22" x14ac:dyDescent="0.25">
      <c r="A9" s="106" t="s">
        <v>373</v>
      </c>
      <c r="B9" s="107">
        <f t="shared" ref="B9:I9" si="2">B8</f>
        <v>4</v>
      </c>
      <c r="C9" s="107">
        <f t="shared" si="2"/>
        <v>16</v>
      </c>
      <c r="D9" s="107">
        <f t="shared" si="2"/>
        <v>6</v>
      </c>
      <c r="E9" s="107">
        <f t="shared" si="2"/>
        <v>1100</v>
      </c>
      <c r="F9" s="107">
        <f t="shared" si="2"/>
        <v>2000</v>
      </c>
      <c r="G9" s="107">
        <f t="shared" si="2"/>
        <v>600</v>
      </c>
      <c r="H9" s="107">
        <f t="shared" si="2"/>
        <v>9.5</v>
      </c>
      <c r="I9" s="107">
        <f t="shared" si="2"/>
        <v>95</v>
      </c>
      <c r="J9" s="108">
        <v>0.6</v>
      </c>
      <c r="K9" s="109" t="s">
        <v>353</v>
      </c>
      <c r="L9" s="109" t="s">
        <v>354</v>
      </c>
      <c r="M9" s="107">
        <f t="shared" ref="M9:U9" si="3">M8</f>
        <v>3</v>
      </c>
      <c r="N9" s="107">
        <f t="shared" si="3"/>
        <v>2.7</v>
      </c>
      <c r="O9" s="107">
        <f t="shared" si="3"/>
        <v>200</v>
      </c>
      <c r="P9" s="107">
        <f t="shared" si="3"/>
        <v>25</v>
      </c>
      <c r="Q9" s="107">
        <f t="shared" si="3"/>
        <v>9.1999999999999993</v>
      </c>
      <c r="R9" s="107">
        <f t="shared" si="3"/>
        <v>30000</v>
      </c>
      <c r="S9" s="107">
        <f t="shared" si="3"/>
        <v>9</v>
      </c>
      <c r="T9" s="107">
        <f t="shared" si="3"/>
        <v>1.22</v>
      </c>
      <c r="U9" s="107">
        <f t="shared" si="3"/>
        <v>1.02</v>
      </c>
      <c r="V9" s="104"/>
    </row>
    <row r="10" spans="1:22" x14ac:dyDescent="0.25">
      <c r="A10" s="106" t="s">
        <v>374</v>
      </c>
      <c r="B10" s="106">
        <v>4</v>
      </c>
      <c r="C10" s="106">
        <v>16</v>
      </c>
      <c r="D10" s="106">
        <v>12</v>
      </c>
      <c r="E10" s="106">
        <v>600</v>
      </c>
      <c r="F10" s="106">
        <v>800</v>
      </c>
      <c r="G10" s="106">
        <v>1000</v>
      </c>
      <c r="H10" s="106">
        <v>15</v>
      </c>
      <c r="I10" s="109">
        <v>70</v>
      </c>
      <c r="J10" s="108">
        <v>0.9</v>
      </c>
      <c r="K10" s="109" t="s">
        <v>354</v>
      </c>
      <c r="L10" s="109" t="s">
        <v>354</v>
      </c>
      <c r="M10" s="110">
        <v>3</v>
      </c>
      <c r="N10" s="106"/>
      <c r="O10" s="109"/>
      <c r="P10" s="109"/>
      <c r="Q10" s="109"/>
      <c r="R10" s="107">
        <v>60000</v>
      </c>
      <c r="S10" s="108"/>
      <c r="T10" s="107"/>
      <c r="U10" s="107"/>
      <c r="V10" s="104"/>
    </row>
    <row r="11" spans="1:22" x14ac:dyDescent="0.25">
      <c r="A11" s="106" t="s">
        <v>375</v>
      </c>
      <c r="B11" s="106">
        <v>4</v>
      </c>
      <c r="C11" s="106">
        <v>16</v>
      </c>
      <c r="D11" s="106">
        <v>20</v>
      </c>
      <c r="E11" s="106">
        <v>600</v>
      </c>
      <c r="F11" s="106">
        <v>800</v>
      </c>
      <c r="G11" s="106">
        <v>1000</v>
      </c>
      <c r="H11" s="106">
        <v>20.9</v>
      </c>
      <c r="I11" s="109">
        <v>70</v>
      </c>
      <c r="J11" s="108">
        <v>0.9</v>
      </c>
      <c r="K11" s="109" t="s">
        <v>354</v>
      </c>
      <c r="L11" s="109" t="s">
        <v>354</v>
      </c>
      <c r="M11" s="110">
        <v>3</v>
      </c>
      <c r="N11" s="106"/>
      <c r="O11" s="109"/>
      <c r="P11" s="109"/>
      <c r="Q11" s="109"/>
      <c r="R11" s="107">
        <v>120000</v>
      </c>
      <c r="S11" s="108"/>
      <c r="T11" s="107"/>
      <c r="U11" s="107"/>
      <c r="V11" s="104"/>
    </row>
    <row r="12" spans="1:22" x14ac:dyDescent="0.25">
      <c r="A12" s="111"/>
      <c r="B12" s="111"/>
      <c r="C12" s="111"/>
      <c r="D12" s="111"/>
      <c r="E12" s="111"/>
      <c r="F12" s="111"/>
      <c r="G12" s="111"/>
      <c r="H12" s="111"/>
      <c r="I12" s="112"/>
      <c r="J12" s="112"/>
      <c r="K12" s="112"/>
      <c r="L12" s="112"/>
      <c r="M12" s="112"/>
      <c r="N12" s="112"/>
      <c r="O12" s="112"/>
      <c r="P12" s="112"/>
      <c r="Q12" s="112"/>
      <c r="R12" s="113"/>
      <c r="S12" s="113"/>
      <c r="V12" s="104"/>
    </row>
    <row r="13" spans="1:22" x14ac:dyDescent="0.25">
      <c r="A13" s="111" t="s">
        <v>376</v>
      </c>
      <c r="B13" s="114" t="str">
        <f>[1]designCalculations!C4</f>
        <v>TPS53355</v>
      </c>
      <c r="C13" s="111"/>
      <c r="D13" s="111"/>
      <c r="E13" s="111"/>
      <c r="F13" s="111"/>
      <c r="G13" s="111"/>
      <c r="H13" s="111"/>
      <c r="I13" s="112"/>
      <c r="J13" s="112"/>
      <c r="K13" s="112"/>
      <c r="L13" s="112"/>
      <c r="M13" s="112"/>
      <c r="N13" s="112"/>
      <c r="O13" s="112"/>
      <c r="P13" s="112"/>
      <c r="Q13" s="112"/>
      <c r="R13" s="113"/>
      <c r="S13" s="113"/>
      <c r="V13" s="104"/>
    </row>
    <row r="14" spans="1:22" x14ac:dyDescent="0.25">
      <c r="A14" s="111"/>
      <c r="B14" s="111"/>
      <c r="C14" s="111"/>
      <c r="D14" s="111"/>
      <c r="E14" s="111"/>
      <c r="F14" s="111"/>
      <c r="G14" s="111"/>
      <c r="H14" s="111"/>
      <c r="I14" s="112"/>
      <c r="J14" s="112"/>
      <c r="K14" s="112"/>
      <c r="L14" s="112"/>
      <c r="M14" s="112"/>
      <c r="N14" s="112"/>
      <c r="O14" s="112"/>
      <c r="P14" s="112"/>
      <c r="Q14" s="112"/>
      <c r="R14" s="113"/>
      <c r="S14" s="113"/>
    </row>
    <row r="15" spans="1:22" x14ac:dyDescent="0.25">
      <c r="A15" t="s">
        <v>377</v>
      </c>
      <c r="B15" t="s">
        <v>378</v>
      </c>
      <c r="D15" s="133"/>
      <c r="E15" s="134" t="s">
        <v>379</v>
      </c>
      <c r="F15" s="134" t="s">
        <v>380</v>
      </c>
      <c r="G15" s="135" t="s">
        <v>381</v>
      </c>
      <c r="K15" s="112"/>
      <c r="L15" s="112"/>
      <c r="S15" s="113"/>
    </row>
    <row r="16" spans="1:22" x14ac:dyDescent="0.25">
      <c r="A16" s="136" t="e">
        <f>VLOOKUP($B$13,'partData (2)'!$A$3:$N$11,5,FALSE)</f>
        <v>#N/A</v>
      </c>
      <c r="B16" s="133" t="s">
        <v>365</v>
      </c>
      <c r="D16" s="113" t="e">
        <f>CONCATENATE(E16&amp;F16)</f>
        <v>#N/A</v>
      </c>
      <c r="E16" s="134" t="e">
        <f>A16</f>
        <v>#N/A</v>
      </c>
      <c r="F16" s="134" t="s">
        <v>365</v>
      </c>
      <c r="G16" s="137" t="s">
        <v>382</v>
      </c>
      <c r="K16" s="112"/>
      <c r="L16" s="112"/>
      <c r="S16" s="113"/>
    </row>
    <row r="17" spans="1:19" x14ac:dyDescent="0.25">
      <c r="A17" s="120" t="e">
        <f>VLOOKUP($B$13,'partData (2)'!$A$3:$N$11,6,FALSE)</f>
        <v>#N/A</v>
      </c>
      <c r="B17" s="112" t="s">
        <v>383</v>
      </c>
      <c r="D17" s="113" t="e">
        <f t="shared" ref="D17:D21" si="4">CONCATENATE(E17&amp;F17)</f>
        <v>#N/A</v>
      </c>
      <c r="E17" s="134" t="e">
        <f>A17</f>
        <v>#N/A</v>
      </c>
      <c r="F17" s="134" t="s">
        <v>365</v>
      </c>
      <c r="G17" s="137">
        <v>30.1</v>
      </c>
      <c r="K17" s="112"/>
      <c r="L17" s="112"/>
      <c r="S17" s="113"/>
    </row>
    <row r="18" spans="1:19" x14ac:dyDescent="0.25">
      <c r="A18" s="120" t="e">
        <f>VLOOKUP($B$13,'partData (2)'!$A$3:$N$11,7,FALSE)</f>
        <v>#N/A</v>
      </c>
      <c r="B18" s="112"/>
      <c r="D18" s="113" t="e">
        <f t="shared" si="4"/>
        <v>#N/A</v>
      </c>
      <c r="E18" s="134" t="e">
        <f>A18</f>
        <v>#N/A</v>
      </c>
      <c r="F18" s="134" t="s">
        <v>365</v>
      </c>
      <c r="G18" s="137">
        <v>60.4</v>
      </c>
      <c r="K18" s="112"/>
      <c r="L18" s="112"/>
      <c r="S18" s="113"/>
    </row>
    <row r="19" spans="1:19" x14ac:dyDescent="0.25">
      <c r="A19" s="112"/>
      <c r="B19" s="112"/>
      <c r="D19" s="113" t="e">
        <f t="shared" si="4"/>
        <v>#N/A</v>
      </c>
      <c r="E19" s="134" t="e">
        <f>A16</f>
        <v>#N/A</v>
      </c>
      <c r="F19" s="134" t="s">
        <v>383</v>
      </c>
      <c r="G19" s="137" t="s">
        <v>384</v>
      </c>
      <c r="K19" s="112"/>
      <c r="L19" s="112"/>
      <c r="S19" s="113"/>
    </row>
    <row r="20" spans="1:19" x14ac:dyDescent="0.25">
      <c r="A20" s="112"/>
      <c r="B20" s="112"/>
      <c r="D20" s="113" t="e">
        <f t="shared" si="4"/>
        <v>#N/A</v>
      </c>
      <c r="E20" s="134" t="e">
        <f>A17</f>
        <v>#N/A</v>
      </c>
      <c r="F20" s="134" t="s">
        <v>383</v>
      </c>
      <c r="G20" s="137">
        <v>243</v>
      </c>
      <c r="K20" s="112"/>
      <c r="L20" s="112"/>
      <c r="S20" s="113"/>
    </row>
    <row r="21" spans="1:19" x14ac:dyDescent="0.25">
      <c r="A21" s="112"/>
      <c r="B21" s="112"/>
      <c r="D21" s="113" t="e">
        <f t="shared" si="4"/>
        <v>#N/A</v>
      </c>
      <c r="E21" s="134" t="e">
        <f>A18</f>
        <v>#N/A</v>
      </c>
      <c r="F21" s="134" t="s">
        <v>383</v>
      </c>
      <c r="G21" s="137">
        <v>121</v>
      </c>
      <c r="K21" s="112"/>
      <c r="L21" s="112"/>
      <c r="S21" s="113"/>
    </row>
    <row r="22" spans="1:19" x14ac:dyDescent="0.25">
      <c r="A22" s="125"/>
      <c r="B22" s="111"/>
      <c r="C22" s="111"/>
      <c r="D22" s="112"/>
      <c r="E22" s="112"/>
      <c r="K22" s="112"/>
      <c r="L22" s="112"/>
      <c r="M22" s="112"/>
      <c r="N22" s="112"/>
      <c r="O22" s="112"/>
      <c r="P22" s="112"/>
      <c r="Q22" s="112"/>
      <c r="R22" s="113"/>
      <c r="S22" s="113"/>
    </row>
    <row r="23" spans="1:19" x14ac:dyDescent="0.25">
      <c r="A23" s="111"/>
      <c r="B23" s="111"/>
      <c r="C23" s="111"/>
      <c r="D23" s="111"/>
      <c r="E23" s="111"/>
      <c r="F23" s="111"/>
      <c r="G23" s="111"/>
      <c r="H23" s="111"/>
      <c r="I23" s="112"/>
      <c r="J23" s="112"/>
      <c r="K23" s="112"/>
      <c r="L23" s="112"/>
      <c r="M23" s="112"/>
      <c r="N23" s="112"/>
      <c r="O23" s="112"/>
      <c r="P23" s="112"/>
      <c r="Q23" s="112"/>
      <c r="R23" s="113"/>
      <c r="S23" s="113"/>
    </row>
    <row r="24" spans="1:19" x14ac:dyDescent="0.25">
      <c r="A24" s="111"/>
      <c r="B24" s="111"/>
      <c r="C24" s="111"/>
      <c r="D24" s="111"/>
      <c r="E24" s="111"/>
      <c r="F24" s="111"/>
      <c r="G24" s="111"/>
      <c r="H24" s="111"/>
      <c r="I24" s="112"/>
      <c r="J24" s="112"/>
      <c r="K24" s="112"/>
      <c r="L24" s="112"/>
      <c r="M24" s="112"/>
      <c r="N24" s="112"/>
      <c r="O24" s="112"/>
      <c r="P24" s="112"/>
      <c r="Q24" s="112"/>
      <c r="R24" s="113"/>
      <c r="S24" s="113"/>
    </row>
    <row r="25" spans="1:19" x14ac:dyDescent="0.25">
      <c r="A25" s="128"/>
      <c r="B25" s="111"/>
      <c r="C25" s="111"/>
      <c r="D25" s="111"/>
      <c r="E25" s="111"/>
      <c r="F25" s="111"/>
      <c r="G25" s="111"/>
      <c r="H25" s="111"/>
      <c r="I25" s="112"/>
      <c r="J25" s="112"/>
      <c r="K25" s="112"/>
      <c r="L25" s="112"/>
      <c r="M25" s="112"/>
      <c r="N25" s="112"/>
      <c r="O25" s="112"/>
      <c r="P25" s="112"/>
      <c r="Q25" s="112"/>
      <c r="R25" s="113"/>
      <c r="S25" s="113"/>
    </row>
    <row r="26" spans="1:19" x14ac:dyDescent="0.25">
      <c r="A26" s="111"/>
      <c r="B26" s="111"/>
      <c r="C26" s="111"/>
      <c r="D26" s="111"/>
      <c r="E26" s="111"/>
      <c r="F26" s="111"/>
      <c r="G26" s="111"/>
      <c r="H26" s="111"/>
      <c r="I26" s="112"/>
      <c r="J26" s="112"/>
      <c r="K26" s="112"/>
      <c r="L26" s="112"/>
      <c r="M26" s="112"/>
      <c r="N26" s="112"/>
      <c r="O26" s="112"/>
      <c r="P26" s="112"/>
      <c r="Q26" s="112"/>
      <c r="R26" s="113"/>
      <c r="S26" s="113"/>
    </row>
    <row r="27" spans="1:19" x14ac:dyDescent="0.25">
      <c r="A27" s="111"/>
      <c r="B27" s="111"/>
      <c r="C27" s="111"/>
      <c r="D27" s="111"/>
      <c r="E27" s="111"/>
      <c r="F27" s="111"/>
      <c r="G27" s="111"/>
      <c r="H27" s="111"/>
      <c r="I27" s="112"/>
      <c r="J27" s="112"/>
      <c r="K27" s="112"/>
      <c r="L27" s="112"/>
      <c r="M27" s="112"/>
      <c r="N27" s="112"/>
      <c r="O27" s="112"/>
      <c r="P27" s="112"/>
      <c r="Q27" s="112"/>
      <c r="R27" s="113"/>
      <c r="S27" s="113"/>
    </row>
    <row r="28" spans="1:19" x14ac:dyDescent="0.25">
      <c r="A28" s="111"/>
      <c r="B28" s="111"/>
      <c r="C28" s="111"/>
      <c r="D28" s="111"/>
      <c r="E28" s="111"/>
      <c r="F28" s="111"/>
      <c r="G28" s="111"/>
      <c r="H28" s="111"/>
      <c r="I28" s="112"/>
      <c r="J28" s="112"/>
      <c r="K28" s="112"/>
      <c r="L28" s="112"/>
      <c r="M28" s="112"/>
      <c r="N28" s="112"/>
      <c r="O28" s="112"/>
      <c r="P28" s="112"/>
      <c r="Q28" s="112"/>
      <c r="R28" s="113"/>
      <c r="S28" s="113"/>
    </row>
    <row r="30" spans="1:19" x14ac:dyDescent="0.25">
      <c r="A30" s="111"/>
      <c r="B30" s="111"/>
      <c r="C30" s="111"/>
      <c r="D30" s="111"/>
      <c r="E30" s="111"/>
      <c r="F30" s="111"/>
      <c r="G30" s="111"/>
      <c r="H30" s="111"/>
    </row>
    <row r="31" spans="1:19" x14ac:dyDescent="0.25">
      <c r="A31" s="111"/>
      <c r="B31" s="111"/>
      <c r="C31" s="111"/>
      <c r="D31" s="111"/>
      <c r="E31" s="111"/>
      <c r="F31" s="111"/>
      <c r="G31" s="111"/>
      <c r="H31" s="111"/>
    </row>
    <row r="32" spans="1:19" x14ac:dyDescent="0.25">
      <c r="A32" s="111"/>
      <c r="B32" s="111"/>
      <c r="C32" s="111"/>
      <c r="D32" s="111"/>
      <c r="E32" s="111"/>
      <c r="F32" s="111"/>
      <c r="G32" s="111"/>
      <c r="H32" s="111"/>
    </row>
    <row r="33" spans="1:8" x14ac:dyDescent="0.25">
      <c r="A33" s="111"/>
      <c r="B33" s="111"/>
      <c r="C33" s="111"/>
      <c r="D33" s="111"/>
      <c r="E33" s="111"/>
      <c r="F33" s="111"/>
      <c r="G33" s="111"/>
      <c r="H33" s="111"/>
    </row>
    <row r="34" spans="1:8" x14ac:dyDescent="0.25">
      <c r="A34" s="111"/>
      <c r="B34" s="111"/>
      <c r="C34" s="111"/>
      <c r="D34" s="111"/>
      <c r="E34" s="111"/>
      <c r="F34" s="111"/>
      <c r="G34" s="111"/>
      <c r="H34" s="111"/>
    </row>
    <row r="35" spans="1:8" x14ac:dyDescent="0.25">
      <c r="A35" s="111"/>
      <c r="B35" s="111"/>
      <c r="C35" s="111"/>
      <c r="D35" s="111"/>
      <c r="E35" s="111"/>
      <c r="F35" s="111"/>
      <c r="G35" s="111"/>
      <c r="H35" s="111"/>
    </row>
    <row r="36" spans="1:8" x14ac:dyDescent="0.25">
      <c r="A36" s="111"/>
      <c r="B36" s="111"/>
      <c r="C36" s="111"/>
      <c r="D36" s="111"/>
      <c r="E36" s="111"/>
      <c r="F36" s="111"/>
      <c r="G36" s="111"/>
      <c r="H36" s="111"/>
    </row>
    <row r="37" spans="1:8" x14ac:dyDescent="0.25">
      <c r="A37" s="111"/>
      <c r="B37" s="111"/>
      <c r="C37" s="111"/>
      <c r="D37" s="111"/>
      <c r="E37" s="111"/>
      <c r="F37" s="111"/>
      <c r="G37" s="111"/>
      <c r="H37" s="111"/>
    </row>
    <row r="38" spans="1:8" x14ac:dyDescent="0.25">
      <c r="A38" s="111"/>
      <c r="B38" s="111"/>
      <c r="C38" s="111"/>
      <c r="D38" s="111"/>
      <c r="E38" s="111"/>
      <c r="F38" s="111"/>
      <c r="G38" s="111"/>
      <c r="H38" s="111"/>
    </row>
    <row r="39" spans="1:8" x14ac:dyDescent="0.25">
      <c r="A39" s="111"/>
      <c r="B39" s="111"/>
      <c r="C39" s="111"/>
      <c r="D39" s="111"/>
      <c r="E39" s="111"/>
      <c r="F39" s="111"/>
      <c r="G39" s="111"/>
      <c r="H39" s="111"/>
    </row>
    <row r="40" spans="1:8" x14ac:dyDescent="0.25">
      <c r="A40" s="111"/>
      <c r="B40" s="111"/>
      <c r="C40" s="111"/>
      <c r="D40" s="111"/>
      <c r="E40" s="111"/>
      <c r="F40" s="111"/>
      <c r="G40" s="111"/>
      <c r="H40" s="111"/>
    </row>
    <row r="41" spans="1:8" x14ac:dyDescent="0.25">
      <c r="A41" s="111"/>
      <c r="B41" s="111"/>
      <c r="C41" s="111"/>
      <c r="D41" s="111"/>
      <c r="E41" s="111"/>
      <c r="F41" s="111"/>
      <c r="G41" s="111"/>
      <c r="H41" s="111"/>
    </row>
    <row r="42" spans="1:8" x14ac:dyDescent="0.25">
      <c r="A42" s="111"/>
      <c r="B42" s="111"/>
      <c r="C42" s="111"/>
      <c r="D42" s="111"/>
      <c r="E42" s="111"/>
      <c r="F42" s="111"/>
      <c r="G42" s="111"/>
      <c r="H42" s="111"/>
    </row>
    <row r="43" spans="1:8" x14ac:dyDescent="0.25">
      <c r="A43" s="111"/>
      <c r="B43" s="111"/>
      <c r="C43" s="111"/>
      <c r="D43" s="111"/>
      <c r="E43" s="111"/>
      <c r="F43" s="111"/>
      <c r="G43" s="111"/>
      <c r="H43" s="111"/>
    </row>
    <row r="44" spans="1:8" x14ac:dyDescent="0.25">
      <c r="A44" s="111"/>
      <c r="B44" s="111"/>
      <c r="C44" s="111"/>
      <c r="D44" s="111"/>
      <c r="E44" s="111"/>
      <c r="F44" s="111"/>
      <c r="G44" s="111"/>
      <c r="H44" s="111"/>
    </row>
    <row r="45" spans="1:8" x14ac:dyDescent="0.25">
      <c r="A45" s="111"/>
      <c r="B45" s="111"/>
      <c r="C45" s="111"/>
      <c r="D45" s="111"/>
      <c r="E45" s="111"/>
      <c r="F45" s="111"/>
      <c r="G45" s="111"/>
      <c r="H45" s="111"/>
    </row>
    <row r="46" spans="1:8" x14ac:dyDescent="0.25">
      <c r="A46" s="111"/>
      <c r="B46" s="111"/>
      <c r="C46" s="111"/>
      <c r="D46" s="111"/>
      <c r="E46" s="111"/>
      <c r="F46" s="111"/>
      <c r="G46" s="111"/>
      <c r="H46" s="111"/>
    </row>
    <row r="47" spans="1:8" x14ac:dyDescent="0.25">
      <c r="A47" s="111"/>
      <c r="B47" s="111"/>
      <c r="C47" s="111"/>
      <c r="D47" s="111"/>
      <c r="E47" s="111"/>
      <c r="F47" s="111"/>
      <c r="G47" s="111"/>
      <c r="H47" s="111"/>
    </row>
    <row r="48" spans="1:8" x14ac:dyDescent="0.25">
      <c r="A48" s="111"/>
      <c r="B48" s="111"/>
      <c r="C48" s="111"/>
      <c r="D48" s="111"/>
      <c r="E48" s="111"/>
      <c r="F48" s="111"/>
      <c r="G48" s="111"/>
      <c r="H48" s="111"/>
    </row>
  </sheetData>
  <protectedRanges>
    <protectedRange password="CD94" sqref="V1:V13" name="Range1"/>
  </protectedRange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E5"/>
  <sheetViews>
    <sheetView workbookViewId="0">
      <selection activeCell="E4" sqref="E4"/>
    </sheetView>
  </sheetViews>
  <sheetFormatPr defaultRowHeight="15" x14ac:dyDescent="0.25"/>
  <cols>
    <col min="2" max="2" width="20.42578125" bestFit="1" customWidth="1"/>
  </cols>
  <sheetData>
    <row r="2" spans="2:5" x14ac:dyDescent="0.25">
      <c r="B2" t="s">
        <v>4</v>
      </c>
      <c r="E2" t="s">
        <v>412</v>
      </c>
    </row>
    <row r="3" spans="2:5" x14ac:dyDescent="0.25">
      <c r="B3" t="s">
        <v>5</v>
      </c>
      <c r="E3" t="s">
        <v>413</v>
      </c>
    </row>
    <row r="4" spans="2:5" x14ac:dyDescent="0.25">
      <c r="B4" t="s">
        <v>69</v>
      </c>
    </row>
    <row r="5" spans="2:5" x14ac:dyDescent="0.25">
      <c r="B5"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849348C3AB334CB852776262B7D24F" ma:contentTypeVersion="0" ma:contentTypeDescription="Create a new document." ma:contentTypeScope="" ma:versionID="852458224b0d956bf34f082d0ff9787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800AA2-EEB7-4C57-AE17-D3868A19F7E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1B850A6-2376-4606-89E2-BB7791D16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C2DB35C-6663-4A92-937A-E65EB27E9D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Device Calculator</vt:lpstr>
      <vt:lpstr>Schematic Checklist</vt:lpstr>
      <vt:lpstr>Layout Checklist</vt:lpstr>
      <vt:lpstr>partData</vt:lpstr>
      <vt:lpstr>partData (2)</vt:lpstr>
      <vt:lpstr>Extra</vt:lpstr>
      <vt:lpstr>c_ramp</vt:lpstr>
      <vt:lpstr>Cboot</vt:lpstr>
      <vt:lpstr>Cin</vt:lpstr>
      <vt:lpstr>'Device Calculator'!Cout</vt:lpstr>
      <vt:lpstr>Cout_derating</vt:lpstr>
      <vt:lpstr>Cout_nominal</vt:lpstr>
      <vt:lpstr>Cvcc</vt:lpstr>
      <vt:lpstr>'Device Calculator'!DCR</vt:lpstr>
      <vt:lpstr>dVo_dc</vt:lpstr>
      <vt:lpstr>dVo_trans</vt:lpstr>
      <vt:lpstr>EN_fall</vt:lpstr>
      <vt:lpstr>EN_pin_connected</vt:lpstr>
      <vt:lpstr>EN_pin_in</vt:lpstr>
      <vt:lpstr>EN_rise</vt:lpstr>
      <vt:lpstr>'Device Calculator'!ESR</vt:lpstr>
      <vt:lpstr>ESR_nominal</vt:lpstr>
      <vt:lpstr>f_LC</vt:lpstr>
      <vt:lpstr>fsw_select</vt:lpstr>
      <vt:lpstr>I_lim_target</vt:lpstr>
      <vt:lpstr>I_lim_typ</vt:lpstr>
      <vt:lpstr>Io_max_IC</vt:lpstr>
      <vt:lpstr>Io_step</vt:lpstr>
      <vt:lpstr>Iout</vt:lpstr>
      <vt:lpstr>Iripple_max</vt:lpstr>
      <vt:lpstr>Iripple_min</vt:lpstr>
      <vt:lpstr>Ivalley</vt:lpstr>
      <vt:lpstr>Kind</vt:lpstr>
      <vt:lpstr>'Device Calculator'!Lout</vt:lpstr>
      <vt:lpstr>N_Cout</vt:lpstr>
      <vt:lpstr>N_factor</vt:lpstr>
      <vt:lpstr>OC_clamp</vt:lpstr>
      <vt:lpstr>'Schematic Checklist'!Print_Titles</vt:lpstr>
      <vt:lpstr>Q_input</vt:lpstr>
      <vt:lpstr>r_ripple</vt:lpstr>
      <vt:lpstr>Rdson_HS</vt:lpstr>
      <vt:lpstr>Rdson_LS</vt:lpstr>
      <vt:lpstr>Ren_b</vt:lpstr>
      <vt:lpstr>Ren_b_eff</vt:lpstr>
      <vt:lpstr>Ren_t</vt:lpstr>
      <vt:lpstr>Rfb_b</vt:lpstr>
      <vt:lpstr>Rfb_t</vt:lpstr>
      <vt:lpstr>Rfb_t_final</vt:lpstr>
      <vt:lpstr>ROVP_margin</vt:lpstr>
      <vt:lpstr>rovp_total</vt:lpstr>
      <vt:lpstr>Rpg</vt:lpstr>
      <vt:lpstr>Rrovp_b</vt:lpstr>
      <vt:lpstr>Rrovp_t</vt:lpstr>
      <vt:lpstr>Rtrip</vt:lpstr>
      <vt:lpstr>Rtrip_gain</vt:lpstr>
      <vt:lpstr>toff_min_max</vt:lpstr>
      <vt:lpstr>Tol_L</vt:lpstr>
      <vt:lpstr>ton_min_max</vt:lpstr>
      <vt:lpstr>vfb_1</vt:lpstr>
      <vt:lpstr>vfb_ripple_calc</vt:lpstr>
      <vt:lpstr>Vi_ripple_target</vt:lpstr>
      <vt:lpstr>Vin_max</vt:lpstr>
      <vt:lpstr>Vin_min</vt:lpstr>
      <vt:lpstr>Vin_nom</vt:lpstr>
      <vt:lpstr>vinj_calculated</vt:lpstr>
      <vt:lpstr>Vout</vt:lpstr>
      <vt:lpstr>Vref</vt:lpstr>
      <vt:lpstr>Vstart_target</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Layne</dc:creator>
  <cp:lastModifiedBy>Jackson, Layne</cp:lastModifiedBy>
  <cp:lastPrinted>2015-12-02T21:47:30Z</cp:lastPrinted>
  <dcterms:created xsi:type="dcterms:W3CDTF">2015-06-04T00:22:15Z</dcterms:created>
  <dcterms:modified xsi:type="dcterms:W3CDTF">2020-02-26T20:09:35Z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0x01010089849348C3AB334CB852776262B7D24F</vt:lpwstr>
  </property>
</Properties>
</file>