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termistor test\"/>
    </mc:Choice>
  </mc:AlternateContent>
  <xr:revisionPtr revIDLastSave="0" documentId="13_ncr:1_{FA85931A-C156-4B18-BF78-53EA5F658086}" xr6:coauthVersionLast="36" xr6:coauthVersionMax="36" xr10:uidLastSave="{00000000-0000-0000-0000-000000000000}"/>
  <workbookProtection workbookPassword="CCA0" lockStructure="1"/>
  <bookViews>
    <workbookView xWindow="5700" yWindow="105" windowWidth="5580" windowHeight="8025" xr2:uid="{00000000-000D-0000-FFFF-FFFF00000000}"/>
  </bookViews>
  <sheets>
    <sheet name="Accuracy" sheetId="1" r:id="rId1"/>
    <sheet name="Thermistor" sheetId="2" state="hidden" r:id="rId2"/>
    <sheet name="Resistor Network" sheetId="3" state="hidden" r:id="rId3"/>
    <sheet name="Digital" sheetId="4" state="hidden" r:id="rId4"/>
    <sheet name="best fit" sheetId="10" state="hidden" r:id="rId5"/>
    <sheet name="Thermistor Database" sheetId="8" r:id="rId6"/>
    <sheet name="Sheet1" sheetId="9" state="hidden" r:id="rId7"/>
    <sheet name="What If" sheetId="11" state="hidden" r:id="rId8"/>
  </sheets>
  <definedNames>
    <definedName name="_xlnm._FilterDatabase" localSheetId="0" hidden="1">Accuracy!$F$4:$F$34</definedName>
    <definedName name="Beta">#REF!</definedName>
    <definedName name="E96Resistor">Sheet1!$G$3:$G$292</definedName>
    <definedName name="R_at_Ref_Temp">#REF!</definedName>
    <definedName name="Ref_Temp">#REF!</definedName>
    <definedName name="solver_adj" localSheetId="3" hidden="1">Digital!$AB$42:$AB$42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Digital!$AC$42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3</definedName>
    <definedName name="solver_val" localSheetId="3" hidden="1">0</definedName>
    <definedName name="Tolerance">Sheet1!$J$3:$J$12</definedName>
  </definedNames>
  <calcPr calcId="191029"/>
</workbook>
</file>

<file path=xl/calcChain.xml><?xml version="1.0" encoding="utf-8"?>
<calcChain xmlns="http://schemas.openxmlformats.org/spreadsheetml/2006/main">
  <c r="G5" i="10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H39" i="11"/>
  <c r="J39" i="11" s="1"/>
  <c r="K39" i="11" s="1"/>
  <c r="H38" i="11"/>
  <c r="J38" i="11" s="1"/>
  <c r="K38" i="11" s="1"/>
  <c r="H37" i="11"/>
  <c r="J37" i="11" s="1"/>
  <c r="K37" i="11" s="1"/>
  <c r="H36" i="11"/>
  <c r="J36" i="11" s="1"/>
  <c r="K36" i="11" s="1"/>
  <c r="H35" i="11"/>
  <c r="J35" i="11" s="1"/>
  <c r="K35" i="11" s="1"/>
  <c r="L35" i="11" s="1"/>
  <c r="H34" i="11"/>
  <c r="J34" i="11" s="1"/>
  <c r="K34" i="11" s="1"/>
  <c r="H33" i="11"/>
  <c r="J33" i="11" s="1"/>
  <c r="K33" i="11" s="1"/>
  <c r="H32" i="11"/>
  <c r="J32" i="11" s="1"/>
  <c r="K32" i="11" s="1"/>
  <c r="H31" i="11"/>
  <c r="J31" i="11" s="1"/>
  <c r="K31" i="11" s="1"/>
  <c r="L31" i="11" s="1"/>
  <c r="H30" i="11"/>
  <c r="J30" i="11" s="1"/>
  <c r="K30" i="11" s="1"/>
  <c r="H29" i="11"/>
  <c r="J29" i="11" s="1"/>
  <c r="K29" i="11" s="1"/>
  <c r="H28" i="11"/>
  <c r="J28" i="11" s="1"/>
  <c r="K28" i="11" s="1"/>
  <c r="H27" i="11"/>
  <c r="J27" i="11" s="1"/>
  <c r="K27" i="11" s="1"/>
  <c r="L27" i="11" s="1"/>
  <c r="H26" i="11"/>
  <c r="J26" i="11" s="1"/>
  <c r="K26" i="11" s="1"/>
  <c r="H25" i="11"/>
  <c r="J25" i="11" s="1"/>
  <c r="K25" i="11" s="1"/>
  <c r="H24" i="11"/>
  <c r="J24" i="11" s="1"/>
  <c r="K24" i="11" s="1"/>
  <c r="L24" i="11" s="1"/>
  <c r="H23" i="11"/>
  <c r="J23" i="11" s="1"/>
  <c r="K23" i="11" s="1"/>
  <c r="L23" i="11" s="1"/>
  <c r="H22" i="11"/>
  <c r="J22" i="11" s="1"/>
  <c r="K22" i="11" s="1"/>
  <c r="H21" i="11"/>
  <c r="J21" i="11" s="1"/>
  <c r="K21" i="11" s="1"/>
  <c r="H20" i="11"/>
  <c r="J20" i="11" s="1"/>
  <c r="K20" i="11" s="1"/>
  <c r="L20" i="11" s="1"/>
  <c r="H19" i="11"/>
  <c r="J19" i="11" s="1"/>
  <c r="K19" i="11" s="1"/>
  <c r="L19" i="11" s="1"/>
  <c r="H18" i="11"/>
  <c r="J18" i="11" s="1"/>
  <c r="K18" i="11" s="1"/>
  <c r="H17" i="11"/>
  <c r="J17" i="11" s="1"/>
  <c r="K17" i="11" s="1"/>
  <c r="H16" i="11"/>
  <c r="J16" i="11" s="1"/>
  <c r="K16" i="11" s="1"/>
  <c r="L16" i="11" s="1"/>
  <c r="H15" i="11"/>
  <c r="J15" i="11" s="1"/>
  <c r="K15" i="11" s="1"/>
  <c r="H14" i="11"/>
  <c r="J14" i="11" s="1"/>
  <c r="K14" i="11" s="1"/>
  <c r="L14" i="11" s="1"/>
  <c r="H13" i="11"/>
  <c r="J13" i="11" s="1"/>
  <c r="K13" i="11" s="1"/>
  <c r="H12" i="11"/>
  <c r="J12" i="11" s="1"/>
  <c r="K12" i="11" s="1"/>
  <c r="L12" i="11" s="1"/>
  <c r="H11" i="11"/>
  <c r="J11" i="11" s="1"/>
  <c r="K11" i="11" s="1"/>
  <c r="H10" i="11"/>
  <c r="J10" i="11" s="1"/>
  <c r="K10" i="11" s="1"/>
  <c r="L10" i="11" s="1"/>
  <c r="H9" i="11"/>
  <c r="J9" i="11" s="1"/>
  <c r="K9" i="11" s="1"/>
  <c r="H8" i="11"/>
  <c r="J8" i="11" s="1"/>
  <c r="K8" i="11" s="1"/>
  <c r="L8" i="11" s="1"/>
  <c r="H7" i="11"/>
  <c r="J7" i="11" s="1"/>
  <c r="K7" i="11" s="1"/>
  <c r="H6" i="11"/>
  <c r="J6" i="11" s="1"/>
  <c r="K6" i="11" s="1"/>
  <c r="L6" i="11" s="1"/>
  <c r="H5" i="11"/>
  <c r="J5" i="11" s="1"/>
  <c r="K5" i="11" s="1"/>
  <c r="H4" i="11"/>
  <c r="J4" i="11" s="1"/>
  <c r="K4" i="11" s="1"/>
  <c r="G39" i="11"/>
  <c r="R39" i="11" s="1"/>
  <c r="G38" i="11"/>
  <c r="R38" i="11" s="1"/>
  <c r="G37" i="11"/>
  <c r="R37" i="11" s="1"/>
  <c r="G36" i="11"/>
  <c r="R36" i="11" s="1"/>
  <c r="G35" i="11"/>
  <c r="R35" i="11" s="1"/>
  <c r="G34" i="11"/>
  <c r="R34" i="11" s="1"/>
  <c r="G33" i="11"/>
  <c r="R33" i="11" s="1"/>
  <c r="G32" i="11"/>
  <c r="R32" i="11" s="1"/>
  <c r="G31" i="11"/>
  <c r="R31" i="11"/>
  <c r="G30" i="11"/>
  <c r="R30" i="11" s="1"/>
  <c r="G29" i="11"/>
  <c r="R29" i="11" s="1"/>
  <c r="G28" i="11"/>
  <c r="R28" i="11" s="1"/>
  <c r="G27" i="11"/>
  <c r="R27" i="11" s="1"/>
  <c r="G26" i="11"/>
  <c r="R26" i="11" s="1"/>
  <c r="G25" i="11"/>
  <c r="R25" i="11" s="1"/>
  <c r="G24" i="11"/>
  <c r="R24" i="11" s="1"/>
  <c r="G23" i="11"/>
  <c r="R23" i="11" s="1"/>
  <c r="G22" i="11"/>
  <c r="R22" i="11" s="1"/>
  <c r="G21" i="11"/>
  <c r="R21" i="11" s="1"/>
  <c r="G20" i="11"/>
  <c r="R20" i="11" s="1"/>
  <c r="G19" i="11"/>
  <c r="R19" i="11" s="1"/>
  <c r="G18" i="11"/>
  <c r="R18" i="11" s="1"/>
  <c r="G17" i="11"/>
  <c r="R17" i="11" s="1"/>
  <c r="G16" i="11"/>
  <c r="R16" i="11" s="1"/>
  <c r="G15" i="11"/>
  <c r="R15" i="11" s="1"/>
  <c r="G14" i="11"/>
  <c r="R14" i="11" s="1"/>
  <c r="G13" i="11"/>
  <c r="R13" i="11" s="1"/>
  <c r="G12" i="11"/>
  <c r="R12" i="11"/>
  <c r="G11" i="11"/>
  <c r="R11" i="11" s="1"/>
  <c r="G10" i="11"/>
  <c r="R10" i="11" s="1"/>
  <c r="G9" i="11"/>
  <c r="R9" i="11" s="1"/>
  <c r="G8" i="11"/>
  <c r="R8" i="11" s="1"/>
  <c r="G7" i="11"/>
  <c r="R7" i="11" s="1"/>
  <c r="G6" i="11"/>
  <c r="R6" i="11" s="1"/>
  <c r="G5" i="11"/>
  <c r="R5" i="11" s="1"/>
  <c r="G4" i="11"/>
  <c r="R4" i="11" s="1"/>
  <c r="C5" i="2"/>
  <c r="D35" i="3"/>
  <c r="D19" i="3"/>
  <c r="D18" i="10"/>
  <c r="D15" i="3"/>
  <c r="AB15" i="3" s="1"/>
  <c r="D15" i="4" s="1"/>
  <c r="J15" i="4" s="1"/>
  <c r="N15" i="4" s="1"/>
  <c r="D14" i="10"/>
  <c r="D6" i="10"/>
  <c r="I6" i="10"/>
  <c r="I5" i="10"/>
  <c r="D40" i="3"/>
  <c r="AB40" i="3" s="1"/>
  <c r="D40" i="4" s="1"/>
  <c r="F40" i="10" s="1"/>
  <c r="D39" i="3"/>
  <c r="D38" i="3"/>
  <c r="D37" i="3"/>
  <c r="D36" i="3"/>
  <c r="D40" i="10"/>
  <c r="D39" i="10"/>
  <c r="D37" i="10"/>
  <c r="D36" i="10"/>
  <c r="C40" i="4"/>
  <c r="C40" i="10" s="1"/>
  <c r="C39" i="4"/>
  <c r="C39" i="10" s="1"/>
  <c r="C38" i="4"/>
  <c r="C38" i="10" s="1"/>
  <c r="N38" i="10" s="1"/>
  <c r="C37" i="4"/>
  <c r="C37" i="10" s="1"/>
  <c r="N37" i="10" s="1"/>
  <c r="C36" i="4"/>
  <c r="C36" i="10" s="1"/>
  <c r="C5" i="4"/>
  <c r="C5" i="10" s="1"/>
  <c r="C6" i="4"/>
  <c r="C6" i="10" s="1"/>
  <c r="C7" i="4"/>
  <c r="C7" i="10"/>
  <c r="C8" i="4"/>
  <c r="C8" i="10" s="1"/>
  <c r="C9" i="4"/>
  <c r="C9" i="10" s="1"/>
  <c r="C10" i="4"/>
  <c r="C11" i="4"/>
  <c r="C11" i="10" s="1"/>
  <c r="N11" i="10" s="1"/>
  <c r="C12" i="4"/>
  <c r="C12" i="10" s="1"/>
  <c r="C13" i="4"/>
  <c r="C13" i="10" s="1"/>
  <c r="C14" i="4"/>
  <c r="C14" i="10" s="1"/>
  <c r="N14" i="10" s="1"/>
  <c r="C15" i="4"/>
  <c r="C15" i="10" s="1"/>
  <c r="C16" i="4"/>
  <c r="C16" i="10" s="1"/>
  <c r="N16" i="10" s="1"/>
  <c r="C17" i="4"/>
  <c r="C17" i="10" s="1"/>
  <c r="N17" i="10" s="1"/>
  <c r="C18" i="4"/>
  <c r="C18" i="10" s="1"/>
  <c r="AE18" i="10" s="1"/>
  <c r="C19" i="4"/>
  <c r="C19" i="10" s="1"/>
  <c r="AE19" i="10" s="1"/>
  <c r="C20" i="4"/>
  <c r="C20" i="10" s="1"/>
  <c r="C21" i="4"/>
  <c r="C21" i="10" s="1"/>
  <c r="AE21" i="10" s="1"/>
  <c r="C22" i="4"/>
  <c r="C22" i="10" s="1"/>
  <c r="AE22" i="10" s="1"/>
  <c r="C23" i="4"/>
  <c r="C23" i="10" s="1"/>
  <c r="C24" i="4"/>
  <c r="C24" i="10" s="1"/>
  <c r="C25" i="4"/>
  <c r="C25" i="10" s="1"/>
  <c r="C26" i="4"/>
  <c r="C26" i="10"/>
  <c r="C27" i="4"/>
  <c r="C27" i="10" s="1"/>
  <c r="C28" i="4"/>
  <c r="C28" i="10" s="1"/>
  <c r="AE28" i="10" s="1"/>
  <c r="C29" i="4"/>
  <c r="C29" i="10" s="1"/>
  <c r="N29" i="10" s="1"/>
  <c r="C30" i="4"/>
  <c r="C30" i="10"/>
  <c r="C31" i="4"/>
  <c r="C31" i="10" s="1"/>
  <c r="C32" i="4"/>
  <c r="C32" i="10" s="1"/>
  <c r="AE32" i="10" s="1"/>
  <c r="C33" i="4"/>
  <c r="C33" i="10" s="1"/>
  <c r="N33" i="10" s="1"/>
  <c r="C34" i="4"/>
  <c r="C34" i="10" s="1"/>
  <c r="C35" i="4"/>
  <c r="C35" i="10" s="1"/>
  <c r="B5" i="4"/>
  <c r="AA45" i="3"/>
  <c r="D5" i="3"/>
  <c r="AA44" i="3"/>
  <c r="K40" i="3"/>
  <c r="K39" i="3"/>
  <c r="K38" i="3"/>
  <c r="K37" i="3"/>
  <c r="K36" i="3"/>
  <c r="C40" i="3"/>
  <c r="I43" i="3" s="1"/>
  <c r="C39" i="3"/>
  <c r="C38" i="3"/>
  <c r="C37" i="3"/>
  <c r="C36" i="3"/>
  <c r="D62" i="2"/>
  <c r="G62" i="2" s="1"/>
  <c r="D59" i="2"/>
  <c r="G59" i="2" s="1"/>
  <c r="C40" i="2"/>
  <c r="C20" i="2"/>
  <c r="C12" i="2"/>
  <c r="C8" i="2"/>
  <c r="C6" i="2"/>
  <c r="C22" i="2"/>
  <c r="C13" i="2"/>
  <c r="C18" i="2"/>
  <c r="D49" i="2" s="1"/>
  <c r="G49" i="2" s="1"/>
  <c r="C15" i="2"/>
  <c r="C28" i="2"/>
  <c r="C32" i="2"/>
  <c r="C34" i="2"/>
  <c r="C35" i="2"/>
  <c r="C16" i="2"/>
  <c r="C19" i="2"/>
  <c r="C27" i="2"/>
  <c r="C37" i="2"/>
  <c r="C36" i="2"/>
  <c r="C39" i="2"/>
  <c r="C38" i="2"/>
  <c r="C30" i="2"/>
  <c r="C29" i="2"/>
  <c r="C10" i="2"/>
  <c r="C9" i="2"/>
  <c r="K18" i="3"/>
  <c r="C5" i="3"/>
  <c r="I42" i="3" s="1"/>
  <c r="C35" i="3"/>
  <c r="C7" i="2"/>
  <c r="C11" i="2"/>
  <c r="C14" i="2"/>
  <c r="C17" i="2"/>
  <c r="C21" i="2"/>
  <c r="C23" i="2"/>
  <c r="C24" i="2"/>
  <c r="C25" i="2"/>
  <c r="C26" i="2"/>
  <c r="C31" i="2"/>
  <c r="C33" i="2"/>
  <c r="K6" i="3"/>
  <c r="K7" i="3"/>
  <c r="D7" i="3"/>
  <c r="AB7" i="3" s="1"/>
  <c r="D7" i="4" s="1"/>
  <c r="F7" i="10" s="1"/>
  <c r="K8" i="3"/>
  <c r="D8" i="3"/>
  <c r="K9" i="3"/>
  <c r="D9" i="3"/>
  <c r="AB9" i="3" s="1"/>
  <c r="D9" i="4" s="1"/>
  <c r="K10" i="3"/>
  <c r="K11" i="3"/>
  <c r="D11" i="3"/>
  <c r="AB11" i="3" s="1"/>
  <c r="D11" i="4" s="1"/>
  <c r="J11" i="4" s="1"/>
  <c r="N11" i="4" s="1"/>
  <c r="K12" i="3"/>
  <c r="D12" i="3"/>
  <c r="K13" i="3"/>
  <c r="D13" i="3"/>
  <c r="K14" i="3"/>
  <c r="K15" i="3"/>
  <c r="K16" i="3"/>
  <c r="D16" i="3"/>
  <c r="AB16" i="3" s="1"/>
  <c r="D16" i="4" s="1"/>
  <c r="K17" i="3"/>
  <c r="D17" i="3"/>
  <c r="K19" i="3"/>
  <c r="K20" i="3"/>
  <c r="D20" i="3"/>
  <c r="K21" i="3"/>
  <c r="D21" i="3"/>
  <c r="K22" i="3"/>
  <c r="D22" i="3"/>
  <c r="AB22" i="3" s="1"/>
  <c r="D22" i="4" s="1"/>
  <c r="F22" i="10" s="1"/>
  <c r="K23" i="3"/>
  <c r="D23" i="3"/>
  <c r="AB23" i="3" s="1"/>
  <c r="D23" i="4" s="1"/>
  <c r="F23" i="10" s="1"/>
  <c r="K24" i="3"/>
  <c r="D24" i="3"/>
  <c r="K25" i="3"/>
  <c r="D25" i="3"/>
  <c r="K26" i="3"/>
  <c r="D26" i="3"/>
  <c r="K27" i="3"/>
  <c r="D27" i="3"/>
  <c r="K28" i="3"/>
  <c r="D28" i="3"/>
  <c r="AB28" i="3" s="1"/>
  <c r="D28" i="4" s="1"/>
  <c r="K29" i="3"/>
  <c r="D29" i="3"/>
  <c r="K30" i="3"/>
  <c r="D30" i="3"/>
  <c r="AB30" i="3" s="1"/>
  <c r="D30" i="4" s="1"/>
  <c r="F30" i="10" s="1"/>
  <c r="K31" i="3"/>
  <c r="D31" i="3"/>
  <c r="K32" i="3"/>
  <c r="D32" i="3"/>
  <c r="K33" i="3"/>
  <c r="D33" i="3"/>
  <c r="K34" i="3"/>
  <c r="K35" i="3"/>
  <c r="K5" i="3"/>
  <c r="D7" i="10"/>
  <c r="D8" i="10"/>
  <c r="D9" i="10"/>
  <c r="D11" i="10"/>
  <c r="D12" i="10"/>
  <c r="D13" i="10"/>
  <c r="D15" i="10"/>
  <c r="D16" i="10"/>
  <c r="D17" i="10"/>
  <c r="D19" i="10"/>
  <c r="D20" i="10"/>
  <c r="D21" i="10"/>
  <c r="D23" i="10"/>
  <c r="D24" i="10"/>
  <c r="D25" i="10"/>
  <c r="D27" i="10"/>
  <c r="D28" i="10"/>
  <c r="D29" i="10"/>
  <c r="D31" i="10"/>
  <c r="D32" i="10"/>
  <c r="D33" i="10"/>
  <c r="D35" i="10"/>
  <c r="D5" i="10"/>
  <c r="D4" i="10"/>
  <c r="E4" i="10"/>
  <c r="C4" i="10"/>
  <c r="D3" i="9"/>
  <c r="G291" i="9"/>
  <c r="D98" i="9"/>
  <c r="G290" i="9"/>
  <c r="D97" i="9"/>
  <c r="G289" i="9" s="1"/>
  <c r="D96" i="9"/>
  <c r="G96" i="9" s="1"/>
  <c r="G288" i="9"/>
  <c r="D95" i="9"/>
  <c r="G287" i="9"/>
  <c r="D94" i="9"/>
  <c r="G286" i="9" s="1"/>
  <c r="D93" i="9"/>
  <c r="D92" i="9"/>
  <c r="G284" i="9"/>
  <c r="D91" i="9"/>
  <c r="G283" i="9" s="1"/>
  <c r="D90" i="9"/>
  <c r="G90" i="9" s="1"/>
  <c r="G282" i="9"/>
  <c r="D89" i="9"/>
  <c r="G185" i="9"/>
  <c r="G281" i="9"/>
  <c r="D88" i="9"/>
  <c r="G280" i="9"/>
  <c r="D87" i="9"/>
  <c r="D86" i="9"/>
  <c r="G86" i="9" s="1"/>
  <c r="D85" i="9"/>
  <c r="G277" i="9"/>
  <c r="D84" i="9"/>
  <c r="D83" i="9"/>
  <c r="G83" i="9" s="1"/>
  <c r="D82" i="9"/>
  <c r="D81" i="9"/>
  <c r="G273" i="9"/>
  <c r="D80" i="9"/>
  <c r="G272" i="9" s="1"/>
  <c r="D79" i="9"/>
  <c r="G79" i="9"/>
  <c r="D78" i="9"/>
  <c r="G78" i="9" s="1"/>
  <c r="D77" i="9"/>
  <c r="G269" i="9"/>
  <c r="D76" i="9"/>
  <c r="D75" i="9"/>
  <c r="G75" i="9" s="1"/>
  <c r="D74" i="9"/>
  <c r="D73" i="9"/>
  <c r="G265" i="9"/>
  <c r="D72" i="9"/>
  <c r="D71" i="9"/>
  <c r="G71" i="9"/>
  <c r="G263" i="9"/>
  <c r="D70" i="9"/>
  <c r="G262" i="9"/>
  <c r="D69" i="9"/>
  <c r="G261" i="9" s="1"/>
  <c r="D68" i="9"/>
  <c r="G260" i="9" s="1"/>
  <c r="G68" i="9"/>
  <c r="D67" i="9"/>
  <c r="G67" i="9"/>
  <c r="G259" i="9"/>
  <c r="D66" i="9"/>
  <c r="G258" i="9"/>
  <c r="D65" i="9"/>
  <c r="D64" i="9"/>
  <c r="D63" i="9"/>
  <c r="G63" i="9"/>
  <c r="G255" i="9"/>
  <c r="D62" i="9"/>
  <c r="G254" i="9"/>
  <c r="D61" i="9"/>
  <c r="G61" i="9" s="1"/>
  <c r="D60" i="9"/>
  <c r="D59" i="9"/>
  <c r="D58" i="9"/>
  <c r="G250" i="9" s="1"/>
  <c r="D57" i="9"/>
  <c r="G57" i="9"/>
  <c r="D56" i="9"/>
  <c r="G248" i="9" s="1"/>
  <c r="D55" i="9"/>
  <c r="G55" i="9" s="1"/>
  <c r="G247" i="9"/>
  <c r="D54" i="9"/>
  <c r="D53" i="9"/>
  <c r="G149" i="9" s="1"/>
  <c r="D52" i="9"/>
  <c r="G52" i="9"/>
  <c r="D51" i="9"/>
  <c r="G147" i="9" s="1"/>
  <c r="D50" i="9"/>
  <c r="G242" i="9" s="1"/>
  <c r="D49" i="9"/>
  <c r="G145" i="9"/>
  <c r="D48" i="9"/>
  <c r="D47" i="9"/>
  <c r="G47" i="9" s="1"/>
  <c r="G239" i="9"/>
  <c r="D46" i="9"/>
  <c r="D45" i="9"/>
  <c r="G45" i="9" s="1"/>
  <c r="D44" i="9"/>
  <c r="G236" i="9"/>
  <c r="D43" i="9"/>
  <c r="D42" i="9"/>
  <c r="G42" i="9" s="1"/>
  <c r="D41" i="9"/>
  <c r="G41" i="9"/>
  <c r="G233" i="9"/>
  <c r="D40" i="9"/>
  <c r="G232" i="9"/>
  <c r="D39" i="9"/>
  <c r="G39" i="9" s="1"/>
  <c r="G231" i="9"/>
  <c r="D38" i="9"/>
  <c r="D37" i="9"/>
  <c r="G133" i="9" s="1"/>
  <c r="D36" i="9"/>
  <c r="G228" i="9"/>
  <c r="D35" i="9"/>
  <c r="D34" i="9"/>
  <c r="G130" i="9" s="1"/>
  <c r="D33" i="9"/>
  <c r="G225" i="9"/>
  <c r="D32" i="9"/>
  <c r="D31" i="9"/>
  <c r="G223" i="9" s="1"/>
  <c r="D30" i="9"/>
  <c r="D29" i="9"/>
  <c r="D28" i="9"/>
  <c r="G220" i="9"/>
  <c r="D27" i="9"/>
  <c r="G123" i="9"/>
  <c r="G219" i="9"/>
  <c r="D26" i="9"/>
  <c r="D25" i="9"/>
  <c r="G25" i="9" s="1"/>
  <c r="D24" i="9"/>
  <c r="D23" i="9"/>
  <c r="G23" i="9" s="1"/>
  <c r="D22" i="9"/>
  <c r="G22" i="9" s="1"/>
  <c r="D21" i="9"/>
  <c r="G117" i="9"/>
  <c r="D20" i="9"/>
  <c r="G116" i="9"/>
  <c r="G212" i="9"/>
  <c r="D19" i="9"/>
  <c r="D18" i="9"/>
  <c r="G18" i="9" s="1"/>
  <c r="D17" i="9"/>
  <c r="D16" i="9"/>
  <c r="G112" i="9" s="1"/>
  <c r="D15" i="9"/>
  <c r="D14" i="9"/>
  <c r="G206" i="9" s="1"/>
  <c r="D13" i="9"/>
  <c r="G205" i="9"/>
  <c r="D12" i="9"/>
  <c r="D11" i="9"/>
  <c r="G203" i="9" s="1"/>
  <c r="D10" i="9"/>
  <c r="G106" i="9"/>
  <c r="D9" i="9"/>
  <c r="D8" i="9"/>
  <c r="G104" i="9" s="1"/>
  <c r="D7" i="9"/>
  <c r="D6" i="9"/>
  <c r="G102" i="9"/>
  <c r="D5" i="9"/>
  <c r="D4" i="9"/>
  <c r="G196" i="9"/>
  <c r="G194" i="9"/>
  <c r="G193" i="9"/>
  <c r="G192" i="9"/>
  <c r="G191" i="9"/>
  <c r="G190" i="9"/>
  <c r="G188" i="9"/>
  <c r="G187" i="9"/>
  <c r="G186" i="9"/>
  <c r="G182" i="9"/>
  <c r="G181" i="9"/>
  <c r="G177" i="9"/>
  <c r="G174" i="9"/>
  <c r="G173" i="9"/>
  <c r="G170" i="9"/>
  <c r="G169" i="9"/>
  <c r="G167" i="9"/>
  <c r="G165" i="9"/>
  <c r="G163" i="9"/>
  <c r="G162" i="9"/>
  <c r="G159" i="9"/>
  <c r="G158" i="9"/>
  <c r="G157" i="9"/>
  <c r="G154" i="9"/>
  <c r="G151" i="9"/>
  <c r="G146" i="9"/>
  <c r="G143" i="9"/>
  <c r="G135" i="9"/>
  <c r="G134" i="9"/>
  <c r="G127" i="9"/>
  <c r="G126" i="9"/>
  <c r="G118" i="9"/>
  <c r="G98" i="9"/>
  <c r="G97" i="9"/>
  <c r="G95" i="9"/>
  <c r="G94" i="9"/>
  <c r="G93" i="9"/>
  <c r="G92" i="9"/>
  <c r="G91" i="9"/>
  <c r="G89" i="9"/>
  <c r="G88" i="9"/>
  <c r="G85" i="9"/>
  <c r="G81" i="9"/>
  <c r="G80" i="9"/>
  <c r="G77" i="9"/>
  <c r="G73" i="9"/>
  <c r="G70" i="9"/>
  <c r="G69" i="9"/>
  <c r="G66" i="9"/>
  <c r="G64" i="9"/>
  <c r="G60" i="9"/>
  <c r="G58" i="9"/>
  <c r="G53" i="9"/>
  <c r="G50" i="9"/>
  <c r="G48" i="9"/>
  <c r="G44" i="9"/>
  <c r="G33" i="9"/>
  <c r="G31" i="9"/>
  <c r="G27" i="9"/>
  <c r="G17" i="9"/>
  <c r="G11" i="9"/>
  <c r="G10" i="9"/>
  <c r="L2" i="4"/>
  <c r="D4" i="4"/>
  <c r="E4" i="4"/>
  <c r="F4" i="4"/>
  <c r="C6" i="3"/>
  <c r="C7" i="3"/>
  <c r="C8" i="3"/>
  <c r="C9" i="3"/>
  <c r="C20" i="3"/>
  <c r="C12" i="3"/>
  <c r="C10" i="3"/>
  <c r="C11" i="3"/>
  <c r="C13" i="3"/>
  <c r="C14" i="3"/>
  <c r="C15" i="3"/>
  <c r="C16" i="3"/>
  <c r="C17" i="3"/>
  <c r="C18" i="3"/>
  <c r="C19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E4" i="3"/>
  <c r="F4" i="3"/>
  <c r="H13" i="2"/>
  <c r="D34" i="10"/>
  <c r="D26" i="10"/>
  <c r="D34" i="3"/>
  <c r="D14" i="3"/>
  <c r="D10" i="3"/>
  <c r="D6" i="3"/>
  <c r="D18" i="3"/>
  <c r="AB18" i="3" s="1"/>
  <c r="D18" i="4" s="1"/>
  <c r="D38" i="10"/>
  <c r="D10" i="10"/>
  <c r="D30" i="10"/>
  <c r="D22" i="10"/>
  <c r="G115" i="9"/>
  <c r="G101" i="9"/>
  <c r="G109" i="9"/>
  <c r="G217" i="9"/>
  <c r="G121" i="9"/>
  <c r="G15" i="9"/>
  <c r="G103" i="9"/>
  <c r="G4" i="9"/>
  <c r="G20" i="9"/>
  <c r="G100" i="9"/>
  <c r="G124" i="9"/>
  <c r="G132" i="9"/>
  <c r="G140" i="9"/>
  <c r="G184" i="9"/>
  <c r="G198" i="9"/>
  <c r="G202" i="9"/>
  <c r="G210" i="9"/>
  <c r="G129" i="9"/>
  <c r="G137" i="9"/>
  <c r="G136" i="9"/>
  <c r="G28" i="9"/>
  <c r="G105" i="9"/>
  <c r="G36" i="9"/>
  <c r="G62" i="9"/>
  <c r="G150" i="9"/>
  <c r="G166" i="9"/>
  <c r="G229" i="9"/>
  <c r="G253" i="9"/>
  <c r="G240" i="9"/>
  <c r="G144" i="9"/>
  <c r="G264" i="9"/>
  <c r="G168" i="9"/>
  <c r="G152" i="9"/>
  <c r="G256" i="9"/>
  <c r="G160" i="9"/>
  <c r="G222" i="9"/>
  <c r="G30" i="9"/>
  <c r="G43" i="9"/>
  <c r="G40" i="9"/>
  <c r="G72" i="9"/>
  <c r="G244" i="9"/>
  <c r="G148" i="9"/>
  <c r="G164" i="9"/>
  <c r="G172" i="9"/>
  <c r="G176" i="9"/>
  <c r="G197" i="9"/>
  <c r="G5" i="9"/>
  <c r="G199" i="9"/>
  <c r="G7" i="9"/>
  <c r="G14" i="9"/>
  <c r="G208" i="9"/>
  <c r="G16" i="9"/>
  <c r="G213" i="9"/>
  <c r="G21" i="9"/>
  <c r="G215" i="9"/>
  <c r="G119" i="9"/>
  <c r="G6" i="9"/>
  <c r="G13" i="9"/>
  <c r="G200" i="9"/>
  <c r="G8" i="9"/>
  <c r="G207" i="9"/>
  <c r="G111" i="9"/>
  <c r="G214" i="9"/>
  <c r="G216" i="9"/>
  <c r="G24" i="9"/>
  <c r="G120" i="9"/>
  <c r="AE9" i="10"/>
  <c r="N9" i="10"/>
  <c r="S37" i="3"/>
  <c r="S21" i="3"/>
  <c r="S40" i="3"/>
  <c r="S26" i="3"/>
  <c r="S13" i="3"/>
  <c r="S6" i="3"/>
  <c r="S34" i="3"/>
  <c r="S11" i="3"/>
  <c r="S33" i="3"/>
  <c r="S18" i="3"/>
  <c r="S14" i="3"/>
  <c r="S23" i="3"/>
  <c r="S30" i="3"/>
  <c r="S39" i="3"/>
  <c r="S36" i="3"/>
  <c r="S31" i="3"/>
  <c r="S27" i="3"/>
  <c r="S8" i="3"/>
  <c r="S29" i="3"/>
  <c r="S22" i="3"/>
  <c r="S25" i="3"/>
  <c r="S24" i="3"/>
  <c r="S19" i="3"/>
  <c r="S12" i="3"/>
  <c r="S7" i="3"/>
  <c r="S16" i="3"/>
  <c r="S35" i="3"/>
  <c r="S28" i="3"/>
  <c r="S5" i="3"/>
  <c r="H5" i="10"/>
  <c r="S9" i="3"/>
  <c r="S38" i="3"/>
  <c r="AB38" i="3"/>
  <c r="D38" i="4" s="1"/>
  <c r="S10" i="3"/>
  <c r="S17" i="3"/>
  <c r="S20" i="3"/>
  <c r="S32" i="3"/>
  <c r="S15" i="3"/>
  <c r="AE33" i="10" l="1"/>
  <c r="N18" i="10"/>
  <c r="N32" i="10"/>
  <c r="AE36" i="10"/>
  <c r="N36" i="10"/>
  <c r="AE37" i="10"/>
  <c r="AB36" i="3"/>
  <c r="D36" i="4" s="1"/>
  <c r="F36" i="10" s="1"/>
  <c r="AB19" i="3"/>
  <c r="D19" i="4" s="1"/>
  <c r="J19" i="4" s="1"/>
  <c r="N19" i="4" s="1"/>
  <c r="AB35" i="3"/>
  <c r="AB20" i="3"/>
  <c r="D20" i="4" s="1"/>
  <c r="F20" i="10" s="1"/>
  <c r="AB26" i="3"/>
  <c r="D26" i="4" s="1"/>
  <c r="J26" i="4" s="1"/>
  <c r="N26" i="4" s="1"/>
  <c r="AB8" i="3"/>
  <c r="D8" i="4" s="1"/>
  <c r="F8" i="10" s="1"/>
  <c r="AB10" i="3"/>
  <c r="D10" i="4" s="1"/>
  <c r="F10" i="10" s="1"/>
  <c r="AB13" i="3"/>
  <c r="D13" i="4" s="1"/>
  <c r="F13" i="10" s="1"/>
  <c r="D60" i="2"/>
  <c r="E60" i="2" s="1"/>
  <c r="F60" i="2" s="1"/>
  <c r="AE15" i="10"/>
  <c r="N15" i="10"/>
  <c r="AE40" i="10"/>
  <c r="N40" i="10"/>
  <c r="AB27" i="3"/>
  <c r="D27" i="4" s="1"/>
  <c r="F27" i="10" s="1"/>
  <c r="AB32" i="3"/>
  <c r="D32" i="4" s="1"/>
  <c r="F32" i="10" s="1"/>
  <c r="AB25" i="3"/>
  <c r="D25" i="4" s="1"/>
  <c r="J25" i="4" s="1"/>
  <c r="N25" i="4" s="1"/>
  <c r="AB31" i="3"/>
  <c r="D31" i="4" s="1"/>
  <c r="J31" i="4" s="1"/>
  <c r="N31" i="4" s="1"/>
  <c r="AB14" i="3"/>
  <c r="D14" i="4" s="1"/>
  <c r="J14" i="4" s="1"/>
  <c r="N14" i="4" s="1"/>
  <c r="AB34" i="3"/>
  <c r="D34" i="4" s="1"/>
  <c r="F34" i="10" s="1"/>
  <c r="AE17" i="10"/>
  <c r="N19" i="10"/>
  <c r="N22" i="10"/>
  <c r="E59" i="2"/>
  <c r="F59" i="2" s="1"/>
  <c r="AB5" i="3"/>
  <c r="D5" i="4" s="1"/>
  <c r="F5" i="10" s="1"/>
  <c r="AB37" i="3"/>
  <c r="D37" i="4" s="1"/>
  <c r="J37" i="4" s="1"/>
  <c r="N37" i="4" s="1"/>
  <c r="AB29" i="3"/>
  <c r="D29" i="4" s="1"/>
  <c r="F29" i="10" s="1"/>
  <c r="N28" i="10"/>
  <c r="D48" i="2"/>
  <c r="E48" i="2" s="1"/>
  <c r="F48" i="2" s="1"/>
  <c r="I44" i="3"/>
  <c r="I37" i="3" s="1"/>
  <c r="AE31" i="10"/>
  <c r="N31" i="10"/>
  <c r="AE5" i="10"/>
  <c r="N5" i="10"/>
  <c r="L5" i="10"/>
  <c r="AE23" i="10"/>
  <c r="N23" i="10"/>
  <c r="N6" i="10"/>
  <c r="AE6" i="10"/>
  <c r="AB6" i="3"/>
  <c r="D6" i="4" s="1"/>
  <c r="F6" i="10" s="1"/>
  <c r="N21" i="10"/>
  <c r="F11" i="10"/>
  <c r="AB39" i="3"/>
  <c r="D39" i="4" s="1"/>
  <c r="AB33" i="3"/>
  <c r="D33" i="4" s="1"/>
  <c r="AE29" i="10"/>
  <c r="AE14" i="10"/>
  <c r="AB21" i="3"/>
  <c r="D21" i="4" s="1"/>
  <c r="F21" i="10" s="1"/>
  <c r="AB24" i="3"/>
  <c r="D24" i="4" s="1"/>
  <c r="AE16" i="10"/>
  <c r="F38" i="10"/>
  <c r="J38" i="4"/>
  <c r="N38" i="4" s="1"/>
  <c r="G279" i="9"/>
  <c r="G183" i="9"/>
  <c r="G87" i="9"/>
  <c r="C10" i="10"/>
  <c r="J5" i="10" s="1"/>
  <c r="H5" i="4"/>
  <c r="L38" i="11"/>
  <c r="M38" i="11" s="1"/>
  <c r="N38" i="11" s="1"/>
  <c r="O38" i="11" s="1"/>
  <c r="P38" i="11" s="1"/>
  <c r="Q38" i="11" s="1"/>
  <c r="J23" i="4"/>
  <c r="N23" i="4" s="1"/>
  <c r="J28" i="4"/>
  <c r="N28" i="4" s="1"/>
  <c r="F28" i="10"/>
  <c r="AE7" i="10"/>
  <c r="N7" i="10"/>
  <c r="G82" i="9"/>
  <c r="G274" i="9"/>
  <c r="G178" i="9"/>
  <c r="J40" i="4"/>
  <c r="N40" i="4" s="1"/>
  <c r="AE24" i="10"/>
  <c r="N24" i="10"/>
  <c r="AE12" i="10"/>
  <c r="N12" i="10"/>
  <c r="L37" i="11"/>
  <c r="M37" i="11" s="1"/>
  <c r="N37" i="11" s="1"/>
  <c r="O37" i="11" s="1"/>
  <c r="P37" i="11" s="1"/>
  <c r="Q37" i="11" s="1"/>
  <c r="G125" i="9"/>
  <c r="G29" i="9"/>
  <c r="G221" i="9"/>
  <c r="G238" i="9"/>
  <c r="G142" i="9"/>
  <c r="G46" i="9"/>
  <c r="G59" i="9"/>
  <c r="G251" i="9"/>
  <c r="G155" i="9"/>
  <c r="G189" i="9"/>
  <c r="G285" i="9"/>
  <c r="AE35" i="10"/>
  <c r="N35" i="10"/>
  <c r="AE39" i="10"/>
  <c r="N39" i="10"/>
  <c r="G74" i="9"/>
  <c r="G266" i="9"/>
  <c r="AE30" i="10"/>
  <c r="N30" i="10"/>
  <c r="AE26" i="10"/>
  <c r="N26" i="10"/>
  <c r="M35" i="11"/>
  <c r="N35" i="11" s="1"/>
  <c r="O35" i="11" s="1"/>
  <c r="P35" i="11" s="1"/>
  <c r="Q35" i="11" s="1"/>
  <c r="G224" i="9"/>
  <c r="G32" i="9"/>
  <c r="G128" i="9"/>
  <c r="G161" i="9"/>
  <c r="G257" i="9"/>
  <c r="G65" i="9"/>
  <c r="AB17" i="3"/>
  <c r="D17" i="4" s="1"/>
  <c r="J17" i="4" s="1"/>
  <c r="N17" i="4" s="1"/>
  <c r="L36" i="11"/>
  <c r="M36" i="11" s="1"/>
  <c r="N36" i="11" s="1"/>
  <c r="O36" i="11" s="1"/>
  <c r="P36" i="11" s="1"/>
  <c r="Q36" i="11" s="1"/>
  <c r="G249" i="9"/>
  <c r="G153" i="9"/>
  <c r="G271" i="9"/>
  <c r="G175" i="9"/>
  <c r="D44" i="2"/>
  <c r="D50" i="2"/>
  <c r="N20" i="10"/>
  <c r="AE20" i="10"/>
  <c r="AE13" i="10"/>
  <c r="N13" i="10"/>
  <c r="G204" i="9"/>
  <c r="G108" i="9"/>
  <c r="G12" i="9"/>
  <c r="G209" i="9"/>
  <c r="G113" i="9"/>
  <c r="G218" i="9"/>
  <c r="G26" i="9"/>
  <c r="G122" i="9"/>
  <c r="G230" i="9"/>
  <c r="G38" i="9"/>
  <c r="G241" i="9"/>
  <c r="G49" i="9"/>
  <c r="G246" i="9"/>
  <c r="G54" i="9"/>
  <c r="G268" i="9"/>
  <c r="G76" i="9"/>
  <c r="G276" i="9"/>
  <c r="G84" i="9"/>
  <c r="G180" i="9"/>
  <c r="E62" i="2"/>
  <c r="F62" i="2" s="1"/>
  <c r="D61" i="2"/>
  <c r="N34" i="10"/>
  <c r="AE34" i="10"/>
  <c r="AE27" i="10"/>
  <c r="N27" i="10"/>
  <c r="AE8" i="10"/>
  <c r="N8" i="10"/>
  <c r="AA5" i="10"/>
  <c r="AB5" i="10"/>
  <c r="A42" i="10"/>
  <c r="G9" i="9"/>
  <c r="G201" i="9"/>
  <c r="G211" i="9"/>
  <c r="G19" i="9"/>
  <c r="G227" i="9"/>
  <c r="G131" i="9"/>
  <c r="G35" i="9"/>
  <c r="G51" i="9"/>
  <c r="G243" i="9"/>
  <c r="G252" i="9"/>
  <c r="G156" i="9"/>
  <c r="G3" i="9"/>
  <c r="G195" i="9"/>
  <c r="L39" i="11"/>
  <c r="M39" i="11" s="1"/>
  <c r="N39" i="11" s="1"/>
  <c r="O39" i="11" s="1"/>
  <c r="P39" i="11" s="1"/>
  <c r="Q39" i="11" s="1"/>
  <c r="AE11" i="10"/>
  <c r="G99" i="9"/>
  <c r="G235" i="9"/>
  <c r="G139" i="9"/>
  <c r="AE25" i="10"/>
  <c r="N25" i="10"/>
  <c r="K34" i="2"/>
  <c r="E34" i="10" s="1"/>
  <c r="O34" i="10" s="1"/>
  <c r="P34" i="10" s="1"/>
  <c r="K22" i="2"/>
  <c r="E22" i="10" s="1"/>
  <c r="G110" i="9"/>
  <c r="G56" i="9"/>
  <c r="G245" i="9"/>
  <c r="G107" i="9"/>
  <c r="AE38" i="10"/>
  <c r="G34" i="9"/>
  <c r="G138" i="9"/>
  <c r="G171" i="9"/>
  <c r="G179" i="9"/>
  <c r="G114" i="9"/>
  <c r="G267" i="9"/>
  <c r="G275" i="9"/>
  <c r="G237" i="9"/>
  <c r="G37" i="9"/>
  <c r="G141" i="9"/>
  <c r="G226" i="9"/>
  <c r="G234" i="9"/>
  <c r="G270" i="9"/>
  <c r="G278" i="9"/>
  <c r="AB12" i="3"/>
  <c r="D12" i="4" s="1"/>
  <c r="K26" i="2"/>
  <c r="R26" i="2" s="1"/>
  <c r="K30" i="2"/>
  <c r="E30" i="10" s="1"/>
  <c r="F31" i="10"/>
  <c r="F26" i="10"/>
  <c r="J22" i="4"/>
  <c r="N22" i="4" s="1"/>
  <c r="M20" i="11"/>
  <c r="N20" i="11" s="1"/>
  <c r="O20" i="11" s="1"/>
  <c r="P20" i="11" s="1"/>
  <c r="Q20" i="11" s="1"/>
  <c r="F19" i="10"/>
  <c r="F18" i="10"/>
  <c r="J18" i="4"/>
  <c r="N18" i="4" s="1"/>
  <c r="J16" i="4"/>
  <c r="N16" i="4" s="1"/>
  <c r="F16" i="10"/>
  <c r="L15" i="11"/>
  <c r="M15" i="11" s="1"/>
  <c r="N15" i="11" s="1"/>
  <c r="O15" i="11" s="1"/>
  <c r="P15" i="11" s="1"/>
  <c r="Q15" i="11" s="1"/>
  <c r="L11" i="11"/>
  <c r="M11" i="11" s="1"/>
  <c r="N11" i="11" s="1"/>
  <c r="O11" i="11" s="1"/>
  <c r="P11" i="11" s="1"/>
  <c r="Q11" i="11" s="1"/>
  <c r="J9" i="4"/>
  <c r="N9" i="4" s="1"/>
  <c r="F9" i="10"/>
  <c r="L7" i="11"/>
  <c r="M7" i="11" s="1"/>
  <c r="N7" i="11" s="1"/>
  <c r="O7" i="11" s="1"/>
  <c r="P7" i="11" s="1"/>
  <c r="Q7" i="11" s="1"/>
  <c r="J7" i="4"/>
  <c r="N7" i="4" s="1"/>
  <c r="L32" i="11"/>
  <c r="M32" i="11" s="1"/>
  <c r="N32" i="11" s="1"/>
  <c r="O32" i="11" s="1"/>
  <c r="P32" i="11" s="1"/>
  <c r="Q32" i="11" s="1"/>
  <c r="L34" i="11"/>
  <c r="M34" i="11" s="1"/>
  <c r="N34" i="11" s="1"/>
  <c r="O34" i="11" s="1"/>
  <c r="P34" i="11" s="1"/>
  <c r="Q34" i="11" s="1"/>
  <c r="K31" i="2"/>
  <c r="L31" i="2" s="1"/>
  <c r="K39" i="2"/>
  <c r="E39" i="10" s="1"/>
  <c r="K17" i="2"/>
  <c r="E17" i="10" s="1"/>
  <c r="O17" i="10" s="1"/>
  <c r="P17" i="10" s="1"/>
  <c r="K23" i="2"/>
  <c r="E23" i="10" s="1"/>
  <c r="K21" i="2"/>
  <c r="E21" i="10" s="1"/>
  <c r="O21" i="10" s="1"/>
  <c r="P21" i="10" s="1"/>
  <c r="K11" i="2"/>
  <c r="E11" i="10" s="1"/>
  <c r="O11" i="10" s="1"/>
  <c r="P11" i="10" s="1"/>
  <c r="K15" i="2"/>
  <c r="E15" i="10" s="1"/>
  <c r="K29" i="2"/>
  <c r="Q29" i="2" s="1"/>
  <c r="K27" i="2"/>
  <c r="R27" i="2" s="1"/>
  <c r="K36" i="2"/>
  <c r="L36" i="2" s="1"/>
  <c r="K33" i="2"/>
  <c r="E33" i="10" s="1"/>
  <c r="O33" i="10" s="1"/>
  <c r="P33" i="10" s="1"/>
  <c r="K9" i="2"/>
  <c r="E9" i="10" s="1"/>
  <c r="O9" i="10" s="1"/>
  <c r="P9" i="10" s="1"/>
  <c r="K24" i="2"/>
  <c r="Q24" i="2" s="1"/>
  <c r="K16" i="2"/>
  <c r="E16" i="10" s="1"/>
  <c r="O16" i="10" s="1"/>
  <c r="P16" i="10" s="1"/>
  <c r="K37" i="2"/>
  <c r="E37" i="10" s="1"/>
  <c r="O37" i="10" s="1"/>
  <c r="P37" i="10" s="1"/>
  <c r="K7" i="2"/>
  <c r="E7" i="10" s="1"/>
  <c r="O7" i="10" s="1"/>
  <c r="P7" i="10" s="1"/>
  <c r="K25" i="2"/>
  <c r="E25" i="10" s="1"/>
  <c r="K35" i="2"/>
  <c r="E35" i="10" s="1"/>
  <c r="K19" i="2"/>
  <c r="Q19" i="2" s="1"/>
  <c r="K12" i="2"/>
  <c r="E12" i="10" s="1"/>
  <c r="O12" i="10" s="1"/>
  <c r="P12" i="10" s="1"/>
  <c r="K38" i="2"/>
  <c r="E38" i="10" s="1"/>
  <c r="O38" i="10" s="1"/>
  <c r="P38" i="10" s="1"/>
  <c r="K13" i="2"/>
  <c r="E13" i="10" s="1"/>
  <c r="K8" i="2"/>
  <c r="Q8" i="2" s="1"/>
  <c r="K5" i="2"/>
  <c r="E5" i="10" s="1"/>
  <c r="K40" i="2"/>
  <c r="E40" i="10" s="1"/>
  <c r="E49" i="2"/>
  <c r="F49" i="2" s="1"/>
  <c r="K14" i="2"/>
  <c r="E14" i="10" s="1"/>
  <c r="O14" i="10" s="1"/>
  <c r="P14" i="10" s="1"/>
  <c r="K10" i="2"/>
  <c r="E10" i="10" s="1"/>
  <c r="K6" i="2"/>
  <c r="E6" i="10" s="1"/>
  <c r="J30" i="4"/>
  <c r="N30" i="4" s="1"/>
  <c r="F15" i="10"/>
  <c r="K32" i="2"/>
  <c r="E32" i="10" s="1"/>
  <c r="O32" i="10" s="1"/>
  <c r="P32" i="10" s="1"/>
  <c r="L5" i="11"/>
  <c r="M5" i="11" s="1"/>
  <c r="N5" i="11" s="1"/>
  <c r="O5" i="11" s="1"/>
  <c r="P5" i="11" s="1"/>
  <c r="Q5" i="11" s="1"/>
  <c r="L13" i="11"/>
  <c r="M13" i="11" s="1"/>
  <c r="N13" i="11" s="1"/>
  <c r="O13" i="11" s="1"/>
  <c r="P13" i="11" s="1"/>
  <c r="Q13" i="11" s="1"/>
  <c r="L21" i="11"/>
  <c r="M21" i="11" s="1"/>
  <c r="N21" i="11" s="1"/>
  <c r="O21" i="11" s="1"/>
  <c r="P21" i="11" s="1"/>
  <c r="Q21" i="11" s="1"/>
  <c r="L25" i="11"/>
  <c r="M25" i="11" s="1"/>
  <c r="N25" i="11" s="1"/>
  <c r="O25" i="11" s="1"/>
  <c r="P25" i="11" s="1"/>
  <c r="Q25" i="11" s="1"/>
  <c r="L4" i="11"/>
  <c r="M4" i="11" s="1"/>
  <c r="N4" i="11" s="1"/>
  <c r="O4" i="11" s="1"/>
  <c r="P4" i="11" s="1"/>
  <c r="Q4" i="11" s="1"/>
  <c r="L28" i="11"/>
  <c r="M28" i="11" s="1"/>
  <c r="N28" i="11" s="1"/>
  <c r="O28" i="11" s="1"/>
  <c r="P28" i="11" s="1"/>
  <c r="Q28" i="11" s="1"/>
  <c r="L30" i="11"/>
  <c r="M30" i="11" s="1"/>
  <c r="N30" i="11" s="1"/>
  <c r="O30" i="11" s="1"/>
  <c r="P30" i="11" s="1"/>
  <c r="Q30" i="11" s="1"/>
  <c r="L9" i="11"/>
  <c r="M9" i="11" s="1"/>
  <c r="N9" i="11" s="1"/>
  <c r="O9" i="11" s="1"/>
  <c r="P9" i="11" s="1"/>
  <c r="Q9" i="11" s="1"/>
  <c r="M16" i="11"/>
  <c r="N16" i="11" s="1"/>
  <c r="O16" i="11" s="1"/>
  <c r="P16" i="11" s="1"/>
  <c r="Q16" i="11" s="1"/>
  <c r="L18" i="11"/>
  <c r="M18" i="11" s="1"/>
  <c r="N18" i="11" s="1"/>
  <c r="O18" i="11" s="1"/>
  <c r="P18" i="11" s="1"/>
  <c r="Q18" i="11" s="1"/>
  <c r="M12" i="11"/>
  <c r="N12" i="11" s="1"/>
  <c r="O12" i="11" s="1"/>
  <c r="P12" i="11" s="1"/>
  <c r="Q12" i="11" s="1"/>
  <c r="L22" i="11"/>
  <c r="M22" i="11" s="1"/>
  <c r="N22" i="11" s="1"/>
  <c r="O22" i="11" s="1"/>
  <c r="P22" i="11" s="1"/>
  <c r="Q22" i="11" s="1"/>
  <c r="M24" i="11"/>
  <c r="N24" i="11" s="1"/>
  <c r="O24" i="11" s="1"/>
  <c r="P24" i="11" s="1"/>
  <c r="Q24" i="11" s="1"/>
  <c r="L29" i="11"/>
  <c r="M29" i="11" s="1"/>
  <c r="N29" i="11" s="1"/>
  <c r="O29" i="11" s="1"/>
  <c r="P29" i="11" s="1"/>
  <c r="Q29" i="11" s="1"/>
  <c r="M8" i="11"/>
  <c r="N8" i="11" s="1"/>
  <c r="O8" i="11" s="1"/>
  <c r="P8" i="11" s="1"/>
  <c r="Q8" i="11" s="1"/>
  <c r="L17" i="11"/>
  <c r="M17" i="11" s="1"/>
  <c r="N17" i="11" s="1"/>
  <c r="O17" i="11" s="1"/>
  <c r="P17" i="11" s="1"/>
  <c r="Q17" i="11" s="1"/>
  <c r="L26" i="11"/>
  <c r="M26" i="11" s="1"/>
  <c r="N26" i="11" s="1"/>
  <c r="O26" i="11" s="1"/>
  <c r="P26" i="11" s="1"/>
  <c r="Q26" i="11" s="1"/>
  <c r="L33" i="11"/>
  <c r="M33" i="11" s="1"/>
  <c r="N33" i="11" s="1"/>
  <c r="O33" i="11" s="1"/>
  <c r="P33" i="11" s="1"/>
  <c r="Q33" i="11" s="1"/>
  <c r="M6" i="11"/>
  <c r="N6" i="11" s="1"/>
  <c r="O6" i="11" s="1"/>
  <c r="P6" i="11" s="1"/>
  <c r="Q6" i="11" s="1"/>
  <c r="M10" i="11"/>
  <c r="N10" i="11" s="1"/>
  <c r="O10" i="11" s="1"/>
  <c r="P10" i="11" s="1"/>
  <c r="Q10" i="11" s="1"/>
  <c r="M14" i="11"/>
  <c r="N14" i="11" s="1"/>
  <c r="O14" i="11" s="1"/>
  <c r="P14" i="11" s="1"/>
  <c r="Q14" i="11" s="1"/>
  <c r="M19" i="11"/>
  <c r="N19" i="11" s="1"/>
  <c r="O19" i="11" s="1"/>
  <c r="P19" i="11" s="1"/>
  <c r="Q19" i="11" s="1"/>
  <c r="M23" i="11"/>
  <c r="N23" i="11" s="1"/>
  <c r="O23" i="11" s="1"/>
  <c r="P23" i="11" s="1"/>
  <c r="Q23" i="11" s="1"/>
  <c r="M27" i="11"/>
  <c r="N27" i="11" s="1"/>
  <c r="O27" i="11" s="1"/>
  <c r="P27" i="11" s="1"/>
  <c r="Q27" i="11" s="1"/>
  <c r="M31" i="11"/>
  <c r="N31" i="11" s="1"/>
  <c r="O31" i="11" s="1"/>
  <c r="P31" i="11" s="1"/>
  <c r="Q31" i="11" s="1"/>
  <c r="K28" i="2"/>
  <c r="E28" i="10" s="1"/>
  <c r="O28" i="10" s="1"/>
  <c r="P28" i="10" s="1"/>
  <c r="K20" i="2"/>
  <c r="E20" i="10" s="1"/>
  <c r="O39" i="10" l="1"/>
  <c r="P39" i="10" s="1"/>
  <c r="AB45" i="3"/>
  <c r="O40" i="10"/>
  <c r="P40" i="10" s="1"/>
  <c r="Q40" i="10" s="1"/>
  <c r="F17" i="10"/>
  <c r="O23" i="10"/>
  <c r="P23" i="10" s="1"/>
  <c r="J6" i="10"/>
  <c r="K6" i="10"/>
  <c r="O15" i="10"/>
  <c r="P15" i="10" s="1"/>
  <c r="J10" i="4"/>
  <c r="N10" i="4" s="1"/>
  <c r="D35" i="4"/>
  <c r="J35" i="4" s="1"/>
  <c r="N35" i="4" s="1"/>
  <c r="AA6" i="10"/>
  <c r="L6" i="10"/>
  <c r="O22" i="10"/>
  <c r="P22" i="10" s="1"/>
  <c r="Q22" i="10" s="1"/>
  <c r="J36" i="4"/>
  <c r="N36" i="4" s="1"/>
  <c r="P34" i="2"/>
  <c r="J21" i="4"/>
  <c r="N21" i="4" s="1"/>
  <c r="J20" i="4"/>
  <c r="N20" i="4" s="1"/>
  <c r="Q11" i="2"/>
  <c r="R34" i="2"/>
  <c r="O34" i="2"/>
  <c r="O31" i="2"/>
  <c r="Q34" i="10"/>
  <c r="O21" i="2"/>
  <c r="Q31" i="2"/>
  <c r="J5" i="4"/>
  <c r="N5" i="4" s="1"/>
  <c r="R11" i="2"/>
  <c r="F14" i="10"/>
  <c r="Q14" i="10" s="1"/>
  <c r="AB44" i="3"/>
  <c r="J34" i="4"/>
  <c r="N34" i="4" s="1"/>
  <c r="J27" i="4"/>
  <c r="N27" i="4" s="1"/>
  <c r="O11" i="2"/>
  <c r="J8" i="4"/>
  <c r="N8" i="4" s="1"/>
  <c r="L17" i="2"/>
  <c r="J13" i="4"/>
  <c r="N13" i="4" s="1"/>
  <c r="F25" i="10"/>
  <c r="P24" i="2"/>
  <c r="P30" i="2"/>
  <c r="J29" i="4"/>
  <c r="N29" i="4" s="1"/>
  <c r="J6" i="4"/>
  <c r="N6" i="4" s="1"/>
  <c r="P9" i="2"/>
  <c r="G60" i="2"/>
  <c r="Q33" i="2"/>
  <c r="L21" i="2"/>
  <c r="R9" i="2"/>
  <c r="F37" i="10"/>
  <c r="Q37" i="10" s="1"/>
  <c r="O6" i="10"/>
  <c r="P6" i="10" s="1"/>
  <c r="Q6" i="10" s="1"/>
  <c r="L30" i="2"/>
  <c r="Q30" i="2"/>
  <c r="Q25" i="2"/>
  <c r="O35" i="10"/>
  <c r="P35" i="10" s="1"/>
  <c r="R22" i="2"/>
  <c r="K5" i="10"/>
  <c r="J32" i="4"/>
  <c r="N32" i="4" s="1"/>
  <c r="R30" i="2"/>
  <c r="O30" i="2"/>
  <c r="U30" i="2" s="1"/>
  <c r="L33" i="2"/>
  <c r="O5" i="10"/>
  <c r="P5" i="10" s="1"/>
  <c r="Q5" i="10" s="1"/>
  <c r="I18" i="3"/>
  <c r="L18" i="3" s="1"/>
  <c r="I30" i="3"/>
  <c r="O30" i="3" s="1"/>
  <c r="I27" i="3"/>
  <c r="M27" i="3" s="1"/>
  <c r="I21" i="3"/>
  <c r="W21" i="3" s="1"/>
  <c r="I22" i="3"/>
  <c r="T22" i="3" s="1"/>
  <c r="G48" i="2"/>
  <c r="I13" i="3"/>
  <c r="N13" i="3" s="1"/>
  <c r="I36" i="3"/>
  <c r="V36" i="3" s="1"/>
  <c r="I9" i="3"/>
  <c r="O9" i="3" s="1"/>
  <c r="I34" i="3"/>
  <c r="W34" i="3" s="1"/>
  <c r="I7" i="3"/>
  <c r="L7" i="3" s="1"/>
  <c r="I15" i="3"/>
  <c r="O15" i="3" s="1"/>
  <c r="I31" i="3"/>
  <c r="U31" i="3" s="1"/>
  <c r="V37" i="3"/>
  <c r="O37" i="3"/>
  <c r="W37" i="3"/>
  <c r="L37" i="3"/>
  <c r="I24" i="3"/>
  <c r="N24" i="3" s="1"/>
  <c r="I40" i="3"/>
  <c r="N40" i="3" s="1"/>
  <c r="I20" i="3"/>
  <c r="L20" i="3" s="1"/>
  <c r="I19" i="3"/>
  <c r="V19" i="3" s="1"/>
  <c r="I32" i="3"/>
  <c r="L32" i="3" s="1"/>
  <c r="I35" i="3"/>
  <c r="O35" i="3" s="1"/>
  <c r="I33" i="3"/>
  <c r="O33" i="3" s="1"/>
  <c r="I28" i="3"/>
  <c r="O28" i="3" s="1"/>
  <c r="I14" i="3"/>
  <c r="V14" i="3" s="1"/>
  <c r="I23" i="3"/>
  <c r="L23" i="3" s="1"/>
  <c r="I25" i="3"/>
  <c r="L25" i="3" s="1"/>
  <c r="I16" i="3"/>
  <c r="O16" i="3" s="1"/>
  <c r="I12" i="3"/>
  <c r="W12" i="3" s="1"/>
  <c r="I38" i="3"/>
  <c r="W38" i="3" s="1"/>
  <c r="I29" i="3"/>
  <c r="N29" i="3" s="1"/>
  <c r="I17" i="3"/>
  <c r="V17" i="3" s="1"/>
  <c r="I5" i="3"/>
  <c r="N5" i="3" s="1"/>
  <c r="I11" i="3"/>
  <c r="O11" i="3" s="1"/>
  <c r="I8" i="3"/>
  <c r="U8" i="3" s="1"/>
  <c r="I26" i="3"/>
  <c r="N26" i="3" s="1"/>
  <c r="I39" i="3"/>
  <c r="V39" i="3" s="1"/>
  <c r="I6" i="3"/>
  <c r="O6" i="3" s="1"/>
  <c r="I10" i="3"/>
  <c r="W10" i="3" s="1"/>
  <c r="L40" i="2"/>
  <c r="J24" i="4"/>
  <c r="N24" i="4" s="1"/>
  <c r="F24" i="10"/>
  <c r="J33" i="4"/>
  <c r="N33" i="4" s="1"/>
  <c r="F33" i="10"/>
  <c r="Q33" i="10" s="1"/>
  <c r="Q34" i="2"/>
  <c r="Q36" i="2"/>
  <c r="O25" i="10"/>
  <c r="P25" i="10" s="1"/>
  <c r="N37" i="3"/>
  <c r="J39" i="4"/>
  <c r="N39" i="4" s="1"/>
  <c r="F39" i="10"/>
  <c r="L26" i="2"/>
  <c r="Q7" i="2"/>
  <c r="T37" i="3"/>
  <c r="M37" i="3"/>
  <c r="U37" i="3"/>
  <c r="R35" i="2"/>
  <c r="Q22" i="2"/>
  <c r="O20" i="10"/>
  <c r="P20" i="10" s="1"/>
  <c r="Q20" i="10" s="1"/>
  <c r="R39" i="2"/>
  <c r="L38" i="2"/>
  <c r="O23" i="2"/>
  <c r="AE10" i="10"/>
  <c r="N10" i="10"/>
  <c r="O10" i="10" s="1"/>
  <c r="P10" i="10" s="1"/>
  <c r="P22" i="2"/>
  <c r="P38" i="2"/>
  <c r="P31" i="2"/>
  <c r="R40" i="2"/>
  <c r="O30" i="10"/>
  <c r="P30" i="10" s="1"/>
  <c r="E26" i="10"/>
  <c r="O26" i="10" s="1"/>
  <c r="P26" i="10" s="1"/>
  <c r="O26" i="2"/>
  <c r="G61" i="2"/>
  <c r="E61" i="2"/>
  <c r="F61" i="2" s="1"/>
  <c r="R23" i="2"/>
  <c r="O27" i="2"/>
  <c r="Q26" i="2"/>
  <c r="J12" i="4"/>
  <c r="N12" i="4" s="1"/>
  <c r="F12" i="10"/>
  <c r="Q12" i="10" s="1"/>
  <c r="E50" i="2"/>
  <c r="F50" i="2" s="1"/>
  <c r="F53" i="2" s="1"/>
  <c r="E53" i="2" s="1"/>
  <c r="D53" i="2" s="1"/>
  <c r="G50" i="2"/>
  <c r="AB6" i="10"/>
  <c r="O22" i="2"/>
  <c r="L34" i="2"/>
  <c r="P26" i="2"/>
  <c r="O13" i="10"/>
  <c r="P13" i="10" s="1"/>
  <c r="Q13" i="10" s="1"/>
  <c r="P37" i="2"/>
  <c r="L22" i="2"/>
  <c r="S20" i="10"/>
  <c r="T20" i="10" s="1"/>
  <c r="S32" i="10"/>
  <c r="T32" i="10" s="1"/>
  <c r="S22" i="10"/>
  <c r="T22" i="10" s="1"/>
  <c r="S21" i="10"/>
  <c r="T21" i="10" s="1"/>
  <c r="S37" i="10"/>
  <c r="T37" i="10" s="1"/>
  <c r="S30" i="10"/>
  <c r="T30" i="10" s="1"/>
  <c r="S11" i="10"/>
  <c r="T11" i="10" s="1"/>
  <c r="S19" i="10"/>
  <c r="T19" i="10" s="1"/>
  <c r="S38" i="10"/>
  <c r="T38" i="10" s="1"/>
  <c r="S9" i="10"/>
  <c r="T9" i="10" s="1"/>
  <c r="S15" i="10"/>
  <c r="T15" i="10" s="1"/>
  <c r="S25" i="10"/>
  <c r="T25" i="10" s="1"/>
  <c r="S6" i="10"/>
  <c r="T6" i="10" s="1"/>
  <c r="S33" i="10"/>
  <c r="T33" i="10" s="1"/>
  <c r="S24" i="10"/>
  <c r="T24" i="10" s="1"/>
  <c r="S17" i="10"/>
  <c r="T17" i="10" s="1"/>
  <c r="S14" i="10"/>
  <c r="T14" i="10" s="1"/>
  <c r="S8" i="10"/>
  <c r="T8" i="10" s="1"/>
  <c r="S31" i="10"/>
  <c r="T31" i="10" s="1"/>
  <c r="S26" i="10"/>
  <c r="T26" i="10" s="1"/>
  <c r="S16" i="10"/>
  <c r="T16" i="10" s="1"/>
  <c r="S5" i="10"/>
  <c r="T5" i="10" s="1"/>
  <c r="S39" i="10"/>
  <c r="T39" i="10" s="1"/>
  <c r="S35" i="10"/>
  <c r="T35" i="10" s="1"/>
  <c r="S27" i="10"/>
  <c r="T27" i="10" s="1"/>
  <c r="S28" i="10"/>
  <c r="T28" i="10" s="1"/>
  <c r="S18" i="10"/>
  <c r="T18" i="10" s="1"/>
  <c r="S10" i="10"/>
  <c r="T10" i="10" s="1"/>
  <c r="S29" i="10"/>
  <c r="T29" i="10" s="1"/>
  <c r="S40" i="10"/>
  <c r="T40" i="10" s="1"/>
  <c r="S7" i="10"/>
  <c r="T7" i="10" s="1"/>
  <c r="S36" i="10"/>
  <c r="T36" i="10" s="1"/>
  <c r="S34" i="10"/>
  <c r="T34" i="10" s="1"/>
  <c r="S13" i="10"/>
  <c r="T13" i="10" s="1"/>
  <c r="S12" i="10"/>
  <c r="T12" i="10" s="1"/>
  <c r="S23" i="10"/>
  <c r="T23" i="10" s="1"/>
  <c r="O35" i="2"/>
  <c r="P33" i="2"/>
  <c r="R29" i="2"/>
  <c r="L25" i="2"/>
  <c r="R28" i="2"/>
  <c r="R38" i="2"/>
  <c r="P35" i="2"/>
  <c r="O40" i="2"/>
  <c r="R33" i="2"/>
  <c r="O39" i="2"/>
  <c r="R25" i="2"/>
  <c r="P7" i="2"/>
  <c r="P20" i="2"/>
  <c r="P40" i="2"/>
  <c r="P25" i="2"/>
  <c r="Q40" i="2"/>
  <c r="O32" i="2"/>
  <c r="R20" i="2"/>
  <c r="O20" i="2"/>
  <c r="L32" i="2"/>
  <c r="P16" i="2"/>
  <c r="L20" i="2"/>
  <c r="O17" i="2"/>
  <c r="P17" i="2"/>
  <c r="R17" i="2"/>
  <c r="L16" i="2"/>
  <c r="R16" i="2"/>
  <c r="Q16" i="2"/>
  <c r="O16" i="2"/>
  <c r="P13" i="2"/>
  <c r="O13" i="2"/>
  <c r="R13" i="2"/>
  <c r="L13" i="2"/>
  <c r="R12" i="2"/>
  <c r="P12" i="2"/>
  <c r="Q12" i="2"/>
  <c r="L12" i="2"/>
  <c r="O12" i="2"/>
  <c r="Q10" i="2"/>
  <c r="L7" i="2"/>
  <c r="O7" i="2"/>
  <c r="L6" i="2"/>
  <c r="P6" i="2"/>
  <c r="O5" i="2"/>
  <c r="R5" i="2"/>
  <c r="Q5" i="2"/>
  <c r="O37" i="2"/>
  <c r="Q15" i="10"/>
  <c r="O19" i="2"/>
  <c r="Q21" i="10"/>
  <c r="R15" i="2"/>
  <c r="E8" i="10"/>
  <c r="O8" i="10" s="1"/>
  <c r="P8" i="10" s="1"/>
  <c r="O8" i="2"/>
  <c r="L29" i="2"/>
  <c r="O14" i="2"/>
  <c r="L8" i="2"/>
  <c r="Q15" i="2"/>
  <c r="O15" i="2"/>
  <c r="Q9" i="10"/>
  <c r="E27" i="10"/>
  <c r="O27" i="10" s="1"/>
  <c r="P27" i="10" s="1"/>
  <c r="Q27" i="2"/>
  <c r="Q35" i="2"/>
  <c r="Q32" i="10"/>
  <c r="Q32" i="2"/>
  <c r="L14" i="2"/>
  <c r="Q6" i="2"/>
  <c r="L11" i="2"/>
  <c r="P23" i="2"/>
  <c r="P5" i="2"/>
  <c r="L23" i="2"/>
  <c r="P27" i="2"/>
  <c r="Q37" i="2"/>
  <c r="O38" i="2"/>
  <c r="Q28" i="2"/>
  <c r="L39" i="2"/>
  <c r="O9" i="2"/>
  <c r="P11" i="2"/>
  <c r="Q23" i="2"/>
  <c r="Q21" i="2"/>
  <c r="O33" i="2"/>
  <c r="P32" i="2"/>
  <c r="P28" i="2"/>
  <c r="Q7" i="10"/>
  <c r="Q16" i="10"/>
  <c r="Q13" i="2"/>
  <c r="R10" i="2"/>
  <c r="R7" i="2"/>
  <c r="L10" i="2"/>
  <c r="L15" i="2"/>
  <c r="Q17" i="2"/>
  <c r="L35" i="2"/>
  <c r="Q39" i="2"/>
  <c r="L5" i="2"/>
  <c r="O25" i="2"/>
  <c r="Q38" i="2"/>
  <c r="O6" i="2"/>
  <c r="R32" i="2"/>
  <c r="R6" i="2"/>
  <c r="R14" i="2"/>
  <c r="E19" i="10"/>
  <c r="O19" i="10" s="1"/>
  <c r="P19" i="10" s="1"/>
  <c r="K18" i="2"/>
  <c r="E36" i="10"/>
  <c r="O36" i="10" s="1"/>
  <c r="P36" i="10" s="1"/>
  <c r="O36" i="2"/>
  <c r="L19" i="2"/>
  <c r="E29" i="10"/>
  <c r="O29" i="10" s="1"/>
  <c r="P29" i="10" s="1"/>
  <c r="P29" i="2"/>
  <c r="P36" i="2"/>
  <c r="P14" i="2"/>
  <c r="R21" i="2"/>
  <c r="Q28" i="10"/>
  <c r="R8" i="2"/>
  <c r="L28" i="2"/>
  <c r="P10" i="2"/>
  <c r="Q9" i="2"/>
  <c r="O28" i="2"/>
  <c r="Q14" i="2"/>
  <c r="P8" i="2"/>
  <c r="O29" i="2"/>
  <c r="Q38" i="10"/>
  <c r="L9" i="2"/>
  <c r="L27" i="2"/>
  <c r="R19" i="2"/>
  <c r="L37" i="2"/>
  <c r="R36" i="2"/>
  <c r="E24" i="10"/>
  <c r="O24" i="10" s="1"/>
  <c r="P24" i="10" s="1"/>
  <c r="L24" i="2"/>
  <c r="Q20" i="2"/>
  <c r="P21" i="2"/>
  <c r="P39" i="2"/>
  <c r="O24" i="2"/>
  <c r="R24" i="2"/>
  <c r="P19" i="2"/>
  <c r="R37" i="2"/>
  <c r="O10" i="2"/>
  <c r="Q11" i="10"/>
  <c r="Q23" i="10"/>
  <c r="Q17" i="10"/>
  <c r="P15" i="2"/>
  <c r="E31" i="10"/>
  <c r="O31" i="10" s="1"/>
  <c r="P31" i="10" s="1"/>
  <c r="R31" i="2"/>
  <c r="AD44" i="3" l="1"/>
  <c r="AD45" i="3" s="1"/>
  <c r="Q39" i="10"/>
  <c r="T40" i="2"/>
  <c r="W40" i="2" s="1"/>
  <c r="T31" i="2"/>
  <c r="F35" i="10"/>
  <c r="T39" i="2"/>
  <c r="W39" i="2" s="1"/>
  <c r="U34" i="2"/>
  <c r="X34" i="2" s="1"/>
  <c r="U15" i="3"/>
  <c r="M32" i="3"/>
  <c r="W19" i="3"/>
  <c r="U19" i="3"/>
  <c r="T34" i="3"/>
  <c r="M20" i="3"/>
  <c r="W20" i="3"/>
  <c r="L13" i="3"/>
  <c r="V28" i="3"/>
  <c r="U36" i="3"/>
  <c r="U21" i="3"/>
  <c r="N36" i="3"/>
  <c r="U34" i="3"/>
  <c r="T21" i="3"/>
  <c r="T23" i="3"/>
  <c r="N27" i="3"/>
  <c r="O19" i="3"/>
  <c r="V21" i="3"/>
  <c r="V10" i="3"/>
  <c r="V23" i="3"/>
  <c r="V22" i="3"/>
  <c r="N7" i="3"/>
  <c r="N22" i="3"/>
  <c r="L28" i="3"/>
  <c r="U40" i="3"/>
  <c r="O8" i="3"/>
  <c r="N30" i="3"/>
  <c r="O10" i="3"/>
  <c r="U18" i="3"/>
  <c r="V8" i="3"/>
  <c r="W36" i="3"/>
  <c r="L26" i="3"/>
  <c r="T8" i="3"/>
  <c r="U30" i="3"/>
  <c r="Q35" i="10"/>
  <c r="T34" i="2"/>
  <c r="E34" i="3" s="1"/>
  <c r="Q25" i="10"/>
  <c r="T30" i="2"/>
  <c r="Z30" i="2" s="1"/>
  <c r="T11" i="2"/>
  <c r="Z11" i="2" s="1"/>
  <c r="U40" i="2"/>
  <c r="X40" i="2" s="1"/>
  <c r="T23" i="2"/>
  <c r="W23" i="2" s="1"/>
  <c r="U10" i="3"/>
  <c r="L15" i="3"/>
  <c r="T11" i="3"/>
  <c r="N10" i="3"/>
  <c r="T32" i="3"/>
  <c r="T24" i="3"/>
  <c r="T10" i="3"/>
  <c r="M10" i="3"/>
  <c r="N21" i="3"/>
  <c r="U13" i="3"/>
  <c r="V34" i="3"/>
  <c r="U11" i="3"/>
  <c r="M19" i="3"/>
  <c r="L14" i="3"/>
  <c r="V20" i="3"/>
  <c r="L10" i="3"/>
  <c r="T18" i="3"/>
  <c r="O13" i="3"/>
  <c r="O34" i="3"/>
  <c r="M22" i="3"/>
  <c r="L19" i="3"/>
  <c r="W18" i="3"/>
  <c r="M18" i="3"/>
  <c r="V11" i="3"/>
  <c r="U32" i="2"/>
  <c r="X32" i="2" s="1"/>
  <c r="M11" i="3"/>
  <c r="L12" i="3"/>
  <c r="L24" i="3"/>
  <c r="W8" i="3"/>
  <c r="W11" i="3"/>
  <c r="W31" i="3"/>
  <c r="W17" i="3"/>
  <c r="M40" i="3"/>
  <c r="L17" i="3"/>
  <c r="V18" i="3"/>
  <c r="V13" i="3"/>
  <c r="L8" i="3"/>
  <c r="W9" i="3"/>
  <c r="O36" i="3"/>
  <c r="T31" i="3"/>
  <c r="W27" i="3"/>
  <c r="Q37" i="3"/>
  <c r="N19" i="3"/>
  <c r="L31" i="3"/>
  <c r="V40" i="3"/>
  <c r="N18" i="3"/>
  <c r="M13" i="3"/>
  <c r="L11" i="3"/>
  <c r="N11" i="3"/>
  <c r="T9" i="3"/>
  <c r="T36" i="3"/>
  <c r="V31" i="3"/>
  <c r="L27" i="3"/>
  <c r="U32" i="3"/>
  <c r="T19" i="3"/>
  <c r="U7" i="3"/>
  <c r="L40" i="3"/>
  <c r="M31" i="3"/>
  <c r="O18" i="3"/>
  <c r="W13" i="3"/>
  <c r="V9" i="3"/>
  <c r="L36" i="3"/>
  <c r="U6" i="3"/>
  <c r="O29" i="3"/>
  <c r="W30" i="3"/>
  <c r="L30" i="3"/>
  <c r="M28" i="3"/>
  <c r="O22" i="3"/>
  <c r="T20" i="3"/>
  <c r="T40" i="3"/>
  <c r="N17" i="3"/>
  <c r="L21" i="3"/>
  <c r="N34" i="3"/>
  <c r="M26" i="3"/>
  <c r="T27" i="3"/>
  <c r="N39" i="3"/>
  <c r="O20" i="3"/>
  <c r="O40" i="3"/>
  <c r="L34" i="3"/>
  <c r="M8" i="3"/>
  <c r="L9" i="3"/>
  <c r="T7" i="3"/>
  <c r="N33" i="3"/>
  <c r="U11" i="10"/>
  <c r="V11" i="10" s="1"/>
  <c r="T28" i="3"/>
  <c r="N20" i="3"/>
  <c r="W40" i="3"/>
  <c r="M17" i="3"/>
  <c r="O21" i="3"/>
  <c r="M21" i="3"/>
  <c r="T13" i="3"/>
  <c r="M34" i="3"/>
  <c r="N8" i="3"/>
  <c r="N9" i="3"/>
  <c r="W23" i="3"/>
  <c r="M36" i="3"/>
  <c r="M7" i="3"/>
  <c r="O27" i="3"/>
  <c r="W22" i="3"/>
  <c r="U22" i="3"/>
  <c r="O24" i="3"/>
  <c r="N32" i="3"/>
  <c r="V30" i="3"/>
  <c r="U29" i="3"/>
  <c r="W24" i="3"/>
  <c r="T30" i="3"/>
  <c r="V26" i="3"/>
  <c r="M33" i="3"/>
  <c r="W33" i="3"/>
  <c r="O7" i="3"/>
  <c r="U9" i="3"/>
  <c r="V27" i="3"/>
  <c r="L22" i="3"/>
  <c r="T17" i="3"/>
  <c r="O26" i="3"/>
  <c r="U27" i="3"/>
  <c r="U35" i="3"/>
  <c r="W32" i="3"/>
  <c r="M30" i="3"/>
  <c r="U24" i="3"/>
  <c r="P37" i="3"/>
  <c r="N14" i="3"/>
  <c r="V15" i="3"/>
  <c r="V6" i="3"/>
  <c r="W5" i="3"/>
  <c r="M35" i="3"/>
  <c r="T29" i="3"/>
  <c r="Y37" i="3"/>
  <c r="V7" i="3"/>
  <c r="W7" i="3"/>
  <c r="O14" i="3"/>
  <c r="W15" i="3"/>
  <c r="O23" i="3"/>
  <c r="V12" i="3"/>
  <c r="V5" i="3"/>
  <c r="L29" i="3"/>
  <c r="N15" i="3"/>
  <c r="U12" i="3"/>
  <c r="M5" i="3"/>
  <c r="U16" i="10"/>
  <c r="V16" i="10" s="1"/>
  <c r="U14" i="3"/>
  <c r="U35" i="10"/>
  <c r="V35" i="10" s="1"/>
  <c r="T14" i="3"/>
  <c r="M15" i="3"/>
  <c r="M9" i="3"/>
  <c r="M23" i="3"/>
  <c r="T12" i="3"/>
  <c r="U5" i="3"/>
  <c r="V29" i="3"/>
  <c r="W14" i="3"/>
  <c r="T15" i="3"/>
  <c r="N6" i="3"/>
  <c r="O12" i="3"/>
  <c r="L5" i="3"/>
  <c r="W29" i="3"/>
  <c r="O31" i="3"/>
  <c r="N31" i="3"/>
  <c r="N28" i="3"/>
  <c r="U17" i="3"/>
  <c r="U26" i="3"/>
  <c r="N16" i="3"/>
  <c r="T33" i="3"/>
  <c r="L33" i="3"/>
  <c r="M12" i="3"/>
  <c r="W16" i="3"/>
  <c r="O5" i="3"/>
  <c r="M14" i="3"/>
  <c r="W28" i="3"/>
  <c r="U20" i="3"/>
  <c r="O17" i="3"/>
  <c r="W26" i="3"/>
  <c r="X37" i="3"/>
  <c r="N12" i="3"/>
  <c r="U16" i="3"/>
  <c r="T5" i="3"/>
  <c r="O32" i="3"/>
  <c r="M29" i="3"/>
  <c r="V24" i="3"/>
  <c r="T38" i="3"/>
  <c r="N38" i="3"/>
  <c r="V38" i="3"/>
  <c r="M38" i="3"/>
  <c r="U38" i="3"/>
  <c r="L38" i="3"/>
  <c r="O38" i="3"/>
  <c r="M6" i="3"/>
  <c r="W6" i="3"/>
  <c r="T6" i="3"/>
  <c r="L6" i="3"/>
  <c r="L39" i="3"/>
  <c r="U39" i="3"/>
  <c r="O39" i="3"/>
  <c r="M39" i="3"/>
  <c r="W39" i="3"/>
  <c r="T39" i="3"/>
  <c r="T16" i="3"/>
  <c r="M16" i="3"/>
  <c r="O25" i="3"/>
  <c r="W25" i="3"/>
  <c r="T25" i="3"/>
  <c r="N25" i="3"/>
  <c r="U25" i="3"/>
  <c r="M25" i="3"/>
  <c r="V25" i="3"/>
  <c r="U33" i="3"/>
  <c r="V33" i="3"/>
  <c r="U14" i="10"/>
  <c r="V14" i="10" s="1"/>
  <c r="U28" i="3"/>
  <c r="T26" i="3"/>
  <c r="L16" i="3"/>
  <c r="V16" i="3"/>
  <c r="V32" i="3"/>
  <c r="M24" i="3"/>
  <c r="U23" i="3"/>
  <c r="N23" i="3"/>
  <c r="V35" i="3"/>
  <c r="W35" i="3"/>
  <c r="N35" i="3"/>
  <c r="T35" i="3"/>
  <c r="L35" i="3"/>
  <c r="U10" i="10"/>
  <c r="V10" i="10" s="1"/>
  <c r="Q10" i="10"/>
  <c r="U33" i="10"/>
  <c r="V33" i="10" s="1"/>
  <c r="U23" i="2"/>
  <c r="X23" i="2" s="1"/>
  <c r="U26" i="2"/>
  <c r="X26" i="2" s="1"/>
  <c r="T26" i="2"/>
  <c r="Z26" i="2" s="1"/>
  <c r="T20" i="2"/>
  <c r="W20" i="2" s="1"/>
  <c r="U20" i="10"/>
  <c r="V20" i="10" s="1"/>
  <c r="U12" i="2"/>
  <c r="X12" i="2" s="1"/>
  <c r="U7" i="2"/>
  <c r="X7" i="2" s="1"/>
  <c r="U22" i="2"/>
  <c r="AA22" i="2" s="1"/>
  <c r="T27" i="2"/>
  <c r="E27" i="3" s="1"/>
  <c r="T22" i="2"/>
  <c r="W22" i="2" s="1"/>
  <c r="U34" i="10"/>
  <c r="V34" i="10" s="1"/>
  <c r="U38" i="10"/>
  <c r="V38" i="10" s="1"/>
  <c r="U28" i="10"/>
  <c r="V28" i="10" s="1"/>
  <c r="U23" i="10"/>
  <c r="V23" i="10" s="1"/>
  <c r="U40" i="10"/>
  <c r="V40" i="10" s="1"/>
  <c r="U15" i="10"/>
  <c r="V15" i="10" s="1"/>
  <c r="U25" i="10"/>
  <c r="V25" i="10" s="1"/>
  <c r="G65" i="2"/>
  <c r="F65" i="2" s="1"/>
  <c r="E65" i="2" s="1"/>
  <c r="D65" i="2" s="1"/>
  <c r="U5" i="2"/>
  <c r="F5" i="3" s="1"/>
  <c r="G19" i="2"/>
  <c r="I19" i="2" s="1"/>
  <c r="G40" i="2"/>
  <c r="I40" i="2" s="1"/>
  <c r="G35" i="2"/>
  <c r="H35" i="2" s="1"/>
  <c r="G16" i="2"/>
  <c r="H16" i="2" s="1"/>
  <c r="G18" i="2"/>
  <c r="I18" i="2" s="1"/>
  <c r="G30" i="2"/>
  <c r="I30" i="2" s="1"/>
  <c r="G8" i="2"/>
  <c r="H8" i="2" s="1"/>
  <c r="G22" i="2"/>
  <c r="H22" i="2" s="1"/>
  <c r="G7" i="2"/>
  <c r="H7" i="2" s="1"/>
  <c r="G6" i="2"/>
  <c r="H6" i="2" s="1"/>
  <c r="G12" i="2"/>
  <c r="H12" i="2" s="1"/>
  <c r="G21" i="2"/>
  <c r="I21" i="2" s="1"/>
  <c r="G36" i="2"/>
  <c r="I36" i="2" s="1"/>
  <c r="G10" i="2"/>
  <c r="H10" i="2" s="1"/>
  <c r="G20" i="2"/>
  <c r="H20" i="2" s="1"/>
  <c r="G34" i="2"/>
  <c r="I34" i="2" s="1"/>
  <c r="G28" i="2"/>
  <c r="H28" i="2" s="1"/>
  <c r="G11" i="2"/>
  <c r="I11" i="2" s="1"/>
  <c r="G26" i="2"/>
  <c r="H26" i="2" s="1"/>
  <c r="G38" i="2"/>
  <c r="I38" i="2" s="1"/>
  <c r="G29" i="2"/>
  <c r="I29" i="2" s="1"/>
  <c r="G14" i="2"/>
  <c r="I14" i="2" s="1"/>
  <c r="G9" i="2"/>
  <c r="H9" i="2" s="1"/>
  <c r="G31" i="2"/>
  <c r="H31" i="2" s="1"/>
  <c r="G39" i="2"/>
  <c r="H39" i="2" s="1"/>
  <c r="G27" i="2"/>
  <c r="I27" i="2" s="1"/>
  <c r="G15" i="2"/>
  <c r="H15" i="2" s="1"/>
  <c r="G37" i="2"/>
  <c r="H37" i="2" s="1"/>
  <c r="G33" i="2"/>
  <c r="I33" i="2" s="1"/>
  <c r="G13" i="2"/>
  <c r="I13" i="2" s="1"/>
  <c r="G24" i="2"/>
  <c r="H24" i="2" s="1"/>
  <c r="G25" i="2"/>
  <c r="H25" i="2" s="1"/>
  <c r="G32" i="2"/>
  <c r="H32" i="2" s="1"/>
  <c r="G23" i="2"/>
  <c r="I23" i="2" s="1"/>
  <c r="G17" i="2"/>
  <c r="I17" i="2" s="1"/>
  <c r="G5" i="2"/>
  <c r="I5" i="2" s="1"/>
  <c r="T17" i="2"/>
  <c r="E17" i="3" s="1"/>
  <c r="T32" i="2"/>
  <c r="E32" i="3" s="1"/>
  <c r="U32" i="10"/>
  <c r="V32" i="10" s="1"/>
  <c r="U9" i="10"/>
  <c r="V9" i="10" s="1"/>
  <c r="U37" i="10"/>
  <c r="V37" i="10" s="1"/>
  <c r="U16" i="2"/>
  <c r="F16" i="3" s="1"/>
  <c r="U30" i="10"/>
  <c r="V30" i="10" s="1"/>
  <c r="Q30" i="10"/>
  <c r="U13" i="2"/>
  <c r="AA13" i="2" s="1"/>
  <c r="U13" i="10"/>
  <c r="V13" i="10" s="1"/>
  <c r="U21" i="10"/>
  <c r="V21" i="10" s="1"/>
  <c r="T7" i="2"/>
  <c r="Z7" i="2" s="1"/>
  <c r="U39" i="2"/>
  <c r="F39" i="3" s="1"/>
  <c r="Z31" i="2"/>
  <c r="U39" i="10"/>
  <c r="V39" i="10" s="1"/>
  <c r="U27" i="2"/>
  <c r="X27" i="2" s="1"/>
  <c r="T35" i="2"/>
  <c r="E35" i="3" s="1"/>
  <c r="U17" i="10"/>
  <c r="V17" i="10" s="1"/>
  <c r="U5" i="10"/>
  <c r="V5" i="10" s="1"/>
  <c r="U12" i="10"/>
  <c r="V12" i="10" s="1"/>
  <c r="U11" i="2"/>
  <c r="AA11" i="2" s="1"/>
  <c r="U7" i="10"/>
  <c r="V7" i="10" s="1"/>
  <c r="T5" i="2"/>
  <c r="E5" i="3" s="1"/>
  <c r="U6" i="10"/>
  <c r="V6" i="10" s="1"/>
  <c r="Q26" i="10"/>
  <c r="U26" i="10"/>
  <c r="V26" i="10" s="1"/>
  <c r="U22" i="10"/>
  <c r="V22" i="10" s="1"/>
  <c r="U35" i="2"/>
  <c r="X35" i="2" s="1"/>
  <c r="U31" i="2"/>
  <c r="AA31" i="2" s="1"/>
  <c r="T16" i="2"/>
  <c r="Z16" i="2" s="1"/>
  <c r="T12" i="2"/>
  <c r="Z12" i="2" s="1"/>
  <c r="T13" i="2"/>
  <c r="W13" i="2" s="1"/>
  <c r="U21" i="2"/>
  <c r="F21" i="3" s="1"/>
  <c r="U20" i="2"/>
  <c r="X20" i="2" s="1"/>
  <c r="U17" i="2"/>
  <c r="AA17" i="2" s="1"/>
  <c r="Q31" i="10"/>
  <c r="U31" i="10"/>
  <c r="V31" i="10" s="1"/>
  <c r="T10" i="2"/>
  <c r="U10" i="2"/>
  <c r="Q36" i="10"/>
  <c r="U36" i="10"/>
  <c r="V36" i="10" s="1"/>
  <c r="T21" i="2"/>
  <c r="U9" i="2"/>
  <c r="T9" i="2"/>
  <c r="U27" i="10"/>
  <c r="V27" i="10" s="1"/>
  <c r="Q27" i="10"/>
  <c r="U14" i="2"/>
  <c r="T14" i="2"/>
  <c r="T29" i="2"/>
  <c r="U29" i="2"/>
  <c r="F40" i="3"/>
  <c r="Q24" i="10"/>
  <c r="U24" i="10"/>
  <c r="V24" i="10" s="1"/>
  <c r="U36" i="2"/>
  <c r="T36" i="2"/>
  <c r="E18" i="10"/>
  <c r="O18" i="10" s="1"/>
  <c r="P18" i="10" s="1"/>
  <c r="L18" i="2"/>
  <c r="P18" i="2"/>
  <c r="R18" i="2"/>
  <c r="O18" i="2"/>
  <c r="Q18" i="2"/>
  <c r="T38" i="2"/>
  <c r="U38" i="2"/>
  <c r="U15" i="2"/>
  <c r="T15" i="2"/>
  <c r="Q8" i="10"/>
  <c r="U8" i="10"/>
  <c r="V8" i="10" s="1"/>
  <c r="U24" i="2"/>
  <c r="T24" i="2"/>
  <c r="Q19" i="10"/>
  <c r="U19" i="10"/>
  <c r="V19" i="10" s="1"/>
  <c r="T6" i="2"/>
  <c r="U6" i="2"/>
  <c r="U33" i="2"/>
  <c r="T33" i="2"/>
  <c r="F30" i="3"/>
  <c r="X30" i="2"/>
  <c r="U37" i="2"/>
  <c r="T37" i="2"/>
  <c r="E23" i="3"/>
  <c r="U29" i="10"/>
  <c r="V29" i="10" s="1"/>
  <c r="Q29" i="10"/>
  <c r="Z23" i="2"/>
  <c r="T19" i="2"/>
  <c r="U19" i="2"/>
  <c r="T28" i="2"/>
  <c r="U28" i="2"/>
  <c r="E31" i="3"/>
  <c r="W31" i="2"/>
  <c r="T25" i="2"/>
  <c r="U25" i="2"/>
  <c r="AA30" i="2"/>
  <c r="T8" i="2"/>
  <c r="U8" i="2"/>
  <c r="F34" i="3"/>
  <c r="E40" i="3" l="1"/>
  <c r="Z40" i="2"/>
  <c r="X10" i="3"/>
  <c r="Z39" i="2"/>
  <c r="E39" i="3"/>
  <c r="AA34" i="2"/>
  <c r="Z34" i="2"/>
  <c r="W34" i="2"/>
  <c r="AA40" i="2"/>
  <c r="AA32" i="2"/>
  <c r="E30" i="3"/>
  <c r="Y18" i="3"/>
  <c r="E11" i="3"/>
  <c r="E20" i="3"/>
  <c r="Z35" i="2"/>
  <c r="Z20" i="2"/>
  <c r="Y19" i="3"/>
  <c r="X34" i="3"/>
  <c r="Y22" i="3"/>
  <c r="P18" i="3"/>
  <c r="P10" i="3"/>
  <c r="Y34" i="3"/>
  <c r="Y36" i="3"/>
  <c r="P19" i="3"/>
  <c r="Y10" i="3"/>
  <c r="X21" i="3"/>
  <c r="Y21" i="3"/>
  <c r="X19" i="3"/>
  <c r="Y17" i="3"/>
  <c r="X9" i="3"/>
  <c r="X22" i="3"/>
  <c r="Q19" i="3"/>
  <c r="Y11" i="3"/>
  <c r="Q28" i="3"/>
  <c r="Q20" i="3"/>
  <c r="Y27" i="3"/>
  <c r="X18" i="3"/>
  <c r="X8" i="3"/>
  <c r="X15" i="3"/>
  <c r="Q11" i="3"/>
  <c r="P28" i="3"/>
  <c r="F32" i="3"/>
  <c r="AA20" i="2"/>
  <c r="AA12" i="2"/>
  <c r="W35" i="2"/>
  <c r="W30" i="2"/>
  <c r="W11" i="2"/>
  <c r="AA35" i="2"/>
  <c r="F23" i="3"/>
  <c r="F27" i="3"/>
  <c r="Z22" i="2"/>
  <c r="AA23" i="2"/>
  <c r="E22" i="3"/>
  <c r="W32" i="2"/>
  <c r="AA26" i="2"/>
  <c r="W26" i="2"/>
  <c r="E26" i="3"/>
  <c r="F12" i="3"/>
  <c r="AA39" i="2"/>
  <c r="AA7" i="2"/>
  <c r="W16" i="2"/>
  <c r="H19" i="2"/>
  <c r="P5" i="3"/>
  <c r="Q18" i="3"/>
  <c r="P9" i="3"/>
  <c r="P34" i="3"/>
  <c r="Q8" i="3"/>
  <c r="Q15" i="3"/>
  <c r="P22" i="3"/>
  <c r="P20" i="3"/>
  <c r="P17" i="3"/>
  <c r="P27" i="3"/>
  <c r="P13" i="3"/>
  <c r="Q10" i="3"/>
  <c r="X36" i="3"/>
  <c r="Q7" i="3"/>
  <c r="P32" i="3"/>
  <c r="Q36" i="3"/>
  <c r="Q21" i="3"/>
  <c r="X32" i="3"/>
  <c r="Y13" i="3"/>
  <c r="X11" i="3"/>
  <c r="X29" i="3"/>
  <c r="P15" i="3"/>
  <c r="P21" i="3"/>
  <c r="X17" i="2"/>
  <c r="X11" i="2"/>
  <c r="Z27" i="2"/>
  <c r="F31" i="3"/>
  <c r="Y12" i="3"/>
  <c r="Y14" i="3"/>
  <c r="Y30" i="3"/>
  <c r="Y31" i="3"/>
  <c r="Y8" i="3"/>
  <c r="F11" i="3"/>
  <c r="P30" i="3"/>
  <c r="Q17" i="3"/>
  <c r="Q32" i="3"/>
  <c r="AC32" i="3" s="1"/>
  <c r="E32" i="4" s="1"/>
  <c r="K32" i="4" s="1"/>
  <c r="O32" i="4" s="1"/>
  <c r="X27" i="3"/>
  <c r="P40" i="3"/>
  <c r="P36" i="3"/>
  <c r="E12" i="3"/>
  <c r="X22" i="2"/>
  <c r="W27" i="2"/>
  <c r="X39" i="2"/>
  <c r="W17" i="2"/>
  <c r="Y15" i="3"/>
  <c r="W12" i="2"/>
  <c r="F22" i="3"/>
  <c r="Z17" i="2"/>
  <c r="X13" i="2"/>
  <c r="Q40" i="3"/>
  <c r="X13" i="3"/>
  <c r="P11" i="3"/>
  <c r="Q13" i="3"/>
  <c r="I31" i="2"/>
  <c r="Y9" i="3"/>
  <c r="X31" i="3"/>
  <c r="X12" i="3"/>
  <c r="Q30" i="3"/>
  <c r="Y29" i="3"/>
  <c r="P7" i="3"/>
  <c r="Q34" i="3"/>
  <c r="H30" i="2"/>
  <c r="Y32" i="3"/>
  <c r="Q12" i="3"/>
  <c r="X17" i="3"/>
  <c r="Y5" i="3"/>
  <c r="Q22" i="3"/>
  <c r="Y7" i="3"/>
  <c r="X30" i="3"/>
  <c r="Y40" i="3"/>
  <c r="P23" i="3"/>
  <c r="Q9" i="3"/>
  <c r="X20" i="3"/>
  <c r="Q24" i="3"/>
  <c r="Y28" i="3"/>
  <c r="Y24" i="3"/>
  <c r="Q27" i="3"/>
  <c r="P8" i="3"/>
  <c r="Q26" i="3"/>
  <c r="I7" i="2"/>
  <c r="P26" i="3"/>
  <c r="X33" i="3"/>
  <c r="X40" i="3"/>
  <c r="Q23" i="3"/>
  <c r="P25" i="3"/>
  <c r="P6" i="3"/>
  <c r="Q33" i="3"/>
  <c r="I16" i="2"/>
  <c r="X24" i="3"/>
  <c r="P35" i="3"/>
  <c r="Y23" i="3"/>
  <c r="X26" i="3"/>
  <c r="P24" i="3"/>
  <c r="Q29" i="3"/>
  <c r="Q14" i="3"/>
  <c r="Y38" i="3"/>
  <c r="X7" i="3"/>
  <c r="Y20" i="3"/>
  <c r="Q25" i="3"/>
  <c r="P29" i="3"/>
  <c r="I37" i="2"/>
  <c r="H18" i="2"/>
  <c r="X14" i="3"/>
  <c r="X23" i="3"/>
  <c r="Q31" i="3"/>
  <c r="P31" i="3"/>
  <c r="Y26" i="3"/>
  <c r="X5" i="3"/>
  <c r="H23" i="2"/>
  <c r="P14" i="3"/>
  <c r="I12" i="2"/>
  <c r="Q5" i="3"/>
  <c r="Y33" i="3"/>
  <c r="I32" i="2"/>
  <c r="Y35" i="3"/>
  <c r="P39" i="3"/>
  <c r="P12" i="3"/>
  <c r="H33" i="2"/>
  <c r="Q6" i="3"/>
  <c r="I10" i="2"/>
  <c r="X28" i="3"/>
  <c r="X38" i="3"/>
  <c r="X25" i="3"/>
  <c r="Y25" i="3"/>
  <c r="X39" i="3"/>
  <c r="Y39" i="3"/>
  <c r="I28" i="2"/>
  <c r="I9" i="2"/>
  <c r="Q38" i="3"/>
  <c r="P38" i="3"/>
  <c r="Q35" i="3"/>
  <c r="P16" i="3"/>
  <c r="Q16" i="3"/>
  <c r="Y6" i="3"/>
  <c r="X6" i="3"/>
  <c r="X35" i="3"/>
  <c r="P33" i="3"/>
  <c r="Y16" i="3"/>
  <c r="Q39" i="3"/>
  <c r="X16" i="3"/>
  <c r="I24" i="2"/>
  <c r="H21" i="2"/>
  <c r="F7" i="3"/>
  <c r="F26" i="3"/>
  <c r="H11" i="2"/>
  <c r="E16" i="3"/>
  <c r="H5" i="2"/>
  <c r="I22" i="2"/>
  <c r="H40" i="2"/>
  <c r="H38" i="2"/>
  <c r="H36" i="2"/>
  <c r="H34" i="2"/>
  <c r="AA5" i="2"/>
  <c r="H17" i="2"/>
  <c r="AC17" i="3"/>
  <c r="E17" i="4" s="1"/>
  <c r="K17" i="4" s="1"/>
  <c r="O17" i="4" s="1"/>
  <c r="I20" i="2"/>
  <c r="I6" i="2"/>
  <c r="Z5" i="2"/>
  <c r="H14" i="2"/>
  <c r="I26" i="2"/>
  <c r="I8" i="2"/>
  <c r="X5" i="2"/>
  <c r="I15" i="2"/>
  <c r="W5" i="2"/>
  <c r="H29" i="2"/>
  <c r="Z13" i="2"/>
  <c r="E13" i="3"/>
  <c r="I39" i="2"/>
  <c r="I25" i="2"/>
  <c r="I35" i="2"/>
  <c r="W7" i="2"/>
  <c r="Z32" i="2"/>
  <c r="AA21" i="2"/>
  <c r="E7" i="3"/>
  <c r="AA16" i="2"/>
  <c r="X16" i="2"/>
  <c r="H27" i="2"/>
  <c r="F17" i="3"/>
  <c r="F13" i="3"/>
  <c r="X31" i="2"/>
  <c r="AA27" i="2"/>
  <c r="F35" i="3"/>
  <c r="X21" i="2"/>
  <c r="F20" i="3"/>
  <c r="X8" i="2"/>
  <c r="F8" i="3"/>
  <c r="AA8" i="2"/>
  <c r="W28" i="2"/>
  <c r="E28" i="3"/>
  <c r="Z28" i="2"/>
  <c r="W19" i="2"/>
  <c r="E19" i="3"/>
  <c r="Z19" i="2"/>
  <c r="E6" i="3"/>
  <c r="W6" i="2"/>
  <c r="Z6" i="2"/>
  <c r="T18" i="2"/>
  <c r="U18" i="2"/>
  <c r="X10" i="2"/>
  <c r="F10" i="3"/>
  <c r="AA10" i="2"/>
  <c r="E33" i="3"/>
  <c r="W33" i="2"/>
  <c r="Z33" i="2"/>
  <c r="E24" i="3"/>
  <c r="W24" i="2"/>
  <c r="Z24" i="2"/>
  <c r="X38" i="2"/>
  <c r="F38" i="3"/>
  <c r="AA38" i="2"/>
  <c r="W36" i="2"/>
  <c r="E36" i="3"/>
  <c r="Z36" i="2"/>
  <c r="E29" i="3"/>
  <c r="W29" i="2"/>
  <c r="Z29" i="2"/>
  <c r="F14" i="3"/>
  <c r="X14" i="2"/>
  <c r="AA14" i="2"/>
  <c r="W9" i="2"/>
  <c r="E9" i="3"/>
  <c r="Z9" i="2"/>
  <c r="E21" i="3"/>
  <c r="W21" i="2"/>
  <c r="Z21" i="2"/>
  <c r="E10" i="3"/>
  <c r="W10" i="2"/>
  <c r="Z10" i="2"/>
  <c r="X28" i="2"/>
  <c r="F28" i="3"/>
  <c r="AA28" i="2"/>
  <c r="F19" i="3"/>
  <c r="X19" i="2"/>
  <c r="AA19" i="2"/>
  <c r="F6" i="3"/>
  <c r="X6" i="2"/>
  <c r="AA6" i="2"/>
  <c r="Q18" i="10"/>
  <c r="U18" i="10"/>
  <c r="V18" i="10" s="1"/>
  <c r="X29" i="2"/>
  <c r="F29" i="3"/>
  <c r="AA29" i="2"/>
  <c r="W14" i="2"/>
  <c r="E14" i="3"/>
  <c r="Z14" i="2"/>
  <c r="E8" i="3"/>
  <c r="W8" i="2"/>
  <c r="Z8" i="2"/>
  <c r="F25" i="3"/>
  <c r="X25" i="2"/>
  <c r="AA25" i="2"/>
  <c r="W37" i="2"/>
  <c r="E37" i="3"/>
  <c r="AC37" i="3" s="1"/>
  <c r="E37" i="4" s="1"/>
  <c r="K37" i="4" s="1"/>
  <c r="O37" i="4" s="1"/>
  <c r="Z37" i="2"/>
  <c r="W15" i="2"/>
  <c r="E15" i="3"/>
  <c r="Z15" i="2"/>
  <c r="W25" i="2"/>
  <c r="E25" i="3"/>
  <c r="Z25" i="2"/>
  <c r="F37" i="3"/>
  <c r="AD37" i="3" s="1"/>
  <c r="F37" i="4" s="1"/>
  <c r="L37" i="4" s="1"/>
  <c r="P37" i="4" s="1"/>
  <c r="X37" i="2"/>
  <c r="AA37" i="2"/>
  <c r="X33" i="2"/>
  <c r="F33" i="3"/>
  <c r="AA33" i="2"/>
  <c r="X24" i="2"/>
  <c r="F24" i="3"/>
  <c r="AA24" i="2"/>
  <c r="F15" i="3"/>
  <c r="X15" i="2"/>
  <c r="AA15" i="2"/>
  <c r="W38" i="2"/>
  <c r="E38" i="3"/>
  <c r="Z38" i="2"/>
  <c r="F36" i="3"/>
  <c r="X36" i="2"/>
  <c r="AA36" i="2"/>
  <c r="F9" i="3"/>
  <c r="X9" i="2"/>
  <c r="AA9" i="2"/>
  <c r="AC11" i="3" l="1"/>
  <c r="E11" i="4" s="1"/>
  <c r="K11" i="4" s="1"/>
  <c r="O11" i="4" s="1"/>
  <c r="AD19" i="3"/>
  <c r="F19" i="4" s="1"/>
  <c r="L19" i="4" s="1"/>
  <c r="P19" i="4" s="1"/>
  <c r="AD32" i="3"/>
  <c r="F32" i="4" s="1"/>
  <c r="L32" i="4" s="1"/>
  <c r="P32" i="4" s="1"/>
  <c r="AD10" i="3"/>
  <c r="F10" i="4" s="1"/>
  <c r="L10" i="4" s="1"/>
  <c r="P10" i="4" s="1"/>
  <c r="AC34" i="3"/>
  <c r="E34" i="4" s="1"/>
  <c r="K34" i="4" s="1"/>
  <c r="O34" i="4" s="1"/>
  <c r="AD21" i="3"/>
  <c r="F21" i="4" s="1"/>
  <c r="L21" i="4" s="1"/>
  <c r="P21" i="4" s="1"/>
  <c r="AD34" i="3"/>
  <c r="F34" i="4" s="1"/>
  <c r="L34" i="4" s="1"/>
  <c r="P34" i="4" s="1"/>
  <c r="AD39" i="3"/>
  <c r="F39" i="4" s="1"/>
  <c r="L39" i="4" s="1"/>
  <c r="P39" i="4" s="1"/>
  <c r="AD13" i="3"/>
  <c r="F13" i="4" s="1"/>
  <c r="L13" i="4" s="1"/>
  <c r="P13" i="4" s="1"/>
  <c r="AC15" i="3"/>
  <c r="E15" i="4" s="1"/>
  <c r="K15" i="4" s="1"/>
  <c r="O15" i="4" s="1"/>
  <c r="AC10" i="3"/>
  <c r="E10" i="4" s="1"/>
  <c r="K10" i="4" s="1"/>
  <c r="O10" i="4" s="1"/>
  <c r="AD17" i="3"/>
  <c r="F17" i="4" s="1"/>
  <c r="L17" i="4" s="1"/>
  <c r="P17" i="4" s="1"/>
  <c r="AD40" i="3"/>
  <c r="F40" i="4" s="1"/>
  <c r="L40" i="4" s="1"/>
  <c r="P40" i="4" s="1"/>
  <c r="AC12" i="3"/>
  <c r="E12" i="4" s="1"/>
  <c r="K12" i="4" s="1"/>
  <c r="O12" i="4" s="1"/>
  <c r="AC19" i="3"/>
  <c r="E19" i="4" s="1"/>
  <c r="K19" i="4" s="1"/>
  <c r="O19" i="4" s="1"/>
  <c r="AC20" i="3"/>
  <c r="E20" i="4" s="1"/>
  <c r="K20" i="4" s="1"/>
  <c r="O20" i="4" s="1"/>
  <c r="AC27" i="3"/>
  <c r="E27" i="4" s="1"/>
  <c r="K27" i="4" s="1"/>
  <c r="O27" i="4" s="1"/>
  <c r="AD29" i="3"/>
  <c r="F29" i="4" s="1"/>
  <c r="L29" i="4" s="1"/>
  <c r="P29" i="4" s="1"/>
  <c r="AC21" i="3"/>
  <c r="E21" i="4" s="1"/>
  <c r="K21" i="4" s="1"/>
  <c r="O21" i="4" s="1"/>
  <c r="AD31" i="3"/>
  <c r="F31" i="4" s="1"/>
  <c r="L31" i="4" s="1"/>
  <c r="P31" i="4" s="1"/>
  <c r="AC8" i="3"/>
  <c r="E8" i="4" s="1"/>
  <c r="K8" i="4" s="1"/>
  <c r="O8" i="4" s="1"/>
  <c r="AD23" i="3"/>
  <c r="F23" i="4" s="1"/>
  <c r="L23" i="4" s="1"/>
  <c r="P23" i="4" s="1"/>
  <c r="AD22" i="3"/>
  <c r="F22" i="4" s="1"/>
  <c r="L22" i="4" s="1"/>
  <c r="P22" i="4" s="1"/>
  <c r="AD11" i="3"/>
  <c r="F11" i="4" s="1"/>
  <c r="L11" i="4" s="1"/>
  <c r="P11" i="4" s="1"/>
  <c r="AD27" i="3"/>
  <c r="F27" i="4" s="1"/>
  <c r="L27" i="4" s="1"/>
  <c r="P27" i="4" s="1"/>
  <c r="AC22" i="3"/>
  <c r="E22" i="4" s="1"/>
  <c r="K22" i="4" s="1"/>
  <c r="O22" i="4" s="1"/>
  <c r="AD14" i="3"/>
  <c r="F14" i="4" s="1"/>
  <c r="L14" i="4" s="1"/>
  <c r="P14" i="4" s="1"/>
  <c r="AD36" i="3"/>
  <c r="F36" i="4" s="1"/>
  <c r="L36" i="4" s="1"/>
  <c r="P36" i="4" s="1"/>
  <c r="AD5" i="3"/>
  <c r="F5" i="4" s="1"/>
  <c r="L5" i="4" s="1"/>
  <c r="P5" i="4" s="1"/>
  <c r="AD12" i="3"/>
  <c r="F12" i="4" s="1"/>
  <c r="L12" i="4" s="1"/>
  <c r="P12" i="4" s="1"/>
  <c r="AC30" i="3"/>
  <c r="E30" i="4" s="1"/>
  <c r="K30" i="4" s="1"/>
  <c r="O30" i="4" s="1"/>
  <c r="AD9" i="3"/>
  <c r="F9" i="4" s="1"/>
  <c r="L9" i="4" s="1"/>
  <c r="P9" i="4" s="1"/>
  <c r="AD30" i="3"/>
  <c r="F30" i="4" s="1"/>
  <c r="L30" i="4" s="1"/>
  <c r="P30" i="4" s="1"/>
  <c r="AD28" i="3"/>
  <c r="F28" i="4" s="1"/>
  <c r="L28" i="4" s="1"/>
  <c r="P28" i="4" s="1"/>
  <c r="AC36" i="3"/>
  <c r="E36" i="4" s="1"/>
  <c r="K36" i="4" s="1"/>
  <c r="O36" i="4" s="1"/>
  <c r="AD15" i="3"/>
  <c r="F15" i="4" s="1"/>
  <c r="L15" i="4" s="1"/>
  <c r="P15" i="4" s="1"/>
  <c r="AC13" i="3"/>
  <c r="E13" i="4" s="1"/>
  <c r="K13" i="4" s="1"/>
  <c r="O13" i="4" s="1"/>
  <c r="AD20" i="3"/>
  <c r="F20" i="4" s="1"/>
  <c r="L20" i="4" s="1"/>
  <c r="P20" i="4" s="1"/>
  <c r="AC26" i="3"/>
  <c r="E26" i="4" s="1"/>
  <c r="K26" i="4" s="1"/>
  <c r="O26" i="4" s="1"/>
  <c r="AC23" i="3"/>
  <c r="E23" i="4" s="1"/>
  <c r="K23" i="4" s="1"/>
  <c r="O23" i="4" s="1"/>
  <c r="AC25" i="3"/>
  <c r="E25" i="4" s="1"/>
  <c r="K25" i="4" s="1"/>
  <c r="O25" i="4" s="1"/>
  <c r="AC40" i="3"/>
  <c r="E40" i="4" s="1"/>
  <c r="K40" i="4" s="1"/>
  <c r="O40" i="4" s="1"/>
  <c r="AC24" i="3"/>
  <c r="E24" i="4" s="1"/>
  <c r="K24" i="4" s="1"/>
  <c r="O24" i="4" s="1"/>
  <c r="AD8" i="3"/>
  <c r="F8" i="4" s="1"/>
  <c r="L8" i="4" s="1"/>
  <c r="P8" i="4" s="1"/>
  <c r="AC9" i="3"/>
  <c r="E9" i="4" s="1"/>
  <c r="K9" i="4" s="1"/>
  <c r="O9" i="4" s="1"/>
  <c r="AC38" i="3"/>
  <c r="E38" i="4" s="1"/>
  <c r="K38" i="4" s="1"/>
  <c r="O38" i="4" s="1"/>
  <c r="AD24" i="3"/>
  <c r="F24" i="4" s="1"/>
  <c r="L24" i="4" s="1"/>
  <c r="P24" i="4" s="1"/>
  <c r="AC29" i="3"/>
  <c r="E29" i="4" s="1"/>
  <c r="K29" i="4" s="1"/>
  <c r="O29" i="4" s="1"/>
  <c r="AC33" i="3"/>
  <c r="E33" i="4" s="1"/>
  <c r="K33" i="4" s="1"/>
  <c r="O33" i="4" s="1"/>
  <c r="AD6" i="3"/>
  <c r="F6" i="4" s="1"/>
  <c r="L6" i="4" s="1"/>
  <c r="P6" i="4" s="1"/>
  <c r="AD7" i="3"/>
  <c r="F7" i="4" s="1"/>
  <c r="L7" i="4" s="1"/>
  <c r="P7" i="4" s="1"/>
  <c r="AC31" i="3"/>
  <c r="E31" i="4" s="1"/>
  <c r="K31" i="4" s="1"/>
  <c r="O31" i="4" s="1"/>
  <c r="AD38" i="3"/>
  <c r="F38" i="4" s="1"/>
  <c r="L38" i="4" s="1"/>
  <c r="P38" i="4" s="1"/>
  <c r="AC7" i="3"/>
  <c r="E7" i="4" s="1"/>
  <c r="K7" i="4" s="1"/>
  <c r="O7" i="4" s="1"/>
  <c r="AD25" i="3"/>
  <c r="F25" i="4" s="1"/>
  <c r="L25" i="4" s="1"/>
  <c r="P25" i="4" s="1"/>
  <c r="AC28" i="3"/>
  <c r="E28" i="4" s="1"/>
  <c r="K28" i="4" s="1"/>
  <c r="O28" i="4" s="1"/>
  <c r="AD26" i="3"/>
  <c r="F26" i="4" s="1"/>
  <c r="L26" i="4" s="1"/>
  <c r="P26" i="4" s="1"/>
  <c r="AD35" i="3"/>
  <c r="F35" i="4" s="1"/>
  <c r="L35" i="4" s="1"/>
  <c r="P35" i="4" s="1"/>
  <c r="AC39" i="3"/>
  <c r="E39" i="4" s="1"/>
  <c r="K39" i="4" s="1"/>
  <c r="O39" i="4" s="1"/>
  <c r="AC5" i="3"/>
  <c r="E5" i="4" s="1"/>
  <c r="K5" i="4" s="1"/>
  <c r="O5" i="4" s="1"/>
  <c r="AC14" i="3"/>
  <c r="E14" i="4" s="1"/>
  <c r="K14" i="4" s="1"/>
  <c r="O14" i="4" s="1"/>
  <c r="AC35" i="3"/>
  <c r="E35" i="4" s="1"/>
  <c r="K35" i="4" s="1"/>
  <c r="O35" i="4" s="1"/>
  <c r="AD33" i="3"/>
  <c r="F33" i="4" s="1"/>
  <c r="L33" i="4" s="1"/>
  <c r="P33" i="4" s="1"/>
  <c r="AD16" i="3"/>
  <c r="F16" i="4" s="1"/>
  <c r="L16" i="4" s="1"/>
  <c r="P16" i="4" s="1"/>
  <c r="AC6" i="3"/>
  <c r="E6" i="4" s="1"/>
  <c r="K6" i="4" s="1"/>
  <c r="O6" i="4" s="1"/>
  <c r="AC16" i="3"/>
  <c r="E16" i="4" s="1"/>
  <c r="K16" i="4" s="1"/>
  <c r="O16" i="4" s="1"/>
  <c r="X18" i="2"/>
  <c r="F18" i="3"/>
  <c r="AD18" i="3" s="1"/>
  <c r="F18" i="4" s="1"/>
  <c r="L18" i="4" s="1"/>
  <c r="P18" i="4" s="1"/>
  <c r="AA18" i="2"/>
  <c r="E18" i="3"/>
  <c r="AC18" i="3" s="1"/>
  <c r="E18" i="4" s="1"/>
  <c r="K18" i="4" s="1"/>
  <c r="O18" i="4" s="1"/>
  <c r="W18" i="2"/>
  <c r="Z18" i="2"/>
  <c r="T43" i="10" a="1"/>
  <c r="T43" i="10" l="1"/>
  <c r="U43" i="10"/>
  <c r="R43" i="4" s="1"/>
  <c r="C31" i="1" s="1"/>
  <c r="V43" i="10"/>
  <c r="R44" i="4" s="1"/>
  <c r="C32" i="1" s="1"/>
  <c r="X43" i="10"/>
  <c r="R46" i="4" s="1"/>
  <c r="C34" i="1" s="1"/>
  <c r="W43" i="10"/>
  <c r="R45" i="4" s="1"/>
  <c r="C33" i="1" l="1"/>
  <c r="R42" i="4"/>
  <c r="W8" i="10"/>
  <c r="W13" i="10"/>
  <c r="W24" i="10"/>
  <c r="W16" i="10"/>
  <c r="W38" i="10"/>
  <c r="W22" i="10"/>
  <c r="W30" i="10"/>
  <c r="W25" i="10"/>
  <c r="W29" i="10"/>
  <c r="W12" i="10"/>
  <c r="W28" i="10"/>
  <c r="W32" i="10"/>
  <c r="W15" i="10"/>
  <c r="W10" i="10"/>
  <c r="W14" i="10"/>
  <c r="W18" i="10"/>
  <c r="W17" i="10"/>
  <c r="W9" i="10"/>
  <c r="W11" i="10"/>
  <c r="W20" i="10"/>
  <c r="W34" i="10"/>
  <c r="W40" i="10"/>
  <c r="W36" i="10"/>
  <c r="W21" i="10"/>
  <c r="W19" i="10"/>
  <c r="W5" i="10"/>
  <c r="W33" i="10"/>
  <c r="W23" i="10"/>
  <c r="W27" i="10"/>
  <c r="W39" i="10"/>
  <c r="W31" i="10"/>
  <c r="W6" i="10"/>
  <c r="W35" i="10"/>
  <c r="W37" i="10"/>
  <c r="W7" i="10"/>
  <c r="W26" i="10"/>
  <c r="Y23" i="10" l="1"/>
  <c r="X23" i="10"/>
  <c r="AD23" i="10" s="1"/>
  <c r="Y18" i="10"/>
  <c r="X18" i="10"/>
  <c r="AD18" i="10" s="1"/>
  <c r="Y25" i="10"/>
  <c r="X25" i="10"/>
  <c r="AD25" i="10" s="1"/>
  <c r="Y37" i="10"/>
  <c r="X37" i="10"/>
  <c r="AD37" i="10" s="1"/>
  <c r="Y35" i="10"/>
  <c r="X35" i="10"/>
  <c r="AD35" i="10" s="1"/>
  <c r="Y27" i="10"/>
  <c r="X27" i="10"/>
  <c r="AD27" i="10" s="1"/>
  <c r="Y19" i="10"/>
  <c r="X19" i="10"/>
  <c r="AD19" i="10" s="1"/>
  <c r="X34" i="10"/>
  <c r="AD34" i="10" s="1"/>
  <c r="Y34" i="10"/>
  <c r="X17" i="10"/>
  <c r="AD17" i="10" s="1"/>
  <c r="Y17" i="10"/>
  <c r="X15" i="10"/>
  <c r="AD15" i="10" s="1"/>
  <c r="Y15" i="10"/>
  <c r="Y29" i="10"/>
  <c r="X29" i="10"/>
  <c r="AD29" i="10" s="1"/>
  <c r="Y38" i="10"/>
  <c r="X38" i="10"/>
  <c r="AD38" i="10" s="1"/>
  <c r="X8" i="10"/>
  <c r="AD8" i="10" s="1"/>
  <c r="Y8" i="10"/>
  <c r="Y6" i="10"/>
  <c r="X6" i="10"/>
  <c r="AD6" i="10" s="1"/>
  <c r="X20" i="10"/>
  <c r="AD20" i="10" s="1"/>
  <c r="Y20" i="10"/>
  <c r="Y16" i="10"/>
  <c r="X16" i="10"/>
  <c r="AD16" i="10" s="1"/>
  <c r="Y7" i="10"/>
  <c r="X7" i="10"/>
  <c r="AD7" i="10" s="1"/>
  <c r="Y31" i="10"/>
  <c r="X31" i="10"/>
  <c r="AD31" i="10" s="1"/>
  <c r="Y33" i="10"/>
  <c r="X33" i="10"/>
  <c r="AD33" i="10" s="1"/>
  <c r="X36" i="10"/>
  <c r="AD36" i="10" s="1"/>
  <c r="Y36" i="10"/>
  <c r="Y11" i="10"/>
  <c r="X11" i="10"/>
  <c r="AD11" i="10" s="1"/>
  <c r="X14" i="10"/>
  <c r="AD14" i="10" s="1"/>
  <c r="Y14" i="10"/>
  <c r="Y28" i="10"/>
  <c r="X28" i="10"/>
  <c r="AD28" i="10" s="1"/>
  <c r="X30" i="10"/>
  <c r="AD30" i="10" s="1"/>
  <c r="Y30" i="10"/>
  <c r="X24" i="10"/>
  <c r="AD24" i="10" s="1"/>
  <c r="Y24" i="10"/>
  <c r="Y26" i="10"/>
  <c r="X26" i="10"/>
  <c r="AD26" i="10" s="1"/>
  <c r="Y21" i="10"/>
  <c r="X21" i="10"/>
  <c r="AD21" i="10" s="1"/>
  <c r="Y32" i="10"/>
  <c r="X32" i="10"/>
  <c r="AD32" i="10" s="1"/>
  <c r="C30" i="1"/>
  <c r="R6" i="4"/>
  <c r="V6" i="4" s="1"/>
  <c r="R21" i="4"/>
  <c r="V21" i="4" s="1"/>
  <c r="T34" i="4"/>
  <c r="X34" i="4" s="1"/>
  <c r="R14" i="4"/>
  <c r="V14" i="4" s="1"/>
  <c r="S32" i="4"/>
  <c r="W32" i="4" s="1"/>
  <c r="S25" i="4"/>
  <c r="W25" i="4" s="1"/>
  <c r="T16" i="4"/>
  <c r="X16" i="4" s="1"/>
  <c r="R11" i="4"/>
  <c r="V11" i="4" s="1"/>
  <c r="T38" i="4"/>
  <c r="X38" i="4" s="1"/>
  <c r="S14" i="4"/>
  <c r="W14" i="4" s="1"/>
  <c r="S19" i="4"/>
  <c r="W19" i="4" s="1"/>
  <c r="T25" i="4"/>
  <c r="X25" i="4" s="1"/>
  <c r="R33" i="4"/>
  <c r="V33" i="4" s="1"/>
  <c r="T30" i="4"/>
  <c r="X30" i="4" s="1"/>
  <c r="R27" i="4"/>
  <c r="V27" i="4" s="1"/>
  <c r="S8" i="4"/>
  <c r="W8" i="4" s="1"/>
  <c r="T5" i="4"/>
  <c r="X5" i="4" s="1"/>
  <c r="R20" i="4"/>
  <c r="V20" i="4" s="1"/>
  <c r="T12" i="4"/>
  <c r="X12" i="4" s="1"/>
  <c r="S30" i="4"/>
  <c r="W30" i="4" s="1"/>
  <c r="R10" i="4"/>
  <c r="V10" i="4" s="1"/>
  <c r="T33" i="4"/>
  <c r="X33" i="4" s="1"/>
  <c r="T31" i="4"/>
  <c r="X31" i="4" s="1"/>
  <c r="S5" i="4"/>
  <c r="W5" i="4" s="1"/>
  <c r="R36" i="4"/>
  <c r="V36" i="4" s="1"/>
  <c r="T22" i="4"/>
  <c r="X22" i="4" s="1"/>
  <c r="S16" i="4"/>
  <c r="W16" i="4" s="1"/>
  <c r="T7" i="4"/>
  <c r="X7" i="4" s="1"/>
  <c r="S28" i="4"/>
  <c r="W28" i="4" s="1"/>
  <c r="S36" i="4"/>
  <c r="W36" i="4" s="1"/>
  <c r="R9" i="4"/>
  <c r="V9" i="4" s="1"/>
  <c r="T37" i="4"/>
  <c r="X37" i="4" s="1"/>
  <c r="T8" i="4"/>
  <c r="X8" i="4" s="1"/>
  <c r="R39" i="4"/>
  <c r="V39" i="4" s="1"/>
  <c r="R17" i="4"/>
  <c r="V17" i="4" s="1"/>
  <c r="T29" i="4"/>
  <c r="X29" i="4" s="1"/>
  <c r="S10" i="4"/>
  <c r="W10" i="4" s="1"/>
  <c r="T17" i="4"/>
  <c r="X17" i="4" s="1"/>
  <c r="S33" i="4"/>
  <c r="W33" i="4" s="1"/>
  <c r="R29" i="4"/>
  <c r="V29" i="4" s="1"/>
  <c r="S34" i="4"/>
  <c r="W34" i="4" s="1"/>
  <c r="R16" i="4"/>
  <c r="V16" i="4" s="1"/>
  <c r="S39" i="4"/>
  <c r="W39" i="4" s="1"/>
  <c r="S40" i="4"/>
  <c r="W40" i="4" s="1"/>
  <c r="S12" i="4"/>
  <c r="W12" i="4" s="1"/>
  <c r="R18" i="4"/>
  <c r="V18" i="4" s="1"/>
  <c r="T39" i="4"/>
  <c r="X39" i="4" s="1"/>
  <c r="R32" i="4"/>
  <c r="V32" i="4" s="1"/>
  <c r="R13" i="4"/>
  <c r="V13" i="4" s="1"/>
  <c r="S22" i="4"/>
  <c r="W22" i="4" s="1"/>
  <c r="S13" i="4"/>
  <c r="W13" i="4" s="1"/>
  <c r="T23" i="4"/>
  <c r="X23" i="4" s="1"/>
  <c r="R12" i="4"/>
  <c r="V12" i="4" s="1"/>
  <c r="S38" i="4"/>
  <c r="W38" i="4" s="1"/>
  <c r="R15" i="4"/>
  <c r="V15" i="4" s="1"/>
  <c r="S20" i="4"/>
  <c r="W20" i="4" s="1"/>
  <c r="T14" i="4"/>
  <c r="X14" i="4" s="1"/>
  <c r="T36" i="4"/>
  <c r="X36" i="4" s="1"/>
  <c r="R7" i="4"/>
  <c r="V7" i="4" s="1"/>
  <c r="T28" i="4"/>
  <c r="X28" i="4" s="1"/>
  <c r="S21" i="4"/>
  <c r="W21" i="4" s="1"/>
  <c r="T20" i="4"/>
  <c r="X20" i="4" s="1"/>
  <c r="R19" i="4"/>
  <c r="V19" i="4" s="1"/>
  <c r="T10" i="4"/>
  <c r="X10" i="4" s="1"/>
  <c r="R35" i="4"/>
  <c r="V35" i="4" s="1"/>
  <c r="S7" i="4"/>
  <c r="W7" i="4" s="1"/>
  <c r="S31" i="4"/>
  <c r="W31" i="4" s="1"/>
  <c r="S23" i="4"/>
  <c r="W23" i="4" s="1"/>
  <c r="R24" i="4"/>
  <c r="V24" i="4" s="1"/>
  <c r="S26" i="4"/>
  <c r="W26" i="4" s="1"/>
  <c r="R37" i="4"/>
  <c r="V37" i="4" s="1"/>
  <c r="R38" i="4"/>
  <c r="V38" i="4" s="1"/>
  <c r="T13" i="4"/>
  <c r="X13" i="4" s="1"/>
  <c r="T40" i="4"/>
  <c r="X40" i="4" s="1"/>
  <c r="R22" i="4"/>
  <c r="V22" i="4" s="1"/>
  <c r="T15" i="4"/>
  <c r="X15" i="4" s="1"/>
  <c r="S35" i="4"/>
  <c r="W35" i="4" s="1"/>
  <c r="S27" i="4"/>
  <c r="W27" i="4" s="1"/>
  <c r="S37" i="4"/>
  <c r="W37" i="4" s="1"/>
  <c r="S29" i="4"/>
  <c r="W29" i="4" s="1"/>
  <c r="S11" i="4"/>
  <c r="W11" i="4" s="1"/>
  <c r="T9" i="4"/>
  <c r="X9" i="4" s="1"/>
  <c r="T18" i="4"/>
  <c r="X18" i="4" s="1"/>
  <c r="R30" i="4"/>
  <c r="V30" i="4" s="1"/>
  <c r="T11" i="4"/>
  <c r="X11" i="4" s="1"/>
  <c r="T19" i="4"/>
  <c r="X19" i="4" s="1"/>
  <c r="T21" i="4"/>
  <c r="X21" i="4" s="1"/>
  <c r="S6" i="4"/>
  <c r="W6" i="4" s="1"/>
  <c r="S24" i="4"/>
  <c r="W24" i="4" s="1"/>
  <c r="R26" i="4"/>
  <c r="V26" i="4" s="1"/>
  <c r="R31" i="4"/>
  <c r="V31" i="4" s="1"/>
  <c r="R23" i="4"/>
  <c r="V23" i="4" s="1"/>
  <c r="T27" i="4"/>
  <c r="X27" i="4" s="1"/>
  <c r="S9" i="4"/>
  <c r="W9" i="4" s="1"/>
  <c r="R5" i="4"/>
  <c r="V5" i="4" s="1"/>
  <c r="T26" i="4"/>
  <c r="X26" i="4" s="1"/>
  <c r="R25" i="4"/>
  <c r="V25" i="4" s="1"/>
  <c r="R40" i="4"/>
  <c r="V40" i="4" s="1"/>
  <c r="T32" i="4"/>
  <c r="X32" i="4" s="1"/>
  <c r="S17" i="4"/>
  <c r="W17" i="4" s="1"/>
  <c r="S18" i="4"/>
  <c r="W18" i="4" s="1"/>
  <c r="S15" i="4"/>
  <c r="W15" i="4" s="1"/>
  <c r="R28" i="4"/>
  <c r="V28" i="4" s="1"/>
  <c r="T24" i="4"/>
  <c r="X24" i="4" s="1"/>
  <c r="T35" i="4"/>
  <c r="X35" i="4" s="1"/>
  <c r="R8" i="4"/>
  <c r="V8" i="4" s="1"/>
  <c r="T6" i="4"/>
  <c r="X6" i="4" s="1"/>
  <c r="Y39" i="10"/>
  <c r="X39" i="10"/>
  <c r="AD39" i="10" s="1"/>
  <c r="Y5" i="10"/>
  <c r="X5" i="10"/>
  <c r="AD5" i="10" s="1"/>
  <c r="Y40" i="10"/>
  <c r="X40" i="10"/>
  <c r="AD40" i="10" s="1"/>
  <c r="X9" i="10"/>
  <c r="AD9" i="10" s="1"/>
  <c r="Y9" i="10"/>
  <c r="Y10" i="10"/>
  <c r="X10" i="10"/>
  <c r="AD10" i="10" s="1"/>
  <c r="X12" i="10"/>
  <c r="AD12" i="10" s="1"/>
  <c r="Y12" i="10"/>
  <c r="Y22" i="10"/>
  <c r="X22" i="10"/>
  <c r="AD22" i="10" s="1"/>
  <c r="X13" i="10"/>
  <c r="AD13" i="10" s="1"/>
  <c r="Y13" i="10"/>
  <c r="R34" i="4"/>
  <c r="V34" i="4" s="1"/>
  <c r="AD43" i="10" a="1"/>
  <c r="AF43" i="10" l="1"/>
  <c r="Z45" i="4" s="1"/>
  <c r="E32" i="1" s="1"/>
  <c r="AE43" i="10"/>
  <c r="Z44" i="4" s="1"/>
  <c r="E31" i="1" s="1"/>
  <c r="AG43" i="10"/>
  <c r="Z46" i="4" s="1"/>
  <c r="E33" i="1" s="1"/>
  <c r="AD43" i="10"/>
  <c r="Z43" i="4" s="1"/>
  <c r="AG37" i="10" l="1"/>
  <c r="AI37" i="10" s="1"/>
  <c r="AG20" i="10"/>
  <c r="AI20" i="10" s="1"/>
  <c r="AG9" i="10"/>
  <c r="AI9" i="10" s="1"/>
  <c r="AG34" i="10"/>
  <c r="AI34" i="10" s="1"/>
  <c r="AG18" i="10"/>
  <c r="AI18" i="10" s="1"/>
  <c r="AG31" i="10"/>
  <c r="AI31" i="10" s="1"/>
  <c r="AG15" i="10"/>
  <c r="AI15" i="10" s="1"/>
  <c r="AG19" i="10"/>
  <c r="AI19" i="10" s="1"/>
  <c r="AG32" i="10"/>
  <c r="AI32" i="10" s="1"/>
  <c r="AG12" i="10"/>
  <c r="AI12" i="10" s="1"/>
  <c r="AG29" i="10"/>
  <c r="AI29" i="10" s="1"/>
  <c r="AG28" i="10"/>
  <c r="AI28" i="10" s="1"/>
  <c r="AG24" i="10"/>
  <c r="AI24" i="10" s="1"/>
  <c r="AG14" i="10"/>
  <c r="AI14" i="10" s="1"/>
  <c r="AG21" i="10"/>
  <c r="AI21" i="10" s="1"/>
  <c r="AG25" i="10"/>
  <c r="AI25" i="10" s="1"/>
  <c r="AG38" i="10"/>
  <c r="AI38" i="10" s="1"/>
  <c r="AG22" i="10"/>
  <c r="AI22" i="10" s="1"/>
  <c r="AG5" i="10"/>
  <c r="AI5" i="10" s="1"/>
  <c r="AG17" i="10"/>
  <c r="AI17" i="10" s="1"/>
  <c r="AG36" i="10"/>
  <c r="AI36" i="10" s="1"/>
  <c r="AG6" i="10"/>
  <c r="AI6" i="10" s="1"/>
  <c r="AG8" i="10"/>
  <c r="AI8" i="10" s="1"/>
  <c r="AG40" i="10"/>
  <c r="AI40" i="10" s="1"/>
  <c r="AG11" i="10"/>
  <c r="AI11" i="10" s="1"/>
  <c r="AG33" i="10"/>
  <c r="AI33" i="10" s="1"/>
  <c r="AG13" i="10"/>
  <c r="AI13" i="10" s="1"/>
  <c r="AG30" i="10"/>
  <c r="AI30" i="10" s="1"/>
  <c r="AG35" i="10"/>
  <c r="AI35" i="10" s="1"/>
  <c r="AG23" i="10"/>
  <c r="AI23" i="10" s="1"/>
  <c r="AG39" i="10"/>
  <c r="AI39" i="10" s="1"/>
  <c r="AG27" i="10"/>
  <c r="AI27" i="10" s="1"/>
  <c r="AG26" i="10"/>
  <c r="AI26" i="10" s="1"/>
  <c r="AG7" i="10"/>
  <c r="AI7" i="10" s="1"/>
  <c r="AG16" i="10"/>
  <c r="AI16" i="10" s="1"/>
  <c r="AG10" i="10"/>
  <c r="AI10" i="10" s="1"/>
  <c r="Z18" i="4"/>
  <c r="AD18" i="4" s="1"/>
  <c r="AB23" i="4"/>
  <c r="AF23" i="4" s="1"/>
  <c r="AA12" i="4"/>
  <c r="AE12" i="4" s="1"/>
  <c r="Z7" i="4"/>
  <c r="AD7" i="4" s="1"/>
  <c r="Z15" i="4"/>
  <c r="AD15" i="4" s="1"/>
  <c r="Z34" i="4"/>
  <c r="AD34" i="4" s="1"/>
  <c r="AA29" i="4"/>
  <c r="AE29" i="4" s="1"/>
  <c r="AB29" i="4"/>
  <c r="AF29" i="4" s="1"/>
  <c r="Z33" i="4"/>
  <c r="AD33" i="4" s="1"/>
  <c r="AA31" i="4"/>
  <c r="AE31" i="4" s="1"/>
  <c r="AB22" i="4"/>
  <c r="AF22" i="4" s="1"/>
  <c r="Z40" i="4"/>
  <c r="AD40" i="4" s="1"/>
  <c r="AB13" i="4"/>
  <c r="AF13" i="4" s="1"/>
  <c r="AB12" i="4"/>
  <c r="AF12" i="4" s="1"/>
  <c r="AB18" i="4"/>
  <c r="AF18" i="4" s="1"/>
  <c r="Z19" i="4"/>
  <c r="AD19" i="4" s="1"/>
  <c r="AA15" i="4"/>
  <c r="AE15" i="4" s="1"/>
  <c r="AA37" i="4"/>
  <c r="AE37" i="4" s="1"/>
  <c r="Z11" i="4"/>
  <c r="AD11" i="4" s="1"/>
  <c r="AB8" i="4"/>
  <c r="AF8" i="4" s="1"/>
  <c r="AB39" i="4"/>
  <c r="AF39" i="4" s="1"/>
  <c r="AB32" i="4"/>
  <c r="AF32" i="4" s="1"/>
  <c r="Z10" i="4"/>
  <c r="AD10" i="4" s="1"/>
  <c r="Z36" i="4"/>
  <c r="AD36" i="4" s="1"/>
  <c r="AB17" i="4"/>
  <c r="AF17" i="4" s="1"/>
  <c r="Z25" i="4"/>
  <c r="AD25" i="4" s="1"/>
  <c r="AA39" i="4"/>
  <c r="AE39" i="4" s="1"/>
  <c r="AA20" i="4"/>
  <c r="AE20" i="4" s="1"/>
  <c r="AB20" i="4"/>
  <c r="AF20" i="4" s="1"/>
  <c r="AB6" i="4"/>
  <c r="AF6" i="4" s="1"/>
  <c r="AA9" i="4"/>
  <c r="AE9" i="4" s="1"/>
  <c r="AB37" i="4"/>
  <c r="AF37" i="4" s="1"/>
  <c r="AA18" i="4"/>
  <c r="AE18" i="4" s="1"/>
  <c r="Z37" i="4"/>
  <c r="AD37" i="4" s="1"/>
  <c r="Z12" i="4"/>
  <c r="AD12" i="4" s="1"/>
  <c r="AB16" i="4"/>
  <c r="AF16" i="4" s="1"/>
  <c r="AB14" i="4"/>
  <c r="AF14" i="4" s="1"/>
  <c r="AA10" i="4"/>
  <c r="AE10" i="4" s="1"/>
  <c r="AA7" i="4"/>
  <c r="AE7" i="4" s="1"/>
  <c r="AA11" i="4"/>
  <c r="AE11" i="4" s="1"/>
  <c r="AB9" i="4"/>
  <c r="AF9" i="4" s="1"/>
  <c r="AA36" i="4"/>
  <c r="AE36" i="4" s="1"/>
  <c r="AA34" i="4"/>
  <c r="AE34" i="4" s="1"/>
  <c r="AB34" i="4"/>
  <c r="AF34" i="4" s="1"/>
  <c r="Z16" i="4"/>
  <c r="AD16" i="4" s="1"/>
  <c r="AB40" i="4"/>
  <c r="AF40" i="4" s="1"/>
  <c r="AB15" i="4"/>
  <c r="AF15" i="4" s="1"/>
  <c r="AA28" i="4"/>
  <c r="AE28" i="4" s="1"/>
  <c r="AB5" i="4"/>
  <c r="AF5" i="4" s="1"/>
  <c r="Z28" i="4"/>
  <c r="AD28" i="4" s="1"/>
  <c r="AB7" i="4"/>
  <c r="AF7" i="4" s="1"/>
  <c r="Z13" i="4"/>
  <c r="AD13" i="4" s="1"/>
  <c r="AB38" i="4"/>
  <c r="AF38" i="4" s="1"/>
  <c r="Z17" i="4"/>
  <c r="AD17" i="4" s="1"/>
  <c r="AB28" i="4"/>
  <c r="AF28" i="4" s="1"/>
  <c r="AB31" i="4"/>
  <c r="AF31" i="4" s="1"/>
  <c r="AB30" i="4"/>
  <c r="AF30" i="4" s="1"/>
  <c r="Z39" i="4"/>
  <c r="AD39" i="4" s="1"/>
  <c r="Z5" i="4"/>
  <c r="AD5" i="4" s="1"/>
  <c r="Z9" i="4"/>
  <c r="AD9" i="4" s="1"/>
  <c r="AA23" i="4"/>
  <c r="AE23" i="4" s="1"/>
  <c r="Z29" i="4"/>
  <c r="AD29" i="4" s="1"/>
  <c r="Z23" i="4"/>
  <c r="AD23" i="4" s="1"/>
  <c r="AB26" i="4"/>
  <c r="AF26" i="4" s="1"/>
  <c r="AB35" i="4"/>
  <c r="AF35" i="4" s="1"/>
  <c r="Z6" i="4"/>
  <c r="AD6" i="4" s="1"/>
  <c r="AA21" i="4"/>
  <c r="AE21" i="4" s="1"/>
  <c r="AA35" i="4"/>
  <c r="AE35" i="4" s="1"/>
  <c r="AB33" i="4"/>
  <c r="AF33" i="4" s="1"/>
  <c r="Z8" i="4"/>
  <c r="AD8" i="4" s="1"/>
  <c r="AA32" i="4"/>
  <c r="AE32" i="4" s="1"/>
  <c r="AA17" i="4"/>
  <c r="AE17" i="4" s="1"/>
  <c r="AB27" i="4"/>
  <c r="AF27" i="4" s="1"/>
  <c r="AB36" i="4"/>
  <c r="AF36" i="4" s="1"/>
  <c r="AA14" i="4"/>
  <c r="AE14" i="4" s="1"/>
  <c r="AA30" i="4"/>
  <c r="AE30" i="4" s="1"/>
  <c r="Z24" i="4"/>
  <c r="AD24" i="4" s="1"/>
  <c r="Z26" i="4"/>
  <c r="AD26" i="4" s="1"/>
  <c r="Z32" i="4"/>
  <c r="AD32" i="4" s="1"/>
  <c r="Z22" i="4"/>
  <c r="AD22" i="4" s="1"/>
  <c r="Z30" i="4"/>
  <c r="AD30" i="4" s="1"/>
  <c r="Z27" i="4"/>
  <c r="AD27" i="4" s="1"/>
  <c r="Z31" i="4"/>
  <c r="AD31" i="4" s="1"/>
  <c r="Z35" i="4"/>
  <c r="AD35" i="4" s="1"/>
  <c r="AA22" i="4"/>
  <c r="AE22" i="4" s="1"/>
  <c r="AA27" i="4"/>
  <c r="AE27" i="4" s="1"/>
  <c r="AB24" i="4"/>
  <c r="AF24" i="4" s="1"/>
  <c r="AA16" i="4"/>
  <c r="AE16" i="4" s="1"/>
  <c r="AA5" i="4"/>
  <c r="AE5" i="4" s="1"/>
  <c r="AA24" i="4"/>
  <c r="AE24" i="4" s="1"/>
  <c r="AA40" i="4"/>
  <c r="AE40" i="4" s="1"/>
  <c r="AA26" i="4"/>
  <c r="AE26" i="4" s="1"/>
  <c r="Z38" i="4"/>
  <c r="AD38" i="4" s="1"/>
  <c r="AB21" i="4"/>
  <c r="AF21" i="4" s="1"/>
  <c r="AA33" i="4"/>
  <c r="AE33" i="4" s="1"/>
  <c r="AA38" i="4"/>
  <c r="AE38" i="4" s="1"/>
  <c r="E30" i="1"/>
  <c r="AB10" i="4"/>
  <c r="AF10" i="4" s="1"/>
  <c r="AB11" i="4"/>
  <c r="AF11" i="4" s="1"/>
  <c r="Z20" i="4"/>
  <c r="AD20" i="4" s="1"/>
  <c r="AB19" i="4"/>
  <c r="AF19" i="4" s="1"/>
  <c r="AA8" i="4"/>
  <c r="AE8" i="4" s="1"/>
  <c r="AA6" i="4"/>
  <c r="AE6" i="4" s="1"/>
  <c r="Z21" i="4"/>
  <c r="AD21" i="4" s="1"/>
  <c r="AA25" i="4"/>
  <c r="AE25" i="4" s="1"/>
  <c r="AA13" i="4"/>
  <c r="AE13" i="4" s="1"/>
  <c r="Z14" i="4"/>
  <c r="AD14" i="4" s="1"/>
  <c r="AA19" i="4"/>
  <c r="AE19" i="4" s="1"/>
  <c r="AB25" i="4"/>
  <c r="AF25" i="4" s="1"/>
  <c r="AN21" i="4" l="1"/>
  <c r="AR21" i="4" s="1"/>
  <c r="AH21" i="4"/>
  <c r="AH20" i="4"/>
  <c r="AN20" i="4"/>
  <c r="AR20" i="4" s="1"/>
  <c r="AO26" i="4"/>
  <c r="AS26" i="4" s="1"/>
  <c r="AI26" i="4"/>
  <c r="AH22" i="4"/>
  <c r="AN22" i="4"/>
  <c r="AR22" i="4" s="1"/>
  <c r="AO17" i="4"/>
  <c r="AS17" i="4" s="1"/>
  <c r="AI17" i="4"/>
  <c r="AJ26" i="4"/>
  <c r="AP26" i="4"/>
  <c r="AT26" i="4" s="1"/>
  <c r="AP31" i="4"/>
  <c r="AT31" i="4" s="1"/>
  <c r="AJ31" i="4"/>
  <c r="AO28" i="4"/>
  <c r="AS28" i="4" s="1"/>
  <c r="AI28" i="4"/>
  <c r="AO11" i="4"/>
  <c r="AS11" i="4" s="1"/>
  <c r="AI11" i="4"/>
  <c r="AP37" i="4"/>
  <c r="AT37" i="4" s="1"/>
  <c r="AJ37" i="4"/>
  <c r="AO20" i="4"/>
  <c r="AS20" i="4" s="1"/>
  <c r="AI20" i="4"/>
  <c r="AJ8" i="4"/>
  <c r="AP8" i="4"/>
  <c r="AT8" i="4" s="1"/>
  <c r="AN40" i="4"/>
  <c r="AR40" i="4" s="1"/>
  <c r="AH40" i="4"/>
  <c r="AN7" i="4"/>
  <c r="AR7" i="4" s="1"/>
  <c r="AH7" i="4"/>
  <c r="AO6" i="4"/>
  <c r="AS6" i="4" s="1"/>
  <c r="AI6" i="4"/>
  <c r="AI33" i="4"/>
  <c r="AO33" i="4"/>
  <c r="AS33" i="4" s="1"/>
  <c r="AP24" i="4"/>
  <c r="AT24" i="4" s="1"/>
  <c r="AJ24" i="4"/>
  <c r="AH32" i="4"/>
  <c r="AN32" i="4"/>
  <c r="AR32" i="4" s="1"/>
  <c r="AO32" i="4"/>
  <c r="AS32" i="4" s="1"/>
  <c r="AI32" i="4"/>
  <c r="AN23" i="4"/>
  <c r="AR23" i="4" s="1"/>
  <c r="AH23" i="4"/>
  <c r="AP28" i="4"/>
  <c r="AT28" i="4" s="1"/>
  <c r="AJ28" i="4"/>
  <c r="AP15" i="4"/>
  <c r="AT15" i="4" s="1"/>
  <c r="AJ15" i="4"/>
  <c r="AI34" i="4"/>
  <c r="AO34" i="4"/>
  <c r="AS34" i="4" s="1"/>
  <c r="AI7" i="4"/>
  <c r="AO7" i="4"/>
  <c r="AS7" i="4" s="1"/>
  <c r="AN12" i="4"/>
  <c r="AR12" i="4" s="1"/>
  <c r="AH12" i="4"/>
  <c r="AI9" i="4"/>
  <c r="AO9" i="4"/>
  <c r="AS9" i="4" s="1"/>
  <c r="AO39" i="4"/>
  <c r="AS39" i="4" s="1"/>
  <c r="AI39" i="4"/>
  <c r="AN10" i="4"/>
  <c r="AR10" i="4" s="1"/>
  <c r="AH10" i="4"/>
  <c r="AN11" i="4"/>
  <c r="AR11" i="4" s="1"/>
  <c r="AH11" i="4"/>
  <c r="AP18" i="4"/>
  <c r="AT18" i="4" s="1"/>
  <c r="AJ18" i="4"/>
  <c r="AP22" i="4"/>
  <c r="AT22" i="4" s="1"/>
  <c r="AJ22" i="4"/>
  <c r="AO29" i="4"/>
  <c r="AS29" i="4" s="1"/>
  <c r="AI29" i="4"/>
  <c r="AO12" i="4"/>
  <c r="AS12" i="4" s="1"/>
  <c r="AI12" i="4"/>
  <c r="AO13" i="4"/>
  <c r="AS13" i="4" s="1"/>
  <c r="AI13" i="4"/>
  <c r="AO8" i="4"/>
  <c r="AS8" i="4" s="1"/>
  <c r="AI8" i="4"/>
  <c r="AP10" i="4"/>
  <c r="AT10" i="4" s="1"/>
  <c r="AJ10" i="4"/>
  <c r="AJ21" i="4"/>
  <c r="AP21" i="4"/>
  <c r="AT21" i="4" s="1"/>
  <c r="AO24" i="4"/>
  <c r="AS24" i="4" s="1"/>
  <c r="AI24" i="4"/>
  <c r="AI27" i="4"/>
  <c r="AO27" i="4"/>
  <c r="AS27" i="4" s="1"/>
  <c r="AN27" i="4"/>
  <c r="AR27" i="4" s="1"/>
  <c r="AH27" i="4"/>
  <c r="AH26" i="4"/>
  <c r="AN26" i="4"/>
  <c r="AR26" i="4" s="1"/>
  <c r="AJ36" i="4"/>
  <c r="AP36" i="4"/>
  <c r="AT36" i="4" s="1"/>
  <c r="AH8" i="4"/>
  <c r="AN8" i="4"/>
  <c r="AR8" i="4" s="1"/>
  <c r="AN6" i="4"/>
  <c r="AR6" i="4" s="1"/>
  <c r="AH6" i="4"/>
  <c r="AN29" i="4"/>
  <c r="AR29" i="4" s="1"/>
  <c r="AH29" i="4"/>
  <c r="AN39" i="4"/>
  <c r="AR39" i="4" s="1"/>
  <c r="AH39" i="4"/>
  <c r="AH17" i="4"/>
  <c r="AN17" i="4"/>
  <c r="AR17" i="4" s="1"/>
  <c r="AH28" i="4"/>
  <c r="AN28" i="4"/>
  <c r="AR28" i="4" s="1"/>
  <c r="AJ40" i="4"/>
  <c r="AP40" i="4"/>
  <c r="AT40" i="4" s="1"/>
  <c r="AO36" i="4"/>
  <c r="AS36" i="4" s="1"/>
  <c r="AI36" i="4"/>
  <c r="AO10" i="4"/>
  <c r="AS10" i="4" s="1"/>
  <c r="AI10" i="4"/>
  <c r="AH37" i="4"/>
  <c r="AN37" i="4"/>
  <c r="AR37" i="4" s="1"/>
  <c r="AJ6" i="4"/>
  <c r="AP6" i="4"/>
  <c r="AT6" i="4" s="1"/>
  <c r="AH25" i="4"/>
  <c r="AN25" i="4"/>
  <c r="AR25" i="4" s="1"/>
  <c r="AJ32" i="4"/>
  <c r="AP32" i="4"/>
  <c r="AT32" i="4" s="1"/>
  <c r="AO37" i="4"/>
  <c r="AS37" i="4" s="1"/>
  <c r="AI37" i="4"/>
  <c r="AP12" i="4"/>
  <c r="AT12" i="4" s="1"/>
  <c r="AJ12" i="4"/>
  <c r="AI31" i="4"/>
  <c r="AO31" i="4"/>
  <c r="AS31" i="4" s="1"/>
  <c r="AH34" i="4"/>
  <c r="AN34" i="4"/>
  <c r="AR34" i="4" s="1"/>
  <c r="AJ23" i="4"/>
  <c r="AP23" i="4"/>
  <c r="AT23" i="4" s="1"/>
  <c r="AO19" i="4"/>
  <c r="AS19" i="4" s="1"/>
  <c r="AI19" i="4"/>
  <c r="AO38" i="4"/>
  <c r="AS38" i="4" s="1"/>
  <c r="AI38" i="4"/>
  <c r="AO16" i="4"/>
  <c r="AS16" i="4" s="1"/>
  <c r="AI16" i="4"/>
  <c r="AN35" i="4"/>
  <c r="AR35" i="4" s="1"/>
  <c r="AH35" i="4"/>
  <c r="AO30" i="4"/>
  <c r="AS30" i="4" s="1"/>
  <c r="AI30" i="4"/>
  <c r="AO35" i="4"/>
  <c r="AS35" i="4" s="1"/>
  <c r="AI35" i="4"/>
  <c r="AN9" i="4"/>
  <c r="AR9" i="4" s="1"/>
  <c r="AH9" i="4"/>
  <c r="AN13" i="4"/>
  <c r="AR13" i="4" s="1"/>
  <c r="AH13" i="4"/>
  <c r="AP34" i="4"/>
  <c r="AT34" i="4" s="1"/>
  <c r="AJ34" i="4"/>
  <c r="AP16" i="4"/>
  <c r="AT16" i="4" s="1"/>
  <c r="AJ16" i="4"/>
  <c r="AN36" i="4"/>
  <c r="AR36" i="4" s="1"/>
  <c r="AH36" i="4"/>
  <c r="AH19" i="4"/>
  <c r="AN19" i="4"/>
  <c r="AR19" i="4" s="1"/>
  <c r="AP29" i="4"/>
  <c r="AT29" i="4" s="1"/>
  <c r="AJ29" i="4"/>
  <c r="AN14" i="4"/>
  <c r="AR14" i="4" s="1"/>
  <c r="AH14" i="4"/>
  <c r="AJ11" i="4"/>
  <c r="AP11" i="4"/>
  <c r="AT11" i="4" s="1"/>
  <c r="AO40" i="4"/>
  <c r="AS40" i="4" s="1"/>
  <c r="AI40" i="4"/>
  <c r="AN31" i="4"/>
  <c r="AR31" i="4" s="1"/>
  <c r="AH31" i="4"/>
  <c r="AO14" i="4"/>
  <c r="AS14" i="4" s="1"/>
  <c r="AI14" i="4"/>
  <c r="AO21" i="4"/>
  <c r="AS21" i="4" s="1"/>
  <c r="AI21" i="4"/>
  <c r="AN5" i="4"/>
  <c r="AR5" i="4" s="1"/>
  <c r="AH5" i="4"/>
  <c r="AJ7" i="4"/>
  <c r="AP7" i="4"/>
  <c r="AT7" i="4" s="1"/>
  <c r="AP25" i="4"/>
  <c r="AT25" i="4" s="1"/>
  <c r="AJ25" i="4"/>
  <c r="AO25" i="4"/>
  <c r="AS25" i="4" s="1"/>
  <c r="AI25" i="4"/>
  <c r="AP19" i="4"/>
  <c r="AT19" i="4" s="1"/>
  <c r="AJ19" i="4"/>
  <c r="AN38" i="4"/>
  <c r="AR38" i="4" s="1"/>
  <c r="AH38" i="4"/>
  <c r="AO5" i="4"/>
  <c r="AS5" i="4" s="1"/>
  <c r="AI5" i="4"/>
  <c r="AO22" i="4"/>
  <c r="AS22" i="4" s="1"/>
  <c r="AI22" i="4"/>
  <c r="AN30" i="4"/>
  <c r="AR30" i="4" s="1"/>
  <c r="AH30" i="4"/>
  <c r="AN24" i="4"/>
  <c r="AR24" i="4" s="1"/>
  <c r="AH24" i="4"/>
  <c r="AJ27" i="4"/>
  <c r="AP27" i="4"/>
  <c r="AT27" i="4" s="1"/>
  <c r="AP33" i="4"/>
  <c r="AT33" i="4" s="1"/>
  <c r="AJ33" i="4"/>
  <c r="AJ35" i="4"/>
  <c r="AP35" i="4"/>
  <c r="AT35" i="4" s="1"/>
  <c r="AO23" i="4"/>
  <c r="AS23" i="4" s="1"/>
  <c r="AI23" i="4"/>
  <c r="AP30" i="4"/>
  <c r="AT30" i="4" s="1"/>
  <c r="AJ30" i="4"/>
  <c r="AP38" i="4"/>
  <c r="AT38" i="4" s="1"/>
  <c r="AJ38" i="4"/>
  <c r="AJ5" i="4"/>
  <c r="AP5" i="4"/>
  <c r="AT5" i="4" s="1"/>
  <c r="AH16" i="4"/>
  <c r="AN16" i="4"/>
  <c r="AR16" i="4" s="1"/>
  <c r="AJ9" i="4"/>
  <c r="AP9" i="4"/>
  <c r="AT9" i="4" s="1"/>
  <c r="AP14" i="4"/>
  <c r="AT14" i="4" s="1"/>
  <c r="AJ14" i="4"/>
  <c r="AO18" i="4"/>
  <c r="AS18" i="4" s="1"/>
  <c r="AI18" i="4"/>
  <c r="AP20" i="4"/>
  <c r="AT20" i="4" s="1"/>
  <c r="AJ20" i="4"/>
  <c r="AP17" i="4"/>
  <c r="AT17" i="4" s="1"/>
  <c r="AJ17" i="4"/>
  <c r="AJ39" i="4"/>
  <c r="AP39" i="4"/>
  <c r="AT39" i="4" s="1"/>
  <c r="AI15" i="4"/>
  <c r="AO15" i="4"/>
  <c r="AS15" i="4" s="1"/>
  <c r="AJ13" i="4"/>
  <c r="AP13" i="4"/>
  <c r="AT13" i="4" s="1"/>
  <c r="AH33" i="4"/>
  <c r="AN33" i="4"/>
  <c r="AR33" i="4" s="1"/>
  <c r="AN15" i="4"/>
  <c r="AR15" i="4" s="1"/>
  <c r="AH15" i="4"/>
  <c r="AN18" i="4"/>
  <c r="AR18" i="4" s="1"/>
  <c r="AH18" i="4"/>
  <c r="AK9" i="4" l="1"/>
  <c r="AL9" i="4"/>
  <c r="AK7" i="4"/>
  <c r="AL7" i="4"/>
  <c r="AK33" i="4"/>
  <c r="AL33" i="4"/>
  <c r="AU28" i="4"/>
  <c r="AV28" i="4"/>
  <c r="AK23" i="4"/>
  <c r="AL23" i="4"/>
  <c r="AK22" i="4"/>
  <c r="AL22" i="4"/>
  <c r="AL25" i="4"/>
  <c r="AK25" i="4"/>
  <c r="AK21" i="4"/>
  <c r="AL21" i="4"/>
  <c r="AL30" i="4"/>
  <c r="AK30" i="4"/>
  <c r="AK16" i="4"/>
  <c r="AL16" i="4"/>
  <c r="AL19" i="4"/>
  <c r="AK19" i="4"/>
  <c r="AL10" i="4"/>
  <c r="AK10" i="4"/>
  <c r="AU27" i="4"/>
  <c r="AV27" i="4"/>
  <c r="AK8" i="4"/>
  <c r="AL8" i="4"/>
  <c r="AL12" i="4"/>
  <c r="AK12" i="4"/>
  <c r="AK39" i="4"/>
  <c r="AL39" i="4"/>
  <c r="AU34" i="4"/>
  <c r="AV34" i="4"/>
  <c r="AL32" i="4"/>
  <c r="AK32" i="4"/>
  <c r="AL6" i="4"/>
  <c r="AK6" i="4"/>
  <c r="AK20" i="4"/>
  <c r="AL20" i="4"/>
  <c r="AK11" i="4"/>
  <c r="AL11" i="4"/>
  <c r="AK17" i="4"/>
  <c r="AL17" i="4"/>
  <c r="AK26" i="4"/>
  <c r="AL26" i="4"/>
  <c r="AV15" i="4"/>
  <c r="AU15" i="4"/>
  <c r="AK18" i="4"/>
  <c r="AL18" i="4"/>
  <c r="AL5" i="4"/>
  <c r="AK5" i="4"/>
  <c r="AL14" i="4"/>
  <c r="AK14" i="4"/>
  <c r="AK40" i="4"/>
  <c r="AL40" i="4"/>
  <c r="AL35" i="4"/>
  <c r="AK35" i="4"/>
  <c r="AK38" i="4"/>
  <c r="AL38" i="4"/>
  <c r="AU31" i="4"/>
  <c r="AV31" i="4"/>
  <c r="AL37" i="4"/>
  <c r="AK37" i="4"/>
  <c r="AK36" i="4"/>
  <c r="AL36" i="4"/>
  <c r="AL24" i="4"/>
  <c r="AK24" i="4"/>
  <c r="AK13" i="4"/>
  <c r="AL13" i="4"/>
  <c r="AK29" i="4"/>
  <c r="AL29" i="4"/>
  <c r="AU9" i="4"/>
  <c r="AV9" i="4"/>
  <c r="AU7" i="4"/>
  <c r="AV7" i="4"/>
  <c r="AV33" i="4"/>
  <c r="AU33" i="4"/>
  <c r="AL28" i="4"/>
  <c r="AK28" i="4"/>
  <c r="AK15" i="4"/>
  <c r="AL15" i="4"/>
  <c r="AU18" i="4"/>
  <c r="AV18" i="4"/>
  <c r="AU5" i="4"/>
  <c r="AV5" i="4"/>
  <c r="AV14" i="4"/>
  <c r="AU14" i="4"/>
  <c r="AV40" i="4"/>
  <c r="AU40" i="4"/>
  <c r="AV35" i="4"/>
  <c r="AU35" i="4"/>
  <c r="AV38" i="4"/>
  <c r="AU38" i="4"/>
  <c r="AL31" i="4"/>
  <c r="AK31" i="4"/>
  <c r="AU37" i="4"/>
  <c r="AV37" i="4"/>
  <c r="AU36" i="4"/>
  <c r="AV36" i="4"/>
  <c r="AU24" i="4"/>
  <c r="AV24" i="4"/>
  <c r="AU13" i="4"/>
  <c r="AV13" i="4"/>
  <c r="AU29" i="4"/>
  <c r="AV29" i="4"/>
  <c r="AU23" i="4"/>
  <c r="AV23" i="4"/>
  <c r="AU22" i="4"/>
  <c r="AV22" i="4"/>
  <c r="AV25" i="4"/>
  <c r="AU25" i="4"/>
  <c r="AV21" i="4"/>
  <c r="AU21" i="4"/>
  <c r="AV30" i="4"/>
  <c r="AU30" i="4"/>
  <c r="AU16" i="4"/>
  <c r="AV16" i="4"/>
  <c r="AV19" i="4"/>
  <c r="AU19" i="4"/>
  <c r="AV10" i="4"/>
  <c r="AU10" i="4"/>
  <c r="AL27" i="4"/>
  <c r="AK27" i="4"/>
  <c r="AV8" i="4"/>
  <c r="AU8" i="4"/>
  <c r="AV12" i="4"/>
  <c r="AU12" i="4"/>
  <c r="AV39" i="4"/>
  <c r="AU39" i="4"/>
  <c r="AK34" i="4"/>
  <c r="AL34" i="4"/>
  <c r="AU32" i="4"/>
  <c r="AV32" i="4"/>
  <c r="AU6" i="4"/>
  <c r="AV6" i="4"/>
  <c r="AU20" i="4"/>
  <c r="AV20" i="4"/>
  <c r="AV11" i="4"/>
  <c r="AU11" i="4"/>
  <c r="AU17" i="4"/>
  <c r="AV17" i="4"/>
  <c r="AV26" i="4"/>
  <c r="AU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Garry R. Elder</author>
  </authors>
  <commentList>
    <comment ref="K2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>Garry R. Elder:</t>
        </r>
        <r>
          <rPr>
            <sz val="12"/>
            <color indexed="81"/>
            <rFont val="Tahoma"/>
            <family val="2"/>
          </rPr>
          <t xml:space="preserve">
Even though bqMAXIMO is 14 bit, this value needs to be 15 to calculate the polynomial coeefs correctly.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Garry R. Elder</author>
  </authors>
  <commentList>
    <comment ref="G5" authorId="0" shapeId="0" xr:uid="{00000000-0006-0000-0400-000001000000}">
      <text>
        <r>
          <rPr>
            <b/>
            <sz val="14"/>
            <color indexed="81"/>
            <rFont val="Tahoma"/>
            <family val="2"/>
          </rPr>
          <t>Garry R. Elder:</t>
        </r>
        <r>
          <rPr>
            <sz val="14"/>
            <color indexed="81"/>
            <rFont val="Tahoma"/>
            <family val="2"/>
          </rPr>
          <t xml:space="preserve">
18000 is used even though 10k is in bqMaximo. Its effect is scaled by the bq78350 FW before being utilized by the temperature measurement algorithm.</t>
        </r>
      </text>
    </comment>
  </commentList>
</comments>
</file>

<file path=xl/sharedStrings.xml><?xml version="1.0" encoding="utf-8"?>
<sst xmlns="http://schemas.openxmlformats.org/spreadsheetml/2006/main" count="228" uniqueCount="159">
  <si>
    <t>Resistor Tolerance</t>
  </si>
  <si>
    <t>BETA Tolerance</t>
  </si>
  <si>
    <t>Resistor Network</t>
  </si>
  <si>
    <t>Temperature Drift</t>
  </si>
  <si>
    <t>Temperature</t>
  </si>
  <si>
    <t>min</t>
  </si>
  <si>
    <t>nom</t>
  </si>
  <si>
    <t>max</t>
  </si>
  <si>
    <t>Temp</t>
  </si>
  <si>
    <t>Res</t>
  </si>
  <si>
    <t>C</t>
  </si>
  <si>
    <t>B</t>
  </si>
  <si>
    <t>A</t>
  </si>
  <si>
    <t>Steinberg Stein</t>
  </si>
  <si>
    <t>1/Temp</t>
  </si>
  <si>
    <t>3rd Order</t>
  </si>
  <si>
    <t>D</t>
  </si>
  <si>
    <t>mid1</t>
  </si>
  <si>
    <t>mid2</t>
  </si>
  <si>
    <t>ln(Res)</t>
  </si>
  <si>
    <t>x</t>
  </si>
  <si>
    <t>y</t>
  </si>
  <si>
    <t>BETA</t>
  </si>
  <si>
    <t>Beta-</t>
  </si>
  <si>
    <t>Beta+</t>
  </si>
  <si>
    <t>Min Err</t>
  </si>
  <si>
    <t>Max Err</t>
  </si>
  <si>
    <t>Tol min</t>
  </si>
  <si>
    <t>Tol max</t>
  </si>
  <si>
    <t xml:space="preserve"> </t>
  </si>
  <si>
    <t>Value (Ω)</t>
  </si>
  <si>
    <t>R-</t>
  </si>
  <si>
    <t>TC-</t>
  </si>
  <si>
    <t>TC+</t>
  </si>
  <si>
    <t>R+</t>
  </si>
  <si>
    <t>Therm Min</t>
  </si>
  <si>
    <t>Therm Max</t>
  </si>
  <si>
    <t>Therm</t>
  </si>
  <si>
    <t>Vout/Vin</t>
  </si>
  <si>
    <t>Vout/Vin min</t>
  </si>
  <si>
    <t>Vout/Vin max</t>
  </si>
  <si>
    <t>y=ax+b</t>
  </si>
  <si>
    <t>a=</t>
  </si>
  <si>
    <t>b=</t>
  </si>
  <si>
    <t>AD Count Nom</t>
  </si>
  <si>
    <t>AD Count Min</t>
  </si>
  <si>
    <t>AD Count Max</t>
  </si>
  <si>
    <t>Quantization Error</t>
  </si>
  <si>
    <t>Eff Res</t>
  </si>
  <si>
    <t>Vref (V)</t>
  </si>
  <si>
    <t>Eff Res V</t>
  </si>
  <si>
    <t>A1</t>
  </si>
  <si>
    <t>A2</t>
  </si>
  <si>
    <t>A3</t>
  </si>
  <si>
    <t>Calibration Temperature</t>
  </si>
  <si>
    <t>Cal Temp</t>
  </si>
  <si>
    <t>Temp (°C)</t>
  </si>
  <si>
    <t>Res (Ω)</t>
  </si>
  <si>
    <t>1K</t>
  </si>
  <si>
    <t>10K</t>
  </si>
  <si>
    <t>100k</t>
  </si>
  <si>
    <t>1M</t>
  </si>
  <si>
    <t>Tolerance</t>
  </si>
  <si>
    <t>10M</t>
  </si>
  <si>
    <t>Therm-</t>
  </si>
  <si>
    <t>Therm+</t>
  </si>
  <si>
    <t>Max Network Temp</t>
  </si>
  <si>
    <t>ResNetTemp</t>
  </si>
  <si>
    <t>Min Network Temp</t>
  </si>
  <si>
    <t>Temp step</t>
  </si>
  <si>
    <t>Semitec AT103-2</t>
  </si>
  <si>
    <t>R_TH</t>
  </si>
  <si>
    <t>Thermistor R_THERM</t>
  </si>
  <si>
    <t>R_PAD</t>
  </si>
  <si>
    <t>Min Temp</t>
  </si>
  <si>
    <t>Max Temp</t>
  </si>
  <si>
    <t>E96 Resistor Values</t>
  </si>
  <si>
    <t>E96 log Row</t>
  </si>
  <si>
    <t>Temp Measurement Range</t>
  </si>
  <si>
    <t>Norm R/T Table</t>
  </si>
  <si>
    <t>R_TH nom</t>
  </si>
  <si>
    <t>R_TH min</t>
  </si>
  <si>
    <t>R_TH max</t>
  </si>
  <si>
    <t>R_PAD nom</t>
  </si>
  <si>
    <t>R_PAD min</t>
  </si>
  <si>
    <t>R_PAD max</t>
  </si>
  <si>
    <t>A4</t>
  </si>
  <si>
    <t>RTH(Temp-0.1)</t>
  </si>
  <si>
    <t>Error%</t>
  </si>
  <si>
    <t>Error C</t>
  </si>
  <si>
    <t>Temp-0.1</t>
  </si>
  <si>
    <t>min bit resolution</t>
  </si>
  <si>
    <t>B3</t>
  </si>
  <si>
    <t>B2</t>
  </si>
  <si>
    <t>B1</t>
  </si>
  <si>
    <t>m</t>
  </si>
  <si>
    <t>desired response</t>
  </si>
  <si>
    <t>DR in ADC</t>
  </si>
  <si>
    <t>A0</t>
  </si>
  <si>
    <t>Vo/Vin in AD</t>
  </si>
  <si>
    <t>V/DR</t>
  </si>
  <si>
    <t>V/DR*2^14</t>
  </si>
  <si>
    <t>AA</t>
  </si>
  <si>
    <t>Error degC</t>
  </si>
  <si>
    <t>calculated value</t>
  </si>
  <si>
    <t>Error nom</t>
  </si>
  <si>
    <t>Error min</t>
  </si>
  <si>
    <t>Error max</t>
  </si>
  <si>
    <t>Cal value</t>
  </si>
  <si>
    <t>B's</t>
  </si>
  <si>
    <t>A's</t>
  </si>
  <si>
    <t>B0</t>
  </si>
  <si>
    <t>Range</t>
  </si>
  <si>
    <t>A x</t>
  </si>
  <si>
    <t xml:space="preserve"> A y</t>
  </si>
  <si>
    <t>B y</t>
  </si>
  <si>
    <t>B x</t>
  </si>
  <si>
    <t>Range for A x</t>
  </si>
  <si>
    <t>Range for A y</t>
  </si>
  <si>
    <t>Range for B y</t>
  </si>
  <si>
    <t>Range for B x</t>
  </si>
  <si>
    <t>Range Temp</t>
  </si>
  <si>
    <t>Cal temp</t>
  </si>
  <si>
    <t>Instructions</t>
  </si>
  <si>
    <t>2. Enter the thermistor tolerance in cell D7 and cell D9. Information can be found in the thermistor datasheet</t>
  </si>
  <si>
    <t>3. Select the desire temperature operation rage in cell D3 and cell D4</t>
  </si>
  <si>
    <t>4. Optional: Select the calibration temperature in cell D26. This will not affect the calculated thermistor coef result.</t>
  </si>
  <si>
    <t>Calibration temperature will change how the temperature error is distributed and the result is reflected on the graph above</t>
  </si>
  <si>
    <t>5. Copy the A (cell C30 to C34) and B (cell E30 to E33) coef to the device dataflash</t>
  </si>
  <si>
    <t>Ext Coef a1</t>
  </si>
  <si>
    <t>Ext Coef a2</t>
  </si>
  <si>
    <t>Ext Coef a3</t>
  </si>
  <si>
    <t>Ext Coef a4</t>
  </si>
  <si>
    <t>Ext Coef a5</t>
  </si>
  <si>
    <t>Ext Coef b1</t>
  </si>
  <si>
    <t>Ext Coef b2</t>
  </si>
  <si>
    <t>Ext Coef b3</t>
  </si>
  <si>
    <t>Ext Coef b4</t>
  </si>
  <si>
    <t>Mitsubishi BN35-3H103F</t>
  </si>
  <si>
    <t>Vishay NTCS0805E3153FMT</t>
  </si>
  <si>
    <t>Epcos B57869S0103</t>
  </si>
  <si>
    <t>rc0</t>
  </si>
  <si>
    <t>adc0</t>
  </si>
  <si>
    <t>Rpad</t>
  </si>
  <si>
    <t>Rint</t>
  </si>
  <si>
    <t>Therm Res</t>
  </si>
  <si>
    <t>F/W step 1</t>
  </si>
  <si>
    <t>F/W step 2</t>
  </si>
  <si>
    <t>F/W step 3</t>
  </si>
  <si>
    <t>F/W step 4</t>
  </si>
  <si>
    <t>Calculate Kelvin</t>
  </si>
  <si>
    <t>Calculate degC</t>
  </si>
  <si>
    <t>Theoretical Calculation of A/D Count</t>
  </si>
  <si>
    <t>Note: Above numbers can be copied from Accuracy Tab using Paste Special with values only</t>
  </si>
  <si>
    <t>Nominal Uncalibrated Error in degrees C</t>
  </si>
  <si>
    <t>1. Insert Restance values in colum G from thermistor data sheet</t>
  </si>
  <si>
    <t>V 0.07</t>
  </si>
  <si>
    <t>BMS-GMAP Thermistor Temperature Optimizer</t>
  </si>
  <si>
    <t>NOTE: Accuracy Charts DO NOT account for ADC error, just tolernaces entered in left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</si>
</sst>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E+00"/>
    <numFmt numFmtId="165" formatCode="0.000"/>
    <numFmt numFmtId="166" formatCode="0.0"/>
    <numFmt numFmtId="167" formatCode="0.0%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10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2" borderId="1" xfId="0" applyFill="1" applyBorder="1"/>
    <xf numFmtId="166" fontId="0" fillId="2" borderId="1" xfId="0" applyNumberFormat="1" applyFill="1" applyBorder="1"/>
    <xf numFmtId="10" fontId="0" fillId="0" borderId="0" xfId="0" applyNumberFormat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/>
    <xf numFmtId="0" fontId="2" fillId="0" borderId="5" xfId="0" applyFont="1" applyBorder="1"/>
    <xf numFmtId="10" fontId="0" fillId="0" borderId="0" xfId="0" applyNumberFormat="1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/>
    <xf numFmtId="0" fontId="0" fillId="0" borderId="2" xfId="0" applyBorder="1"/>
    <xf numFmtId="164" fontId="0" fillId="0" borderId="8" xfId="0" applyNumberFormat="1" applyBorder="1"/>
    <xf numFmtId="0" fontId="2" fillId="0" borderId="0" xfId="0" applyFont="1"/>
    <xf numFmtId="166" fontId="0" fillId="0" borderId="0" xfId="0" applyNumberFormat="1" applyFill="1" applyBorder="1"/>
    <xf numFmtId="10" fontId="0" fillId="0" borderId="1" xfId="0" applyNumberFormat="1" applyBorder="1"/>
    <xf numFmtId="0" fontId="2" fillId="2" borderId="1" xfId="0" applyFont="1" applyFill="1" applyBorder="1"/>
    <xf numFmtId="1" fontId="0" fillId="0" borderId="0" xfId="0" applyNumberFormat="1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7" fontId="0" fillId="0" borderId="0" xfId="0" applyNumberFormat="1"/>
    <xf numFmtId="165" fontId="0" fillId="2" borderId="1" xfId="0" applyNumberFormat="1" applyFill="1" applyBorder="1"/>
    <xf numFmtId="0" fontId="2" fillId="0" borderId="0" xfId="0" applyFont="1" applyBorder="1"/>
    <xf numFmtId="0" fontId="0" fillId="0" borderId="0" xfId="0" applyBorder="1" applyAlignment="1"/>
    <xf numFmtId="0" fontId="0" fillId="0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0" borderId="17" xfId="0" applyBorder="1"/>
    <xf numFmtId="0" fontId="0" fillId="0" borderId="18" xfId="0" applyBorder="1"/>
    <xf numFmtId="0" fontId="7" fillId="0" borderId="0" xfId="0" applyFont="1"/>
    <xf numFmtId="0" fontId="8" fillId="0" borderId="0" xfId="0" applyFont="1"/>
    <xf numFmtId="0" fontId="6" fillId="0" borderId="0" xfId="0" applyFont="1"/>
    <xf numFmtId="0" fontId="0" fillId="5" borderId="1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/>
    <xf numFmtId="10" fontId="0" fillId="0" borderId="19" xfId="0" applyNumberFormat="1" applyBorder="1"/>
    <xf numFmtId="0" fontId="0" fillId="0" borderId="19" xfId="0" applyFill="1" applyBorder="1"/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0" fontId="2" fillId="7" borderId="20" xfId="0" applyFont="1" applyFill="1" applyBorder="1" applyAlignment="1">
      <alignment wrapText="1"/>
    </xf>
    <xf numFmtId="0" fontId="6" fillId="7" borderId="20" xfId="0" applyFont="1" applyFill="1" applyBorder="1" applyAlignment="1">
      <alignment wrapText="1"/>
    </xf>
    <xf numFmtId="0" fontId="0" fillId="7" borderId="20" xfId="0" applyFill="1" applyBorder="1"/>
    <xf numFmtId="0" fontId="2" fillId="6" borderId="20" xfId="0" applyFont="1" applyFill="1" applyBorder="1" applyAlignment="1">
      <alignment wrapText="1"/>
    </xf>
    <xf numFmtId="0" fontId="0" fillId="6" borderId="20" xfId="0" applyFill="1" applyBorder="1"/>
    <xf numFmtId="165" fontId="0" fillId="7" borderId="20" xfId="0" applyNumberFormat="1" applyFill="1" applyBorder="1"/>
    <xf numFmtId="0" fontId="0" fillId="8" borderId="0" xfId="0" applyFill="1"/>
    <xf numFmtId="0" fontId="0" fillId="0" borderId="20" xfId="0" applyFill="1" applyBorder="1"/>
    <xf numFmtId="0" fontId="0" fillId="3" borderId="20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0" borderId="20" xfId="0" applyBorder="1"/>
    <xf numFmtId="10" fontId="0" fillId="3" borderId="20" xfId="0" applyNumberFormat="1" applyFill="1" applyBorder="1" applyProtection="1">
      <protection locked="0"/>
    </xf>
    <xf numFmtId="0" fontId="0" fillId="4" borderId="20" xfId="0" applyNumberFormat="1" applyFill="1" applyBorder="1" applyProtection="1"/>
    <xf numFmtId="10" fontId="0" fillId="4" borderId="20" xfId="0" applyNumberFormat="1" applyFill="1" applyBorder="1" applyProtection="1"/>
    <xf numFmtId="1" fontId="0" fillId="4" borderId="20" xfId="0" applyNumberFormat="1" applyFill="1" applyBorder="1" applyProtection="1"/>
    <xf numFmtId="0" fontId="0" fillId="2" borderId="20" xfId="0" applyFill="1" applyBorder="1"/>
    <xf numFmtId="10" fontId="0" fillId="0" borderId="20" xfId="0" applyNumberFormat="1" applyBorder="1"/>
    <xf numFmtId="0" fontId="0" fillId="5" borderId="15" xfId="0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17">
    <dxf>
      <font>
        <b/>
        <i val="0"/>
        <strike/>
        <condense val="0"/>
        <extend val="0"/>
        <color indexed="53"/>
      </font>
    </dxf>
    <dxf>
      <font>
        <condense val="0"/>
        <extend val="0"/>
        <color indexed="53"/>
      </font>
      <fill>
        <patternFill patternType="solid">
          <bgColor indexed="53"/>
        </patternFill>
      </fill>
    </dxf>
    <dxf>
      <font>
        <condense val="0"/>
        <extend val="0"/>
        <color indexed="10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Thermistor Resistor Change vs. Temp</a:t>
            </a:r>
          </a:p>
        </c:rich>
      </c:tx>
      <c:layout>
        <c:manualLayout>
          <c:xMode val="edge"/>
          <c:yMode val="edge"/>
          <c:x val="0.1875005468066492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81315565275992"/>
          <c:y val="0.20955882352941191"/>
          <c:w val="0.66927253538140763"/>
          <c:h val="0.53676470588235214"/>
        </c:manualLayout>
      </c:layout>
      <c:scatterChart>
        <c:scatterStyle val="lineMarker"/>
        <c:varyColors val="0"/>
        <c:ser>
          <c:idx val="1"/>
          <c:order val="0"/>
          <c:tx>
            <c:strRef>
              <c:f>Thermistor!$D$4</c:f>
              <c:strCache>
                <c:ptCount val="1"/>
                <c:pt idx="0">
                  <c:v>Therm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Thermistor!$C$5:$C$40</c:f>
              <c:numCache>
                <c:formatCode>General</c:formatCode>
                <c:ptCount val="36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  <c:pt idx="31">
                  <c:v>100</c:v>
                </c:pt>
                <c:pt idx="32">
                  <c:v>105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Thermistor!$D$5:$D$40</c:f>
              <c:numCache>
                <c:formatCode>General</c:formatCode>
                <c:ptCount val="36"/>
                <c:pt idx="0">
                  <c:v>963849</c:v>
                </c:pt>
                <c:pt idx="1">
                  <c:v>670166</c:v>
                </c:pt>
                <c:pt idx="2">
                  <c:v>471985</c:v>
                </c:pt>
                <c:pt idx="3">
                  <c:v>336479</c:v>
                </c:pt>
                <c:pt idx="4">
                  <c:v>242681</c:v>
                </c:pt>
                <c:pt idx="5">
                  <c:v>176973.99999999997</c:v>
                </c:pt>
                <c:pt idx="6">
                  <c:v>130421</c:v>
                </c:pt>
                <c:pt idx="7">
                  <c:v>97081</c:v>
                </c:pt>
                <c:pt idx="8">
                  <c:v>72957</c:v>
                </c:pt>
                <c:pt idx="9">
                  <c:v>55329</c:v>
                </c:pt>
                <c:pt idx="10">
                  <c:v>42327</c:v>
                </c:pt>
                <c:pt idx="11">
                  <c:v>32650</c:v>
                </c:pt>
                <c:pt idx="12">
                  <c:v>25392</c:v>
                </c:pt>
                <c:pt idx="13">
                  <c:v>19901</c:v>
                </c:pt>
                <c:pt idx="14">
                  <c:v>15712</c:v>
                </c:pt>
                <c:pt idx="15">
                  <c:v>12493</c:v>
                </c:pt>
                <c:pt idx="16">
                  <c:v>10000</c:v>
                </c:pt>
                <c:pt idx="17">
                  <c:v>8057</c:v>
                </c:pt>
                <c:pt idx="18">
                  <c:v>6531</c:v>
                </c:pt>
                <c:pt idx="19">
                  <c:v>5326</c:v>
                </c:pt>
                <c:pt idx="20">
                  <c:v>4368</c:v>
                </c:pt>
                <c:pt idx="21">
                  <c:v>3602</c:v>
                </c:pt>
                <c:pt idx="22">
                  <c:v>2985.9999999999995</c:v>
                </c:pt>
                <c:pt idx="23">
                  <c:v>2488</c:v>
                </c:pt>
                <c:pt idx="24">
                  <c:v>2083</c:v>
                </c:pt>
                <c:pt idx="25">
                  <c:v>1752</c:v>
                </c:pt>
                <c:pt idx="26">
                  <c:v>1480</c:v>
                </c:pt>
                <c:pt idx="27">
                  <c:v>1255</c:v>
                </c:pt>
                <c:pt idx="28">
                  <c:v>1070</c:v>
                </c:pt>
                <c:pt idx="29">
                  <c:v>915.50000000000011</c:v>
                </c:pt>
                <c:pt idx="30">
                  <c:v>786.6</c:v>
                </c:pt>
                <c:pt idx="31">
                  <c:v>678.6</c:v>
                </c:pt>
                <c:pt idx="32">
                  <c:v>587.6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DF-4CC9-83D4-7899A0A64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81888"/>
        <c:axId val="166582464"/>
      </c:scatterChart>
      <c:valAx>
        <c:axId val="166581888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4010526027996527"/>
              <c:y val="0.86029411764705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66582464"/>
        <c:crosses val="autoZero"/>
        <c:crossBetween val="midCat"/>
        <c:majorUnit val="20"/>
      </c:valAx>
      <c:valAx>
        <c:axId val="16658246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Resistance (</a:t>
                </a: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Ω)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308823529411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66581888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IL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Vout/Vin vs ideal</a:t>
            </a:r>
          </a:p>
        </c:rich>
      </c:tx>
      <c:layout>
        <c:manualLayout>
          <c:xMode val="edge"/>
          <c:yMode val="edge"/>
          <c:x val="0.35677165354330709"/>
          <c:y val="3.6764635189832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8779802398178"/>
          <c:y val="0.20879195567177383"/>
          <c:w val="0.81250206629960708"/>
          <c:h val="0.53846346462720507"/>
        </c:manualLayout>
      </c:layout>
      <c:lineChart>
        <c:grouping val="standard"/>
        <c:varyColors val="0"/>
        <c:ser>
          <c:idx val="0"/>
          <c:order val="0"/>
          <c:tx>
            <c:strRef>
              <c:f>'Resistor Network'!$AB$4</c:f>
              <c:strCache>
                <c:ptCount val="1"/>
                <c:pt idx="0">
                  <c:v>Vout/Vin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'Resistor Network'!$C$5:$C$35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cat>
          <c:val>
            <c:numRef>
              <c:f>'Resistor Network'!$AB$5:$AB$35</c:f>
              <c:numCache>
                <c:formatCode>0.000</c:formatCode>
                <c:ptCount val="31"/>
                <c:pt idx="0">
                  <c:v>0.98166724211156708</c:v>
                </c:pt>
                <c:pt idx="1">
                  <c:v>0.9738435203134127</c:v>
                </c:pt>
                <c:pt idx="2">
                  <c:v>0.96326418155657823</c:v>
                </c:pt>
                <c:pt idx="3">
                  <c:v>0.94922125147046787</c:v>
                </c:pt>
                <c:pt idx="4">
                  <c:v>0.93095008842224791</c:v>
                </c:pt>
                <c:pt idx="5">
                  <c:v>0.90767999835875546</c:v>
                </c:pt>
                <c:pt idx="6">
                  <c:v>0.87872336124941886</c:v>
                </c:pt>
                <c:pt idx="7">
                  <c:v>0.8435884290195601</c:v>
                </c:pt>
                <c:pt idx="8">
                  <c:v>0.80210429103862269</c:v>
                </c:pt>
                <c:pt idx="9">
                  <c:v>0.75453094955611011</c:v>
                </c:pt>
                <c:pt idx="10">
                  <c:v>0.70162613755035064</c:v>
                </c:pt>
                <c:pt idx="11">
                  <c:v>0.64461994076999007</c:v>
                </c:pt>
                <c:pt idx="12">
                  <c:v>0.58517699115044253</c:v>
                </c:pt>
                <c:pt idx="13">
                  <c:v>0.52507849397113537</c:v>
                </c:pt>
                <c:pt idx="14">
                  <c:v>0.46606549596582819</c:v>
                </c:pt>
                <c:pt idx="15">
                  <c:v>0.40970058701997181</c:v>
                </c:pt>
                <c:pt idx="16">
                  <c:v>0.35714285714285715</c:v>
                </c:pt>
                <c:pt idx="17">
                  <c:v>0.30920673907203439</c:v>
                </c:pt>
                <c:pt idx="18">
                  <c:v>0.26623456035220738</c:v>
                </c:pt>
                <c:pt idx="19">
                  <c:v>0.22832890336963046</c:v>
                </c:pt>
                <c:pt idx="20">
                  <c:v>0.19527896995708155</c:v>
                </c:pt>
                <c:pt idx="21">
                  <c:v>0.16674382001666513</c:v>
                </c:pt>
                <c:pt idx="22">
                  <c:v>0.14228533307919564</c:v>
                </c:pt>
                <c:pt idx="23">
                  <c:v>0.12143693869582195</c:v>
                </c:pt>
                <c:pt idx="24">
                  <c:v>0.10371956381018772</c:v>
                </c:pt>
                <c:pt idx="25">
                  <c:v>8.8699878493317133E-2</c:v>
                </c:pt>
                <c:pt idx="26">
                  <c:v>7.5975359342915813E-2</c:v>
                </c:pt>
                <c:pt idx="27">
                  <c:v>6.5177875876395744E-2</c:v>
                </c:pt>
                <c:pt idx="28">
                  <c:v>5.6109071840587312E-2</c:v>
                </c:pt>
                <c:pt idx="29">
                  <c:v>4.8399460759694438E-2</c:v>
                </c:pt>
                <c:pt idx="30">
                  <c:v>4.1870269234454346E-2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F-4711-8FC6-2D41121F6EAF}"/>
            </c:ext>
          </c:extLst>
        </c:ser>
        <c:ser>
          <c:idx val="1"/>
          <c:order val="1"/>
          <c:tx>
            <c:strRef>
              <c:f>'best fit'!$T$4</c:f>
              <c:strCache>
                <c:ptCount val="1"/>
                <c:pt idx="0">
                  <c:v>desired response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'best fit'!$S$5:$S$35</c:f>
              <c:numCache>
                <c:formatCode>0.00</c:formatCode>
                <c:ptCount val="31"/>
                <c:pt idx="0">
                  <c:v>0.86</c:v>
                </c:pt>
                <c:pt idx="1">
                  <c:v>0.84599999999999997</c:v>
                </c:pt>
                <c:pt idx="2">
                  <c:v>0.83199999999999996</c:v>
                </c:pt>
                <c:pt idx="3">
                  <c:v>0.81799999999999995</c:v>
                </c:pt>
                <c:pt idx="4">
                  <c:v>0.80399999999999994</c:v>
                </c:pt>
                <c:pt idx="5">
                  <c:v>0.79</c:v>
                </c:pt>
                <c:pt idx="6">
                  <c:v>0.77600000000000002</c:v>
                </c:pt>
                <c:pt idx="7">
                  <c:v>0.76200000000000001</c:v>
                </c:pt>
                <c:pt idx="8">
                  <c:v>0.748</c:v>
                </c:pt>
                <c:pt idx="9">
                  <c:v>0.73399999999999999</c:v>
                </c:pt>
                <c:pt idx="10">
                  <c:v>0.72</c:v>
                </c:pt>
                <c:pt idx="11">
                  <c:v>0.70599999999999996</c:v>
                </c:pt>
                <c:pt idx="12">
                  <c:v>0.69199999999999995</c:v>
                </c:pt>
                <c:pt idx="13">
                  <c:v>0.67799999999999994</c:v>
                </c:pt>
                <c:pt idx="14">
                  <c:v>0.66399999999999992</c:v>
                </c:pt>
                <c:pt idx="15">
                  <c:v>0.65</c:v>
                </c:pt>
                <c:pt idx="16">
                  <c:v>0.63600000000000001</c:v>
                </c:pt>
                <c:pt idx="17">
                  <c:v>0.622</c:v>
                </c:pt>
                <c:pt idx="18">
                  <c:v>0.60799999999999998</c:v>
                </c:pt>
                <c:pt idx="19">
                  <c:v>0.59399999999999997</c:v>
                </c:pt>
                <c:pt idx="20">
                  <c:v>0.57999999999999996</c:v>
                </c:pt>
                <c:pt idx="21">
                  <c:v>0.56600000000000006</c:v>
                </c:pt>
                <c:pt idx="22">
                  <c:v>0.55200000000000005</c:v>
                </c:pt>
                <c:pt idx="23">
                  <c:v>0.53800000000000003</c:v>
                </c:pt>
                <c:pt idx="24">
                  <c:v>0.52400000000000002</c:v>
                </c:pt>
                <c:pt idx="25">
                  <c:v>0.51</c:v>
                </c:pt>
                <c:pt idx="26">
                  <c:v>0.496</c:v>
                </c:pt>
                <c:pt idx="27">
                  <c:v>0.48199999999999998</c:v>
                </c:pt>
                <c:pt idx="28">
                  <c:v>0.46799999999999997</c:v>
                </c:pt>
                <c:pt idx="29">
                  <c:v>0.45399999999999996</c:v>
                </c:pt>
                <c:pt idx="30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F-4711-8FC6-2D41121F6EAF}"/>
            </c:ext>
          </c:extLst>
        </c:ser>
        <c:ser>
          <c:idx val="2"/>
          <c:order val="2"/>
          <c:tx>
            <c:strRef>
              <c:f>'best fit'!$Y$4</c:f>
              <c:strCache>
                <c:ptCount val="1"/>
                <c:pt idx="0">
                  <c:v>AA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'best fit'!$X$5:$X$35</c:f>
              <c:numCache>
                <c:formatCode>0.00</c:formatCode>
                <c:ptCount val="31"/>
                <c:pt idx="0">
                  <c:v>0.84940536584263016</c:v>
                </c:pt>
                <c:pt idx="1">
                  <c:v>0.84262083080603101</c:v>
                </c:pt>
                <c:pt idx="2">
                  <c:v>0.83388785687414457</c:v>
                </c:pt>
                <c:pt idx="3">
                  <c:v>0.8230285492997913</c:v>
                </c:pt>
                <c:pt idx="4">
                  <c:v>0.81004533068719842</c:v>
                </c:pt>
                <c:pt idx="5">
                  <c:v>0.79518616778693119</c:v>
                </c:pt>
                <c:pt idx="6">
                  <c:v>0.77897508723688547</c:v>
                </c:pt>
                <c:pt idx="7">
                  <c:v>0.76216504413320962</c:v>
                </c:pt>
                <c:pt idx="8">
                  <c:v>0.74560169018674949</c:v>
                </c:pt>
                <c:pt idx="9">
                  <c:v>0.73002121858655555</c:v>
                </c:pt>
                <c:pt idx="10">
                  <c:v>0.7158456287931686</c:v>
                </c:pt>
                <c:pt idx="11">
                  <c:v>0.70304995377399548</c:v>
                </c:pt>
                <c:pt idx="12">
                  <c:v>0.69118679211744039</c:v>
                </c:pt>
                <c:pt idx="13">
                  <c:v>0.67952381567126341</c:v>
                </c:pt>
                <c:pt idx="14">
                  <c:v>0.66732054948446429</c:v>
                </c:pt>
                <c:pt idx="15">
                  <c:v>0.65408484101568465</c:v>
                </c:pt>
                <c:pt idx="16">
                  <c:v>0.63968007585213638</c:v>
                </c:pt>
                <c:pt idx="17">
                  <c:v>0.62432577768825959</c:v>
                </c:pt>
                <c:pt idx="18">
                  <c:v>0.60842051687785426</c:v>
                </c:pt>
                <c:pt idx="19">
                  <c:v>0.59243757543551478</c:v>
                </c:pt>
                <c:pt idx="20">
                  <c:v>0.57675057298192445</c:v>
                </c:pt>
                <c:pt idx="21">
                  <c:v>0.56161384725561725</c:v>
                </c:pt>
                <c:pt idx="22">
                  <c:v>0.54714164323511028</c:v>
                </c:pt>
                <c:pt idx="23">
                  <c:v>0.53333874206585463</c:v>
                </c:pt>
                <c:pt idx="24">
                  <c:v>0.52011864001044084</c:v>
                </c:pt>
                <c:pt idx="25">
                  <c:v>0.50735798122493758</c:v>
                </c:pt>
                <c:pt idx="26">
                  <c:v>0.49490215320121905</c:v>
                </c:pt>
                <c:pt idx="27">
                  <c:v>0.48257368549462704</c:v>
                </c:pt>
                <c:pt idx="28">
                  <c:v>0.47036650140839426</c:v>
                </c:pt>
                <c:pt idx="29">
                  <c:v>0.45802684620926593</c:v>
                </c:pt>
                <c:pt idx="30">
                  <c:v>0.44551767077262416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0F-4711-8FC6-2D41121F6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259328"/>
        <c:axId val="154959872"/>
      </c:lineChart>
      <c:catAx>
        <c:axId val="15625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7760526027996555"/>
              <c:y val="0.8602940017113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549598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5495987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562593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IL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Calculated vs Real Temp</a:t>
            </a:r>
          </a:p>
        </c:rich>
      </c:tx>
      <c:layout>
        <c:manualLayout>
          <c:xMode val="edge"/>
          <c:yMode val="edge"/>
          <c:x val="0.2890632307325221"/>
          <c:y val="3.6764635189832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41"/>
          <c:y val="0.20879195567177383"/>
          <c:w val="0.78961139104529099"/>
          <c:h val="0.53846346462720507"/>
        </c:manualLayout>
      </c:layout>
      <c:lineChart>
        <c:grouping val="standard"/>
        <c:varyColors val="0"/>
        <c:ser>
          <c:idx val="0"/>
          <c:order val="0"/>
          <c:tx>
            <c:strRef>
              <c:f>Digital!$C$4</c:f>
              <c:strCache>
                <c:ptCount val="1"/>
                <c:pt idx="0">
                  <c:v>Temperature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Digital!$C$5:$C$35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cat>
          <c:val>
            <c:numRef>
              <c:f>Digital!$C$5:$C$35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2-43F8-8C25-D8209C2969F6}"/>
            </c:ext>
          </c:extLst>
        </c:ser>
        <c:ser>
          <c:idx val="1"/>
          <c:order val="1"/>
          <c:tx>
            <c:strRef>
              <c:f>Digital!$AD$4</c:f>
              <c:strCache>
                <c:ptCount val="1"/>
                <c:pt idx="0">
                  <c:v>calculated value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Digital!$AD$5:$AD$35</c:f>
              <c:numCache>
                <c:formatCode>0.0</c:formatCode>
                <c:ptCount val="31"/>
                <c:pt idx="0">
                  <c:v>-52.1</c:v>
                </c:pt>
                <c:pt idx="1">
                  <c:v>-49.4</c:v>
                </c:pt>
                <c:pt idx="2">
                  <c:v>-46</c:v>
                </c:pt>
                <c:pt idx="3">
                  <c:v>-41.8</c:v>
                </c:pt>
                <c:pt idx="4">
                  <c:v>-36.799999999999997</c:v>
                </c:pt>
                <c:pt idx="5">
                  <c:v>-31.3</c:v>
                </c:pt>
                <c:pt idx="6">
                  <c:v>-25.3</c:v>
                </c:pt>
                <c:pt idx="7">
                  <c:v>-19.2</c:v>
                </c:pt>
                <c:pt idx="8">
                  <c:v>-13.3</c:v>
                </c:pt>
                <c:pt idx="9">
                  <c:v>-7.8</c:v>
                </c:pt>
                <c:pt idx="10">
                  <c:v>-2.8</c:v>
                </c:pt>
                <c:pt idx="11">
                  <c:v>1.6</c:v>
                </c:pt>
                <c:pt idx="12">
                  <c:v>5.7</c:v>
                </c:pt>
                <c:pt idx="13">
                  <c:v>9.6999999999999993</c:v>
                </c:pt>
                <c:pt idx="14">
                  <c:v>14</c:v>
                </c:pt>
                <c:pt idx="15">
                  <c:v>18.5</c:v>
                </c:pt>
                <c:pt idx="16">
                  <c:v>23.5</c:v>
                </c:pt>
                <c:pt idx="17">
                  <c:v>28.8</c:v>
                </c:pt>
                <c:pt idx="18">
                  <c:v>34.299999999999997</c:v>
                </c:pt>
                <c:pt idx="19">
                  <c:v>39.9</c:v>
                </c:pt>
                <c:pt idx="20">
                  <c:v>45.4</c:v>
                </c:pt>
                <c:pt idx="21">
                  <c:v>50.7</c:v>
                </c:pt>
                <c:pt idx="22">
                  <c:v>55.9</c:v>
                </c:pt>
                <c:pt idx="23">
                  <c:v>60.9</c:v>
                </c:pt>
                <c:pt idx="24">
                  <c:v>65.8</c:v>
                </c:pt>
                <c:pt idx="25">
                  <c:v>70.599999999999994</c:v>
                </c:pt>
                <c:pt idx="26">
                  <c:v>75.3</c:v>
                </c:pt>
                <c:pt idx="27">
                  <c:v>80</c:v>
                </c:pt>
                <c:pt idx="28">
                  <c:v>84.8</c:v>
                </c:pt>
                <c:pt idx="29">
                  <c:v>89.7</c:v>
                </c:pt>
                <c:pt idx="30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2-43F8-8C25-D8209C296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54272"/>
        <c:axId val="154961600"/>
      </c:lineChart>
      <c:catAx>
        <c:axId val="166454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9583433888945768"/>
              <c:y val="0.8602940017113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549616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5496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664542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IL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Gauge Temperature Tolerance
(uncalibrated)</a:t>
            </a:r>
          </a:p>
        </c:rich>
      </c:tx>
      <c:layout>
        <c:manualLayout>
          <c:xMode val="edge"/>
          <c:yMode val="edge"/>
          <c:x val="0.20312560929883752"/>
          <c:y val="3.6630074525355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7171846047897"/>
          <c:y val="0.25912454936371848"/>
          <c:w val="0.70389699662261163"/>
          <c:h val="0.48905196640476484"/>
        </c:manualLayout>
      </c:layout>
      <c:scatterChart>
        <c:scatterStyle val="lineMarker"/>
        <c:varyColors val="0"/>
        <c:ser>
          <c:idx val="1"/>
          <c:order val="0"/>
          <c:tx>
            <c:strRef>
              <c:f>Digital!$AH$4</c:f>
              <c:strCache>
                <c:ptCount val="1"/>
                <c:pt idx="0">
                  <c:v>Error nom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xVal>
          <c:yVal>
            <c:numRef>
              <c:f>Digital!$AH$5:$AH$40</c:f>
              <c:numCache>
                <c:formatCode>0.0</c:formatCode>
                <c:ptCount val="36"/>
                <c:pt idx="0">
                  <c:v>2.8999999999999986</c:v>
                </c:pt>
                <c:pt idx="1">
                  <c:v>0.60000000000000142</c:v>
                </c:pt>
                <c:pt idx="2">
                  <c:v>-1</c:v>
                </c:pt>
                <c:pt idx="3">
                  <c:v>-1.7999999999999972</c:v>
                </c:pt>
                <c:pt idx="4">
                  <c:v>-1.7999999999999972</c:v>
                </c:pt>
                <c:pt idx="5">
                  <c:v>-1.3000000000000007</c:v>
                </c:pt>
                <c:pt idx="6">
                  <c:v>-0.30000000000000071</c:v>
                </c:pt>
                <c:pt idx="7">
                  <c:v>0.80000000000000071</c:v>
                </c:pt>
                <c:pt idx="8">
                  <c:v>1.6999999999999993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1.6</c:v>
                </c:pt>
                <c:pt idx="12">
                  <c:v>0.70000000000000018</c:v>
                </c:pt>
                <c:pt idx="13">
                  <c:v>-0.30000000000000071</c:v>
                </c:pt>
                <c:pt idx="14">
                  <c:v>-1</c:v>
                </c:pt>
                <c:pt idx="15">
                  <c:v>-1.5</c:v>
                </c:pt>
                <c:pt idx="16">
                  <c:v>-1.5</c:v>
                </c:pt>
                <c:pt idx="17">
                  <c:v>-1.1999999999999993</c:v>
                </c:pt>
                <c:pt idx="18">
                  <c:v>-0.70000000000000284</c:v>
                </c:pt>
                <c:pt idx="19">
                  <c:v>-0.10000000000000142</c:v>
                </c:pt>
                <c:pt idx="20">
                  <c:v>0.39999999999999858</c:v>
                </c:pt>
                <c:pt idx="21">
                  <c:v>0.70000000000000284</c:v>
                </c:pt>
                <c:pt idx="22">
                  <c:v>0.89999999999999858</c:v>
                </c:pt>
                <c:pt idx="23">
                  <c:v>0.89999999999999858</c:v>
                </c:pt>
                <c:pt idx="24">
                  <c:v>0.79999999999999716</c:v>
                </c:pt>
                <c:pt idx="25">
                  <c:v>0.59999999999999432</c:v>
                </c:pt>
                <c:pt idx="26">
                  <c:v>0.29999999999999716</c:v>
                </c:pt>
                <c:pt idx="27">
                  <c:v>0</c:v>
                </c:pt>
                <c:pt idx="28">
                  <c:v>-0.20000000000000284</c:v>
                </c:pt>
                <c:pt idx="29">
                  <c:v>-0.29999999999999716</c:v>
                </c:pt>
                <c:pt idx="30">
                  <c:v>-0.29999999999999716</c:v>
                </c:pt>
                <c:pt idx="31">
                  <c:v>0</c:v>
                </c:pt>
                <c:pt idx="32">
                  <c:v>0.5</c:v>
                </c:pt>
                <c:pt idx="33">
                  <c:v>378</c:v>
                </c:pt>
                <c:pt idx="34">
                  <c:v>378</c:v>
                </c:pt>
                <c:pt idx="35">
                  <c:v>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97-4605-A918-6D34F7448DA5}"/>
            </c:ext>
          </c:extLst>
        </c:ser>
        <c:ser>
          <c:idx val="4"/>
          <c:order val="1"/>
          <c:tx>
            <c:strRef>
              <c:f>Digital!$AK$4</c:f>
              <c:strCache>
                <c:ptCount val="1"/>
                <c:pt idx="0">
                  <c:v>Error min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xVal>
          <c:yVal>
            <c:numRef>
              <c:f>Digital!$AK$5:$AK$40</c:f>
              <c:numCache>
                <c:formatCode>0.00</c:formatCode>
                <c:ptCount val="36"/>
                <c:pt idx="0">
                  <c:v>2.2999999999999972</c:v>
                </c:pt>
                <c:pt idx="1">
                  <c:v>-0.20000000000000284</c:v>
                </c:pt>
                <c:pt idx="2">
                  <c:v>-2</c:v>
                </c:pt>
                <c:pt idx="3">
                  <c:v>-3</c:v>
                </c:pt>
                <c:pt idx="4">
                  <c:v>-3.2000000000000028</c:v>
                </c:pt>
                <c:pt idx="5">
                  <c:v>-2.7999999999999972</c:v>
                </c:pt>
                <c:pt idx="6">
                  <c:v>-1.8000000000000007</c:v>
                </c:pt>
                <c:pt idx="7">
                  <c:v>-0.69999999999999929</c:v>
                </c:pt>
                <c:pt idx="8">
                  <c:v>0.19999999999999929</c:v>
                </c:pt>
                <c:pt idx="9">
                  <c:v>0.90000000000000036</c:v>
                </c:pt>
                <c:pt idx="10">
                  <c:v>1</c:v>
                </c:pt>
                <c:pt idx="11">
                  <c:v>0.5</c:v>
                </c:pt>
                <c:pt idx="12">
                  <c:v>-0.29999999999999982</c:v>
                </c:pt>
                <c:pt idx="13">
                  <c:v>-1.1999999999999993</c:v>
                </c:pt>
                <c:pt idx="14">
                  <c:v>-2.1999999999999993</c:v>
                </c:pt>
                <c:pt idx="15">
                  <c:v>-2.8000000000000007</c:v>
                </c:pt>
                <c:pt idx="16">
                  <c:v>-3</c:v>
                </c:pt>
                <c:pt idx="17">
                  <c:v>-2.8999999999999986</c:v>
                </c:pt>
                <c:pt idx="18">
                  <c:v>-2.6000000000000014</c:v>
                </c:pt>
                <c:pt idx="19">
                  <c:v>-2.1000000000000014</c:v>
                </c:pt>
                <c:pt idx="20">
                  <c:v>-1.7000000000000028</c:v>
                </c:pt>
                <c:pt idx="21">
                  <c:v>-1.3999999999999986</c:v>
                </c:pt>
                <c:pt idx="22">
                  <c:v>-1.2000000000000028</c:v>
                </c:pt>
                <c:pt idx="23">
                  <c:v>-1.2000000000000028</c:v>
                </c:pt>
                <c:pt idx="24">
                  <c:v>-1.3999999999999986</c:v>
                </c:pt>
                <c:pt idx="25">
                  <c:v>-1.7000000000000028</c:v>
                </c:pt>
                <c:pt idx="26">
                  <c:v>-2.0999999999999943</c:v>
                </c:pt>
                <c:pt idx="27">
                  <c:v>-2.5</c:v>
                </c:pt>
                <c:pt idx="28">
                  <c:v>-2.9000000000000057</c:v>
                </c:pt>
                <c:pt idx="29">
                  <c:v>-3.2000000000000028</c:v>
                </c:pt>
                <c:pt idx="30">
                  <c:v>-3.2999999999999972</c:v>
                </c:pt>
                <c:pt idx="31">
                  <c:v>-3.2999999999999972</c:v>
                </c:pt>
                <c:pt idx="32">
                  <c:v>-3.2000000000000028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97-4605-A918-6D34F7448DA5}"/>
            </c:ext>
          </c:extLst>
        </c:ser>
        <c:ser>
          <c:idx val="5"/>
          <c:order val="2"/>
          <c:tx>
            <c:strRef>
              <c:f>Digital!$AL$4</c:f>
              <c:strCache>
                <c:ptCount val="1"/>
                <c:pt idx="0">
                  <c:v>Error max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xVal>
          <c:yVal>
            <c:numRef>
              <c:f>Digital!$AL$5:$AL$40</c:f>
              <c:numCache>
                <c:formatCode>0.00</c:formatCode>
                <c:ptCount val="36"/>
                <c:pt idx="0">
                  <c:v>3.5</c:v>
                </c:pt>
                <c:pt idx="1">
                  <c:v>1.3999999999999986</c:v>
                </c:pt>
                <c:pt idx="2">
                  <c:v>0.10000000000000142</c:v>
                </c:pt>
                <c:pt idx="3">
                  <c:v>-0.5</c:v>
                </c:pt>
                <c:pt idx="4">
                  <c:v>-0.39999999999999858</c:v>
                </c:pt>
                <c:pt idx="5">
                  <c:v>0.30000000000000071</c:v>
                </c:pt>
                <c:pt idx="6">
                  <c:v>1.3000000000000007</c:v>
                </c:pt>
                <c:pt idx="7">
                  <c:v>2.3999999999999986</c:v>
                </c:pt>
                <c:pt idx="8">
                  <c:v>3.1999999999999993</c:v>
                </c:pt>
                <c:pt idx="9">
                  <c:v>3.5999999999999996</c:v>
                </c:pt>
                <c:pt idx="10">
                  <c:v>3.4</c:v>
                </c:pt>
                <c:pt idx="11">
                  <c:v>2.7</c:v>
                </c:pt>
                <c:pt idx="12">
                  <c:v>1.7999999999999998</c:v>
                </c:pt>
                <c:pt idx="13">
                  <c:v>0.80000000000000071</c:v>
                </c:pt>
                <c:pt idx="14">
                  <c:v>0.19999999999999929</c:v>
                </c:pt>
                <c:pt idx="15">
                  <c:v>-0.10000000000000142</c:v>
                </c:pt>
                <c:pt idx="16">
                  <c:v>0.10000000000000142</c:v>
                </c:pt>
                <c:pt idx="17">
                  <c:v>0.60000000000000142</c:v>
                </c:pt>
                <c:pt idx="18">
                  <c:v>1.2000000000000028</c:v>
                </c:pt>
                <c:pt idx="19">
                  <c:v>1.8999999999999986</c:v>
                </c:pt>
                <c:pt idx="20">
                  <c:v>2.5</c:v>
                </c:pt>
                <c:pt idx="21">
                  <c:v>2.8999999999999986</c:v>
                </c:pt>
                <c:pt idx="22">
                  <c:v>3.1000000000000014</c:v>
                </c:pt>
                <c:pt idx="23">
                  <c:v>3.2000000000000028</c:v>
                </c:pt>
                <c:pt idx="24">
                  <c:v>3.0999999999999943</c:v>
                </c:pt>
                <c:pt idx="25">
                  <c:v>2.9000000000000057</c:v>
                </c:pt>
                <c:pt idx="26">
                  <c:v>2.7999999999999972</c:v>
                </c:pt>
                <c:pt idx="27">
                  <c:v>2.5999999999999943</c:v>
                </c:pt>
                <c:pt idx="28">
                  <c:v>2.5999999999999943</c:v>
                </c:pt>
                <c:pt idx="29">
                  <c:v>2.7000000000000028</c:v>
                </c:pt>
                <c:pt idx="30">
                  <c:v>3</c:v>
                </c:pt>
                <c:pt idx="31">
                  <c:v>3.5999999999999943</c:v>
                </c:pt>
                <c:pt idx="32">
                  <c:v>4.4000000000000057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97-4605-A918-6D34F7448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63904"/>
        <c:axId val="154964480"/>
      </c:scatterChart>
      <c:valAx>
        <c:axId val="154963904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2448021270068553"/>
              <c:y val="0.860808858746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54964480"/>
        <c:crossesAt val="-10"/>
        <c:crossBetween val="midCat"/>
        <c:majorUnit val="20"/>
      </c:valAx>
      <c:valAx>
        <c:axId val="15496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4.1666700753314925E-2"/>
              <c:y val="0.32967143705576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54963904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IL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Gas Gauge Temperature Tolerance</a:t>
            </a:r>
          </a:p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(calibrated @ 25°C)</a:t>
            </a:r>
          </a:p>
        </c:rich>
      </c:tx>
      <c:layout>
        <c:manualLayout>
          <c:xMode val="edge"/>
          <c:yMode val="edge"/>
          <c:x val="0.20312555758116441"/>
          <c:y val="3.6630074525355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4902914898261"/>
          <c:y val="0.26277419090405296"/>
          <c:w val="0.7167496304812957"/>
          <c:h val="0.48540232486443075"/>
        </c:manualLayout>
      </c:layout>
      <c:scatterChart>
        <c:scatterStyle val="lineMarker"/>
        <c:varyColors val="0"/>
        <c:ser>
          <c:idx val="1"/>
          <c:order val="0"/>
          <c:tx>
            <c:strRef>
              <c:f>Digital!$AR$4</c:f>
              <c:strCache>
                <c:ptCount val="1"/>
                <c:pt idx="0">
                  <c:v>Error nom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xVal>
          <c:yVal>
            <c:numRef>
              <c:f>Digital!$AR$5:$AR$35</c:f>
              <c:numCache>
                <c:formatCode>0.0</c:formatCode>
                <c:ptCount val="31"/>
                <c:pt idx="0">
                  <c:v>18.200000000000003</c:v>
                </c:pt>
                <c:pt idx="1">
                  <c:v>15.900000000000006</c:v>
                </c:pt>
                <c:pt idx="2">
                  <c:v>14.3</c:v>
                </c:pt>
                <c:pt idx="3">
                  <c:v>13.500000000000004</c:v>
                </c:pt>
                <c:pt idx="4">
                  <c:v>13.500000000000004</c:v>
                </c:pt>
                <c:pt idx="5">
                  <c:v>14</c:v>
                </c:pt>
                <c:pt idx="6">
                  <c:v>15</c:v>
                </c:pt>
                <c:pt idx="7">
                  <c:v>16.100000000000001</c:v>
                </c:pt>
                <c:pt idx="8">
                  <c:v>17</c:v>
                </c:pt>
                <c:pt idx="9">
                  <c:v>17.5</c:v>
                </c:pt>
                <c:pt idx="10">
                  <c:v>17.5</c:v>
                </c:pt>
                <c:pt idx="11">
                  <c:v>16.900000000000002</c:v>
                </c:pt>
                <c:pt idx="12">
                  <c:v>16</c:v>
                </c:pt>
                <c:pt idx="13">
                  <c:v>15</c:v>
                </c:pt>
                <c:pt idx="14">
                  <c:v>14.3</c:v>
                </c:pt>
                <c:pt idx="15">
                  <c:v>13.799999999999997</c:v>
                </c:pt>
                <c:pt idx="16">
                  <c:v>13.799999999999997</c:v>
                </c:pt>
                <c:pt idx="17">
                  <c:v>14.100000000000001</c:v>
                </c:pt>
                <c:pt idx="18">
                  <c:v>14.599999999999994</c:v>
                </c:pt>
                <c:pt idx="19">
                  <c:v>15.200000000000003</c:v>
                </c:pt>
                <c:pt idx="20">
                  <c:v>15.700000000000003</c:v>
                </c:pt>
                <c:pt idx="21">
                  <c:v>16</c:v>
                </c:pt>
                <c:pt idx="22">
                  <c:v>16.200000000000003</c:v>
                </c:pt>
                <c:pt idx="23">
                  <c:v>16.200000000000003</c:v>
                </c:pt>
                <c:pt idx="24">
                  <c:v>16.099999999999994</c:v>
                </c:pt>
                <c:pt idx="25">
                  <c:v>15.899999999999991</c:v>
                </c:pt>
                <c:pt idx="26">
                  <c:v>15.599999999999994</c:v>
                </c:pt>
                <c:pt idx="27">
                  <c:v>15.299999999999997</c:v>
                </c:pt>
                <c:pt idx="28">
                  <c:v>15.099999999999994</c:v>
                </c:pt>
                <c:pt idx="29">
                  <c:v>15</c:v>
                </c:pt>
                <c:pt idx="3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74-445A-8832-F53832469FEC}"/>
            </c:ext>
          </c:extLst>
        </c:ser>
        <c:ser>
          <c:idx val="4"/>
          <c:order val="1"/>
          <c:tx>
            <c:strRef>
              <c:f>Digital!$AU$4</c:f>
              <c:strCache>
                <c:ptCount val="1"/>
                <c:pt idx="0">
                  <c:v>Error min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xVal>
          <c:yVal>
            <c:numRef>
              <c:f>Digital!$AU$5:$AU$35</c:f>
              <c:numCache>
                <c:formatCode>0.00</c:formatCode>
                <c:ptCount val="31"/>
                <c:pt idx="0">
                  <c:v>17.700000000000003</c:v>
                </c:pt>
                <c:pt idx="1">
                  <c:v>15.599999999999994</c:v>
                </c:pt>
                <c:pt idx="2">
                  <c:v>14.2</c:v>
                </c:pt>
                <c:pt idx="3">
                  <c:v>13.2</c:v>
                </c:pt>
                <c:pt idx="4">
                  <c:v>12.999999999999996</c:v>
                </c:pt>
                <c:pt idx="5">
                  <c:v>13.400000000000002</c:v>
                </c:pt>
                <c:pt idx="6">
                  <c:v>14.399999999999999</c:v>
                </c:pt>
                <c:pt idx="7">
                  <c:v>15.5</c:v>
                </c:pt>
                <c:pt idx="8">
                  <c:v>16.399999999999999</c:v>
                </c:pt>
                <c:pt idx="9">
                  <c:v>17.100000000000001</c:v>
                </c:pt>
                <c:pt idx="10">
                  <c:v>17.2</c:v>
                </c:pt>
                <c:pt idx="11">
                  <c:v>16.7</c:v>
                </c:pt>
                <c:pt idx="12">
                  <c:v>15.899999999999999</c:v>
                </c:pt>
                <c:pt idx="13">
                  <c:v>15</c:v>
                </c:pt>
                <c:pt idx="14">
                  <c:v>14</c:v>
                </c:pt>
                <c:pt idx="15">
                  <c:v>13.399999999999999</c:v>
                </c:pt>
                <c:pt idx="16">
                  <c:v>13.200000000000003</c:v>
                </c:pt>
                <c:pt idx="17">
                  <c:v>13.299999999999997</c:v>
                </c:pt>
                <c:pt idx="18">
                  <c:v>13.599999999999994</c:v>
                </c:pt>
                <c:pt idx="19">
                  <c:v>14.099999999999994</c:v>
                </c:pt>
                <c:pt idx="20">
                  <c:v>14.5</c:v>
                </c:pt>
                <c:pt idx="21">
                  <c:v>14.799999999999997</c:v>
                </c:pt>
                <c:pt idx="22">
                  <c:v>15</c:v>
                </c:pt>
                <c:pt idx="23">
                  <c:v>15</c:v>
                </c:pt>
                <c:pt idx="24">
                  <c:v>14.799999999999997</c:v>
                </c:pt>
                <c:pt idx="25">
                  <c:v>14.5</c:v>
                </c:pt>
                <c:pt idx="26">
                  <c:v>14.100000000000009</c:v>
                </c:pt>
                <c:pt idx="27">
                  <c:v>13.700000000000003</c:v>
                </c:pt>
                <c:pt idx="28">
                  <c:v>13.299999999999997</c:v>
                </c:pt>
                <c:pt idx="29">
                  <c:v>13</c:v>
                </c:pt>
                <c:pt idx="30">
                  <c:v>12.900000000000006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74-445A-8832-F53832469FEC}"/>
            </c:ext>
          </c:extLst>
        </c:ser>
        <c:ser>
          <c:idx val="5"/>
          <c:order val="2"/>
          <c:tx>
            <c:strRef>
              <c:f>Digital!$AV$4</c:f>
              <c:strCache>
                <c:ptCount val="1"/>
                <c:pt idx="0">
                  <c:v>Error max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xVal>
          <c:yVal>
            <c:numRef>
              <c:f>Digital!$AV$5:$AV$35</c:f>
              <c:numCache>
                <c:formatCode>0.00</c:formatCode>
                <c:ptCount val="31"/>
                <c:pt idx="0">
                  <c:v>18.5</c:v>
                </c:pt>
                <c:pt idx="1">
                  <c:v>16</c:v>
                </c:pt>
                <c:pt idx="2">
                  <c:v>14.3</c:v>
                </c:pt>
                <c:pt idx="3">
                  <c:v>13.7</c:v>
                </c:pt>
                <c:pt idx="4">
                  <c:v>13.8</c:v>
                </c:pt>
                <c:pt idx="5">
                  <c:v>14.5</c:v>
                </c:pt>
                <c:pt idx="6">
                  <c:v>15.5</c:v>
                </c:pt>
                <c:pt idx="7">
                  <c:v>16.599999999999998</c:v>
                </c:pt>
                <c:pt idx="8">
                  <c:v>17.399999999999999</c:v>
                </c:pt>
                <c:pt idx="9">
                  <c:v>17.799999999999997</c:v>
                </c:pt>
                <c:pt idx="10">
                  <c:v>17.600000000000001</c:v>
                </c:pt>
                <c:pt idx="11">
                  <c:v>16.899999999999999</c:v>
                </c:pt>
                <c:pt idx="12">
                  <c:v>16</c:v>
                </c:pt>
                <c:pt idx="13">
                  <c:v>15</c:v>
                </c:pt>
                <c:pt idx="14">
                  <c:v>14.399999999999999</c:v>
                </c:pt>
                <c:pt idx="15">
                  <c:v>14.099999999999994</c:v>
                </c:pt>
                <c:pt idx="16">
                  <c:v>14.299999999999997</c:v>
                </c:pt>
                <c:pt idx="17">
                  <c:v>14.799999999999997</c:v>
                </c:pt>
                <c:pt idx="18">
                  <c:v>15.400000000000006</c:v>
                </c:pt>
                <c:pt idx="19">
                  <c:v>16.099999999999994</c:v>
                </c:pt>
                <c:pt idx="20">
                  <c:v>16.700000000000003</c:v>
                </c:pt>
                <c:pt idx="21">
                  <c:v>17.099999999999994</c:v>
                </c:pt>
                <c:pt idx="22">
                  <c:v>17.299999999999997</c:v>
                </c:pt>
                <c:pt idx="23">
                  <c:v>17.400000000000006</c:v>
                </c:pt>
                <c:pt idx="24">
                  <c:v>17.299999999999997</c:v>
                </c:pt>
                <c:pt idx="25">
                  <c:v>17.100000000000009</c:v>
                </c:pt>
                <c:pt idx="26">
                  <c:v>17</c:v>
                </c:pt>
                <c:pt idx="27">
                  <c:v>16.799999999999997</c:v>
                </c:pt>
                <c:pt idx="28">
                  <c:v>16.799999999999997</c:v>
                </c:pt>
                <c:pt idx="29">
                  <c:v>16.900000000000006</c:v>
                </c:pt>
                <c:pt idx="30">
                  <c:v>17.200000000000003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74-445A-8832-F53832469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67360"/>
        <c:axId val="155623424"/>
      </c:scatterChart>
      <c:valAx>
        <c:axId val="154967360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2448030203121201"/>
              <c:y val="0.860808858746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55623424"/>
        <c:crossesAt val="-10"/>
        <c:crossBetween val="midCat"/>
        <c:majorUnit val="20"/>
      </c:valAx>
      <c:valAx>
        <c:axId val="15562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4.1666602019575144E-2"/>
              <c:y val="0.32967143705576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54967360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IL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Thermistor Temp. Error</a:t>
            </a:r>
          </a:p>
        </c:rich>
      </c:tx>
      <c:layout>
        <c:manualLayout>
          <c:xMode val="edge"/>
          <c:yMode val="edge"/>
          <c:x val="0.30468845144356982"/>
          <c:y val="3.67647770965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50024108916162"/>
          <c:y val="0.21402252584201642"/>
          <c:w val="0.53500065307696909"/>
          <c:h val="0.54612644525204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Thermistor!$W$4</c:f>
              <c:strCache>
                <c:ptCount val="1"/>
                <c:pt idx="0">
                  <c:v>Min Err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xVal>
          <c:yVal>
            <c:numRef>
              <c:f>Thermistor!$W$5:$W$35</c:f>
              <c:numCache>
                <c:formatCode>0.00%</c:formatCode>
                <c:ptCount val="31"/>
                <c:pt idx="0">
                  <c:v>-8.6155580153932654E-2</c:v>
                </c:pt>
                <c:pt idx="1">
                  <c:v>-8.2828543737807681E-2</c:v>
                </c:pt>
                <c:pt idx="2">
                  <c:v>-7.9607497367077285E-2</c:v>
                </c:pt>
                <c:pt idx="3">
                  <c:v>-7.648750738701704E-2</c:v>
                </c:pt>
                <c:pt idx="4">
                  <c:v>-7.3464643669184593E-2</c:v>
                </c:pt>
                <c:pt idx="5">
                  <c:v>-7.0534531251129517E-2</c:v>
                </c:pt>
                <c:pt idx="6">
                  <c:v>-6.7693141682796276E-2</c:v>
                </c:pt>
                <c:pt idx="7">
                  <c:v>-6.4936699940082998E-2</c:v>
                </c:pt>
                <c:pt idx="8">
                  <c:v>-6.2261634418747325E-2</c:v>
                </c:pt>
                <c:pt idx="9">
                  <c:v>-5.9664513071187253E-2</c:v>
                </c:pt>
                <c:pt idx="10">
                  <c:v>-5.7142240844429981E-2</c:v>
                </c:pt>
                <c:pt idx="11">
                  <c:v>-5.4691588283061976E-2</c:v>
                </c:pt>
                <c:pt idx="12">
                  <c:v>-5.231199183766766E-2</c:v>
                </c:pt>
                <c:pt idx="13">
                  <c:v>-4.9999999999999933E-2</c:v>
                </c:pt>
                <c:pt idx="14">
                  <c:v>-5.2242628469430286E-2</c:v>
                </c:pt>
                <c:pt idx="15">
                  <c:v>-5.4412932882750842E-2</c:v>
                </c:pt>
                <c:pt idx="16">
                  <c:v>-5.6515312032844656E-2</c:v>
                </c:pt>
                <c:pt idx="17">
                  <c:v>-5.8551452069840693E-2</c:v>
                </c:pt>
                <c:pt idx="18">
                  <c:v>-6.0526243031738702E-2</c:v>
                </c:pt>
                <c:pt idx="19">
                  <c:v>-6.2440437039170904E-2</c:v>
                </c:pt>
                <c:pt idx="20">
                  <c:v>-6.4297731037123329E-2</c:v>
                </c:pt>
                <c:pt idx="21">
                  <c:v>-6.6100176386413967E-2</c:v>
                </c:pt>
                <c:pt idx="22">
                  <c:v>-6.7850106426314616E-2</c:v>
                </c:pt>
                <c:pt idx="23">
                  <c:v>-6.9549314780193883E-2</c:v>
                </c:pt>
                <c:pt idx="24">
                  <c:v>-7.1200978939404469E-2</c:v>
                </c:pt>
                <c:pt idx="25">
                  <c:v>-7.2806886588362207E-2</c:v>
                </c:pt>
                <c:pt idx="26">
                  <c:v>-7.4369889949935097E-2</c:v>
                </c:pt>
                <c:pt idx="27">
                  <c:v>-7.5895056412926376E-2</c:v>
                </c:pt>
                <c:pt idx="28">
                  <c:v>-7.7367616044008991E-2</c:v>
                </c:pt>
                <c:pt idx="29">
                  <c:v>-7.8805280596078831E-2</c:v>
                </c:pt>
                <c:pt idx="30">
                  <c:v>-8.0202138089468078E-2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D2-460E-9EFC-346ADF2D6226}"/>
            </c:ext>
          </c:extLst>
        </c:ser>
        <c:ser>
          <c:idx val="2"/>
          <c:order val="1"/>
          <c:tx>
            <c:strRef>
              <c:f>Thermistor!$X$4</c:f>
              <c:strCache>
                <c:ptCount val="1"/>
                <c:pt idx="0">
                  <c:v>Max Err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xVal>
          <c:yVal>
            <c:numRef>
              <c:f>Thermistor!$X$5:$X$35</c:f>
              <c:numCache>
                <c:formatCode>0.00%</c:formatCode>
                <c:ptCount val="31"/>
                <c:pt idx="0">
                  <c:v>9.1542475214791086E-2</c:v>
                </c:pt>
                <c:pt idx="1">
                  <c:v>8.7582908505653201E-2</c:v>
                </c:pt>
                <c:pt idx="2">
                  <c:v>8.3776755184879814E-2</c:v>
                </c:pt>
                <c:pt idx="3">
                  <c:v>8.0115329222754994E-2</c:v>
                </c:pt>
                <c:pt idx="4">
                  <c:v>7.6591403862033003E-2</c:v>
                </c:pt>
                <c:pt idx="5">
                  <c:v>7.3197481282128329E-2</c:v>
                </c:pt>
                <c:pt idx="6">
                  <c:v>6.9926699671038151E-2</c:v>
                </c:pt>
                <c:pt idx="7">
                  <c:v>6.6772698635571004E-2</c:v>
                </c:pt>
                <c:pt idx="8">
                  <c:v>6.3729539722633177E-2</c:v>
                </c:pt>
                <c:pt idx="9">
                  <c:v>6.0791615190329162E-2</c:v>
                </c:pt>
                <c:pt idx="10">
                  <c:v>5.7953853923170762E-2</c:v>
                </c:pt>
                <c:pt idx="11">
                  <c:v>5.5211175142584112E-2</c:v>
                </c:pt>
                <c:pt idx="12">
                  <c:v>5.2561593487141733E-2</c:v>
                </c:pt>
                <c:pt idx="13">
                  <c:v>5.0000000000000044E-2</c:v>
                </c:pt>
                <c:pt idx="14">
                  <c:v>5.2484559828956057E-2</c:v>
                </c:pt>
                <c:pt idx="15">
                  <c:v>5.4900214573592176E-2</c:v>
                </c:pt>
                <c:pt idx="16">
                  <c:v>5.7250862384663037E-2</c:v>
                </c:pt>
                <c:pt idx="17">
                  <c:v>5.9537456606708394E-2</c:v>
                </c:pt>
                <c:pt idx="18">
                  <c:v>6.1764623653770334E-2</c:v>
                </c:pt>
                <c:pt idx="19">
                  <c:v>6.3932404304936075E-2</c:v>
                </c:pt>
                <c:pt idx="20">
                  <c:v>6.6044224842608745E-2</c:v>
                </c:pt>
                <c:pt idx="21">
                  <c:v>6.8101711530817344E-2</c:v>
                </c:pt>
                <c:pt idx="22">
                  <c:v>7.0106864654325696E-2</c:v>
                </c:pt>
                <c:pt idx="23">
                  <c:v>7.2061116021806315E-2</c:v>
                </c:pt>
                <c:pt idx="24">
                  <c:v>7.3967540212256155E-2</c:v>
                </c:pt>
                <c:pt idx="25">
                  <c:v>7.5827662621074987E-2</c:v>
                </c:pt>
                <c:pt idx="26">
                  <c:v>7.7644287031726211E-2</c:v>
                </c:pt>
                <c:pt idx="27">
                  <c:v>7.9422858758909864E-2</c:v>
                </c:pt>
                <c:pt idx="28">
                  <c:v>8.1145662504277016E-2</c:v>
                </c:pt>
                <c:pt idx="29">
                  <c:v>8.2832954845261764E-2</c:v>
                </c:pt>
                <c:pt idx="30">
                  <c:v>8.4477406729422055E-2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D2-460E-9EFC-346ADF2D6226}"/>
            </c:ext>
          </c:extLst>
        </c:ser>
        <c:ser>
          <c:idx val="3"/>
          <c:order val="2"/>
          <c:tx>
            <c:strRef>
              <c:f>Thermistor!$Z$4</c:f>
              <c:strCache>
                <c:ptCount val="1"/>
                <c:pt idx="0">
                  <c:v>Tol min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xVal>
          <c:yVal>
            <c:numRef>
              <c:f>Thermistor!$Z$5:$Z$35</c:f>
              <c:numCache>
                <c:formatCode>0.00</c:formatCode>
                <c:ptCount val="31"/>
                <c:pt idx="0">
                  <c:v>-1.2224539202657922</c:v>
                </c:pt>
                <c:pt idx="1">
                  <c:v>-1.2148504629714694</c:v>
                </c:pt>
                <c:pt idx="2">
                  <c:v>-1.2062131473414865</c:v>
                </c:pt>
                <c:pt idx="3">
                  <c:v>-1.1970671469569822</c:v>
                </c:pt>
                <c:pt idx="4">
                  <c:v>-1.186745505637731</c:v>
                </c:pt>
                <c:pt idx="5">
                  <c:v>-1.1756693419855822</c:v>
                </c:pt>
                <c:pt idx="6">
                  <c:v>-1.1640864381078018</c:v>
                </c:pt>
                <c:pt idx="7">
                  <c:v>-1.1521834383882492</c:v>
                </c:pt>
                <c:pt idx="8">
                  <c:v>-1.1401431411088652</c:v>
                </c:pt>
                <c:pt idx="9">
                  <c:v>-1.1282426814263999</c:v>
                </c:pt>
                <c:pt idx="10">
                  <c:v>-1.1164470193170928</c:v>
                </c:pt>
                <c:pt idx="11">
                  <c:v>-1.1053128435305553</c:v>
                </c:pt>
                <c:pt idx="12">
                  <c:v>-1.090104586482596</c:v>
                </c:pt>
                <c:pt idx="13">
                  <c:v>-1.0721522342302023</c:v>
                </c:pt>
                <c:pt idx="14">
                  <c:v>-1.1556631641525428</c:v>
                </c:pt>
                <c:pt idx="15">
                  <c:v>-1.2398271555051679</c:v>
                </c:pt>
                <c:pt idx="16">
                  <c:v>-1.3274090774376646</c:v>
                </c:pt>
                <c:pt idx="17">
                  <c:v>-1.4151212097115717</c:v>
                </c:pt>
                <c:pt idx="18">
                  <c:v>-1.5080833224513412</c:v>
                </c:pt>
                <c:pt idx="19">
                  <c:v>-1.6013234096925544</c:v>
                </c:pt>
                <c:pt idx="20">
                  <c:v>-1.6978419839241496</c:v>
                </c:pt>
                <c:pt idx="21">
                  <c:v>-1.7966940837134757</c:v>
                </c:pt>
                <c:pt idx="22">
                  <c:v>-1.8980274138621667</c:v>
                </c:pt>
                <c:pt idx="23">
                  <c:v>-2.0007293837937254</c:v>
                </c:pt>
                <c:pt idx="24">
                  <c:v>-2.1082506928616453</c:v>
                </c:pt>
                <c:pt idx="25">
                  <c:v>-2.2203054512447693</c:v>
                </c:pt>
                <c:pt idx="26">
                  <c:v>-2.3404234525562515</c:v>
                </c:pt>
                <c:pt idx="27">
                  <c:v>-2.4804127273393419</c:v>
                </c:pt>
                <c:pt idx="28">
                  <c:v>-2.5839671346752766</c:v>
                </c:pt>
                <c:pt idx="29">
                  <c:v>-2.7060169464718342</c:v>
                </c:pt>
                <c:pt idx="30">
                  <c:v>-2.8204072370286895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D2-460E-9EFC-346ADF2D6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25152"/>
        <c:axId val="155625728"/>
      </c:scatterChart>
      <c:scatterChart>
        <c:scatterStyle val="lineMarker"/>
        <c:varyColors val="0"/>
        <c:ser>
          <c:idx val="4"/>
          <c:order val="3"/>
          <c:tx>
            <c:strRef>
              <c:f>Thermistor!$AA$4</c:f>
              <c:strCache>
                <c:ptCount val="1"/>
                <c:pt idx="0">
                  <c:v>Tol max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-25</c:v>
                </c:pt>
                <c:pt idx="7">
                  <c:v>-20</c:v>
                </c:pt>
                <c:pt idx="8">
                  <c:v>-15</c:v>
                </c:pt>
                <c:pt idx="9">
                  <c:v>-10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50</c:v>
                </c:pt>
                <c:pt idx="22">
                  <c:v>55</c:v>
                </c:pt>
                <c:pt idx="23">
                  <c:v>60</c:v>
                </c:pt>
                <c:pt idx="24">
                  <c:v>65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</c:numCache>
            </c:numRef>
          </c:xVal>
          <c:yVal>
            <c:numRef>
              <c:f>Thermistor!$AA$5:$AA$35</c:f>
              <c:numCache>
                <c:formatCode>0.00</c:formatCode>
                <c:ptCount val="31"/>
                <c:pt idx="0">
                  <c:v>1.17813479695414</c:v>
                </c:pt>
                <c:pt idx="1">
                  <c:v>1.1723678309366505</c:v>
                </c:pt>
                <c:pt idx="2">
                  <c:v>1.1658654008834333</c:v>
                </c:pt>
                <c:pt idx="3">
                  <c:v>1.1580915196719275</c:v>
                </c:pt>
                <c:pt idx="4">
                  <c:v>1.149705280869199</c:v>
                </c:pt>
                <c:pt idx="5">
                  <c:v>1.1402732085246896</c:v>
                </c:pt>
                <c:pt idx="6">
                  <c:v>1.1295347408008922</c:v>
                </c:pt>
                <c:pt idx="7">
                  <c:v>1.1172899213188714</c:v>
                </c:pt>
                <c:pt idx="8">
                  <c:v>1.1033420313324314</c:v>
                </c:pt>
                <c:pt idx="9">
                  <c:v>1.0873989514142295</c:v>
                </c:pt>
                <c:pt idx="10">
                  <c:v>1.0694820827919784</c:v>
                </c:pt>
                <c:pt idx="11">
                  <c:v>1.0490172105581337</c:v>
                </c:pt>
                <c:pt idx="12">
                  <c:v>1.030758058075719</c:v>
                </c:pt>
                <c:pt idx="13">
                  <c:v>1.0133558961025528</c:v>
                </c:pt>
                <c:pt idx="14">
                  <c:v>1.0956482120326996</c:v>
                </c:pt>
                <c:pt idx="15">
                  <c:v>1.1814542945498943</c:v>
                </c:pt>
                <c:pt idx="16">
                  <c:v>1.2681202913687457</c:v>
                </c:pt>
                <c:pt idx="17">
                  <c:v>1.3588385400707921</c:v>
                </c:pt>
                <c:pt idx="18">
                  <c:v>1.448687610609511</c:v>
                </c:pt>
                <c:pt idx="19">
                  <c:v>1.5424793198451994</c:v>
                </c:pt>
                <c:pt idx="20">
                  <c:v>1.6373385098626727</c:v>
                </c:pt>
                <c:pt idx="21">
                  <c:v>1.7341917279231325</c:v>
                </c:pt>
                <c:pt idx="22">
                  <c:v>1.8329123821392272</c:v>
                </c:pt>
                <c:pt idx="23">
                  <c:v>1.9345830479265942</c:v>
                </c:pt>
                <c:pt idx="24">
                  <c:v>2.0359071870900038</c:v>
                </c:pt>
                <c:pt idx="25">
                  <c:v>2.1371783691621431</c:v>
                </c:pt>
                <c:pt idx="26">
                  <c:v>2.2350370384407938</c:v>
                </c:pt>
                <c:pt idx="27">
                  <c:v>2.318219771138331</c:v>
                </c:pt>
                <c:pt idx="28">
                  <c:v>2.4405729226290305</c:v>
                </c:pt>
                <c:pt idx="29">
                  <c:v>2.5495803678492166</c:v>
                </c:pt>
                <c:pt idx="30">
                  <c:v>2.6702358493766951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D2-460E-9EFC-346ADF2D6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26304"/>
        <c:axId val="155626880"/>
      </c:scatterChart>
      <c:valAx>
        <c:axId val="155625152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5937585301837288"/>
              <c:y val="0.860294234438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55625728"/>
        <c:crossesAt val="0"/>
        <c:crossBetween val="midCat"/>
        <c:majorUnit val="20"/>
      </c:valAx>
      <c:valAx>
        <c:axId val="155625728"/>
        <c:scaling>
          <c:orientation val="minMax"/>
          <c:max val="0.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Resistance Error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28676487394795269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55625152"/>
        <c:crossesAt val="-40"/>
        <c:crossBetween val="midCat"/>
      </c:valAx>
      <c:valAx>
        <c:axId val="15562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626880"/>
        <c:crosses val="autoZero"/>
        <c:crossBetween val="midCat"/>
      </c:valAx>
      <c:valAx>
        <c:axId val="155626880"/>
        <c:scaling>
          <c:orientation val="minMax"/>
          <c:max val="1.4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0.82500104986876632"/>
              <c:y val="0.302583413235707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3366FF"/>
                </a:solidFill>
                <a:latin typeface="Arial"/>
                <a:ea typeface="Arial"/>
                <a:cs typeface="Arial"/>
              </a:defRPr>
            </a:pPr>
            <a:endParaRPr lang="en-IL"/>
          </a:p>
        </c:txPr>
        <c:crossAx val="155626304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IL"/>
    </a:p>
  </c:txPr>
  <c:printSettings>
    <c:headerFooter alignWithMargins="0"/>
    <c:pageMargins b="1" l="0.75000000000000056" r="0.75000000000000056" t="1" header="0.5" footer="0.5"/>
    <c:pageSetup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0</xdr:colOff>
      <xdr:row>17</xdr:row>
      <xdr:rowOff>0</xdr:rowOff>
    </xdr:to>
    <xdr:graphicFrame macro="">
      <xdr:nvGraphicFramePr>
        <xdr:cNvPr id="3442" name="Chart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0</xdr:colOff>
      <xdr:row>33</xdr:row>
      <xdr:rowOff>0</xdr:rowOff>
    </xdr:to>
    <xdr:graphicFrame macro="">
      <xdr:nvGraphicFramePr>
        <xdr:cNvPr id="3443" name="Chart 5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17</xdr:row>
      <xdr:rowOff>0</xdr:rowOff>
    </xdr:from>
    <xdr:to>
      <xdr:col>20</xdr:col>
      <xdr:colOff>0</xdr:colOff>
      <xdr:row>33</xdr:row>
      <xdr:rowOff>0</xdr:rowOff>
    </xdr:to>
    <xdr:graphicFrame macro="">
      <xdr:nvGraphicFramePr>
        <xdr:cNvPr id="3444" name="Chart 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9525</xdr:colOff>
      <xdr:row>33</xdr:row>
      <xdr:rowOff>9525</xdr:rowOff>
    </xdr:to>
    <xdr:graphicFrame macro="">
      <xdr:nvGraphicFramePr>
        <xdr:cNvPr id="3445" name="Chart 67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590550</xdr:colOff>
      <xdr:row>16</xdr:row>
      <xdr:rowOff>142875</xdr:rowOff>
    </xdr:from>
    <xdr:to>
      <xdr:col>20</xdr:col>
      <xdr:colOff>180975</xdr:colOff>
      <xdr:row>32</xdr:row>
      <xdr:rowOff>152400</xdr:rowOff>
    </xdr:to>
    <xdr:graphicFrame macro="">
      <xdr:nvGraphicFramePr>
        <xdr:cNvPr id="3446" name="Chart 68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20</xdr:col>
      <xdr:colOff>142875</xdr:colOff>
      <xdr:row>16</xdr:row>
      <xdr:rowOff>152400</xdr:rowOff>
    </xdr:to>
    <xdr:graphicFrame macro="">
      <xdr:nvGraphicFramePr>
        <xdr:cNvPr id="3447" name="Chart 13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</xdr:colOff>
      <xdr:row>40</xdr:row>
      <xdr:rowOff>9525</xdr:rowOff>
    </xdr:from>
    <xdr:to>
      <xdr:col>6</xdr:col>
      <xdr:colOff>438150</xdr:colOff>
      <xdr:row>59</xdr:row>
      <xdr:rowOff>114300</xdr:rowOff>
    </xdr:to>
    <xdr:pic>
      <xdr:nvPicPr>
        <xdr:cNvPr id="3448" name="Picture 139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" y="6543675"/>
          <a:ext cx="3810000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41</xdr:row>
      <xdr:rowOff>12247</xdr:rowOff>
    </xdr:from>
    <xdr:to>
      <xdr:col>27</xdr:col>
      <xdr:colOff>9525</xdr:colOff>
      <xdr:row>44</xdr:row>
      <xdr:rowOff>156543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15573375" y="5838825"/>
          <a:ext cx="14097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calculating tolerance using Steinberg Stein formula and Therm min/max values</a:t>
          </a:r>
        </a:p>
      </xdr:txBody>
    </xdr:sp>
    <xdr:clientData/>
  </xdr:twoCellAnchor>
  <xdr:twoCellAnchor>
    <xdr:from>
      <xdr:col>21</xdr:col>
      <xdr:colOff>600075</xdr:colOff>
      <xdr:row>41</xdr:row>
      <xdr:rowOff>12247</xdr:rowOff>
    </xdr:from>
    <xdr:to>
      <xdr:col>24</xdr:col>
      <xdr:colOff>28575</xdr:colOff>
      <xdr:row>43</xdr:row>
      <xdr:rowOff>155121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13725525" y="5838825"/>
          <a:ext cx="1257300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Resistance Error</a:t>
          </a:r>
        </a:p>
      </xdr:txBody>
    </xdr:sp>
    <xdr:clientData/>
  </xdr:twoCellAnchor>
  <xdr:twoCellAnchor>
    <xdr:from>
      <xdr:col>6</xdr:col>
      <xdr:colOff>28575</xdr:colOff>
      <xdr:row>40</xdr:row>
      <xdr:rowOff>145596</xdr:rowOff>
    </xdr:from>
    <xdr:to>
      <xdr:col>7</xdr:col>
      <xdr:colOff>581025</xdr:colOff>
      <xdr:row>43</xdr:row>
      <xdr:rowOff>155121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3914775" y="5810250"/>
          <a:ext cx="1257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Steinberg-Stein calculated temperature error</a:t>
          </a:r>
        </a:p>
      </xdr:txBody>
    </xdr:sp>
    <xdr:clientData/>
  </xdr:twoCellAnchor>
  <xdr:twoCellAnchor>
    <xdr:from>
      <xdr:col>9</xdr:col>
      <xdr:colOff>600075</xdr:colOff>
      <xdr:row>41</xdr:row>
      <xdr:rowOff>2722</xdr:rowOff>
    </xdr:from>
    <xdr:to>
      <xdr:col>14</xdr:col>
      <xdr:colOff>0</xdr:colOff>
      <xdr:row>44</xdr:row>
      <xdr:rowOff>2825</xdr:rowOff>
    </xdr:to>
    <xdr:sp macro="" textlink="">
      <xdr:nvSpPr>
        <xdr:cNvPr id="1099" name="Text Box 75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6410325" y="5829300"/>
          <a:ext cx="24479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BETA calculation using Steinberg-Stein 1st order.</a:t>
          </a:r>
        </a:p>
      </xdr:txBody>
    </xdr:sp>
    <xdr:clientData/>
  </xdr:twoCellAnchor>
  <xdr:twoCellAnchor>
    <xdr:from>
      <xdr:col>17</xdr:col>
      <xdr:colOff>485775</xdr:colOff>
      <xdr:row>44</xdr:row>
      <xdr:rowOff>78922</xdr:rowOff>
    </xdr:from>
    <xdr:to>
      <xdr:col>21</xdr:col>
      <xdr:colOff>447675</xdr:colOff>
      <xdr:row>47</xdr:row>
      <xdr:rowOff>84524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11172825" y="640080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R_T=R_N*(1±ThermTol)*EXP(</a:t>
          </a:r>
          <a:r>
            <a:rPr lang="el-GR" sz="1000" b="0" i="0" strike="noStrike">
              <a:solidFill>
                <a:srgbClr val="000000"/>
              </a:solidFill>
              <a:latin typeface="Arial"/>
              <a:cs typeface="Arial"/>
            </a:rPr>
            <a:t>β(1±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betaTol)*(T_N-T)/(T_N*T)</a:t>
          </a:r>
        </a:p>
      </xdr:txBody>
    </xdr:sp>
    <xdr:clientData/>
  </xdr:twoCellAnchor>
  <xdr:twoCellAnchor>
    <xdr:from>
      <xdr:col>10</xdr:col>
      <xdr:colOff>0</xdr:colOff>
      <xdr:row>44</xdr:row>
      <xdr:rowOff>31297</xdr:rowOff>
    </xdr:from>
    <xdr:to>
      <xdr:col>14</xdr:col>
      <xdr:colOff>9525</xdr:colOff>
      <xdr:row>47</xdr:row>
      <xdr:rowOff>36899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6419850" y="6353175"/>
          <a:ext cx="24479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strike="noStrike">
              <a:solidFill>
                <a:srgbClr val="000000"/>
              </a:solidFill>
              <a:latin typeface="Arial"/>
              <a:cs typeface="Arial"/>
            </a:rPr>
            <a:t>β=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T*T_0/(T_0-T)*ln(R_T/R_T0)</a:t>
          </a:r>
        </a:p>
      </xdr:txBody>
    </xdr:sp>
    <xdr:clientData/>
  </xdr:twoCellAnchor>
  <xdr:twoCellAnchor>
    <xdr:from>
      <xdr:col>17</xdr:col>
      <xdr:colOff>466725</xdr:colOff>
      <xdr:row>41</xdr:row>
      <xdr:rowOff>2722</xdr:rowOff>
    </xdr:from>
    <xdr:to>
      <xdr:col>21</xdr:col>
      <xdr:colOff>447675</xdr:colOff>
      <xdr:row>44</xdr:row>
      <xdr:rowOff>2825</xdr:rowOff>
    </xdr:to>
    <xdr:sp macro="" textlink="">
      <xdr:nvSpPr>
        <xdr:cNvPr id="1103" name="Text Box 79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11153775" y="5829300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53</xdr:row>
          <xdr:rowOff>28575</xdr:rowOff>
        </xdr:from>
        <xdr:to>
          <xdr:col>5</xdr:col>
          <xdr:colOff>523875</xdr:colOff>
          <xdr:row>55</xdr:row>
          <xdr:rowOff>95250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65</xdr:row>
          <xdr:rowOff>66675</xdr:rowOff>
        </xdr:from>
        <xdr:to>
          <xdr:col>6</xdr:col>
          <xdr:colOff>209550</xdr:colOff>
          <xdr:row>67</xdr:row>
          <xdr:rowOff>133350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44</xdr:row>
      <xdr:rowOff>31750</xdr:rowOff>
    </xdr:from>
    <xdr:to>
      <xdr:col>14</xdr:col>
      <xdr:colOff>561975</xdr:colOff>
      <xdr:row>47</xdr:row>
      <xdr:rowOff>41275</xdr:rowOff>
    </xdr:to>
    <xdr:sp macro="" textlink="">
      <xdr:nvSpPr>
        <xdr:cNvPr id="4099" name="Text Box 1027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6696075" y="634365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R_T=R_N*(1±Rtol)*(1±TempDrift(T-T_0))</a:t>
          </a:r>
        </a:p>
      </xdr:txBody>
    </xdr:sp>
    <xdr:clientData/>
  </xdr:twoCellAnchor>
  <xdr:twoCellAnchor>
    <xdr:from>
      <xdr:col>10</xdr:col>
      <xdr:colOff>600075</xdr:colOff>
      <xdr:row>41</xdr:row>
      <xdr:rowOff>12700</xdr:rowOff>
    </xdr:from>
    <xdr:to>
      <xdr:col>14</xdr:col>
      <xdr:colOff>581025</xdr:colOff>
      <xdr:row>44</xdr:row>
      <xdr:rowOff>22225</xdr:rowOff>
    </xdr:to>
    <xdr:sp macro="" textlink="">
      <xdr:nvSpPr>
        <xdr:cNvPr id="4100" name="Text Box 1028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6696075" y="5838825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xdr:twoCellAnchor>
    <xdr:from>
      <xdr:col>19</xdr:col>
      <xdr:colOff>28575</xdr:colOff>
      <xdr:row>44</xdr:row>
      <xdr:rowOff>69850</xdr:rowOff>
    </xdr:from>
    <xdr:to>
      <xdr:col>22</xdr:col>
      <xdr:colOff>600075</xdr:colOff>
      <xdr:row>47</xdr:row>
      <xdr:rowOff>79375</xdr:rowOff>
    </xdr:to>
    <xdr:sp macro="" textlink="">
      <xdr:nvSpPr>
        <xdr:cNvPr id="4101" name="Text Box 1029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 txBox="1">
          <a:spLocks noChangeArrowheads="1"/>
        </xdr:cNvSpPr>
      </xdr:nvSpPr>
      <xdr:spPr bwMode="auto">
        <a:xfrm>
          <a:off x="11610975" y="638175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R_T=R_N*(1±Rtol)*(1±TempDrift(T-T_0))</a:t>
          </a:r>
        </a:p>
      </xdr:txBody>
    </xdr:sp>
    <xdr:clientData/>
  </xdr:twoCellAnchor>
  <xdr:twoCellAnchor>
    <xdr:from>
      <xdr:col>19</xdr:col>
      <xdr:colOff>28575</xdr:colOff>
      <xdr:row>41</xdr:row>
      <xdr:rowOff>41275</xdr:rowOff>
    </xdr:from>
    <xdr:to>
      <xdr:col>23</xdr:col>
      <xdr:colOff>9525</xdr:colOff>
      <xdr:row>44</xdr:row>
      <xdr:rowOff>50800</xdr:rowOff>
    </xdr:to>
    <xdr:sp macro="" textlink="">
      <xdr:nvSpPr>
        <xdr:cNvPr id="4102" name="Text Box 1030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 txBox="1">
          <a:spLocks noChangeArrowheads="1"/>
        </xdr:cNvSpPr>
      </xdr:nvSpPr>
      <xdr:spPr bwMode="auto">
        <a:xfrm>
          <a:off x="11610975" y="5867400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xdr:twoCellAnchor>
    <xdr:from>
      <xdr:col>26</xdr:col>
      <xdr:colOff>257175</xdr:colOff>
      <xdr:row>45</xdr:row>
      <xdr:rowOff>107950</xdr:rowOff>
    </xdr:from>
    <xdr:to>
      <xdr:col>30</xdr:col>
      <xdr:colOff>66675</xdr:colOff>
      <xdr:row>48</xdr:row>
      <xdr:rowOff>79375</xdr:rowOff>
    </xdr:to>
    <xdr:sp macro="" textlink="">
      <xdr:nvSpPr>
        <xdr:cNvPr id="4105" name="Text Box 1033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 txBox="1">
          <a:spLocks noChangeArrowheads="1"/>
        </xdr:cNvSpPr>
      </xdr:nvSpPr>
      <xdr:spPr bwMode="auto">
        <a:xfrm>
          <a:off x="16106775" y="6581775"/>
          <a:ext cx="24003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Vout/Vin=(RTH+RPAD)/(RTH+RPAD+T+THERM)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38100</xdr:colOff>
      <xdr:row>44</xdr:row>
      <xdr:rowOff>107950</xdr:rowOff>
    </xdr:from>
    <xdr:to>
      <xdr:col>9</xdr:col>
      <xdr:colOff>28575</xdr:colOff>
      <xdr:row>52</xdr:row>
      <xdr:rowOff>69873</xdr:rowOff>
    </xdr:to>
    <xdr:sp macro="" textlink="">
      <xdr:nvSpPr>
        <xdr:cNvPr id="4106" name="Text Box 1034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 txBox="1">
          <a:spLocks noChangeArrowheads="1"/>
        </xdr:cNvSpPr>
      </xdr:nvSpPr>
      <xdr:spPr bwMode="auto">
        <a:xfrm>
          <a:off x="4305300" y="6419850"/>
          <a:ext cx="1209675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Simple linear temperature  derating 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41</xdr:row>
      <xdr:rowOff>12700</xdr:rowOff>
    </xdr:from>
    <xdr:to>
      <xdr:col>11</xdr:col>
      <xdr:colOff>581025</xdr:colOff>
      <xdr:row>45</xdr:row>
      <xdr:rowOff>12700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 txBox="1">
          <a:spLocks noChangeArrowheads="1"/>
        </xdr:cNvSpPr>
      </xdr:nvSpPr>
      <xdr:spPr bwMode="auto">
        <a:xfrm>
          <a:off x="5486400" y="5838825"/>
          <a:ext cx="18002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effective resolution in AD count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41</xdr:row>
      <xdr:rowOff>12247</xdr:rowOff>
    </xdr:from>
    <xdr:to>
      <xdr:col>14</xdr:col>
      <xdr:colOff>809625</xdr:colOff>
      <xdr:row>48</xdr:row>
      <xdr:rowOff>145597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SpPr txBox="1">
          <a:spLocks noChangeArrowheads="1"/>
        </xdr:cNvSpPr>
      </xdr:nvSpPr>
      <xdr:spPr bwMode="auto">
        <a:xfrm>
          <a:off x="10210800" y="5838825"/>
          <a:ext cx="14287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Use BETA to calculate RTHERM for T-0.1degC: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R_T=R_T0*EXP((BETA(T0-T)/(T*T0)))</a:t>
          </a:r>
        </a:p>
      </xdr:txBody>
    </xdr:sp>
    <xdr:clientData/>
  </xdr:twoCellAnchor>
  <xdr:twoCellAnchor>
    <xdr:from>
      <xdr:col>16</xdr:col>
      <xdr:colOff>9525</xdr:colOff>
      <xdr:row>41</xdr:row>
      <xdr:rowOff>12247</xdr:rowOff>
    </xdr:from>
    <xdr:to>
      <xdr:col>17</xdr:col>
      <xdr:colOff>219075</xdr:colOff>
      <xdr:row>48</xdr:row>
      <xdr:rowOff>145597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400-0000031C0000}"/>
            </a:ext>
          </a:extLst>
        </xdr:cNvPr>
        <xdr:cNvSpPr txBox="1">
          <a:spLocks noChangeArrowheads="1"/>
        </xdr:cNvSpPr>
      </xdr:nvSpPr>
      <xdr:spPr bwMode="auto">
        <a:xfrm>
          <a:off x="12287250" y="5838825"/>
          <a:ext cx="10477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minumum LSB for 0.1degC resolution</a:t>
          </a:r>
        </a:p>
      </xdr:txBody>
    </xdr:sp>
    <xdr:clientData/>
  </xdr:twoCellAnchor>
  <xdr:twoCellAnchor>
    <xdr:from>
      <xdr:col>29</xdr:col>
      <xdr:colOff>0</xdr:colOff>
      <xdr:row>43</xdr:row>
      <xdr:rowOff>156482</xdr:rowOff>
    </xdr:from>
    <xdr:to>
      <xdr:col>33</xdr:col>
      <xdr:colOff>361950</xdr:colOff>
      <xdr:row>50</xdr:row>
      <xdr:rowOff>88520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400-0000051C0000}"/>
            </a:ext>
          </a:extLst>
        </xdr:cNvPr>
        <xdr:cNvSpPr txBox="1">
          <a:spLocks noChangeArrowheads="1"/>
        </xdr:cNvSpPr>
      </xdr:nvSpPr>
      <xdr:spPr bwMode="auto">
        <a:xfrm>
          <a:off x="23174325" y="6315075"/>
          <a:ext cx="3381375" cy="1057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polynomial regression 3rd order for B coeffictients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b3x^3 + b2x^2 + b1x + m = y</a:t>
          </a:r>
        </a:p>
      </xdr:txBody>
    </xdr:sp>
    <xdr:clientData/>
  </xdr:twoCellAnchor>
  <xdr:twoCellAnchor>
    <xdr:from>
      <xdr:col>19</xdr:col>
      <xdr:colOff>9525</xdr:colOff>
      <xdr:row>44</xdr:row>
      <xdr:rowOff>2722</xdr:rowOff>
    </xdr:from>
    <xdr:to>
      <xdr:col>23</xdr:col>
      <xdr:colOff>828675</xdr:colOff>
      <xdr:row>51</xdr:row>
      <xdr:rowOff>136072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400-0000061C0000}"/>
            </a:ext>
          </a:extLst>
        </xdr:cNvPr>
        <xdr:cNvSpPr txBox="1">
          <a:spLocks noChangeArrowheads="1"/>
        </xdr:cNvSpPr>
      </xdr:nvSpPr>
      <xdr:spPr bwMode="auto">
        <a:xfrm>
          <a:off x="14801850" y="6324600"/>
          <a:ext cx="41719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polynomial regression 4th order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A4x^4+A3*x^3+A2*x^2+A1*x+A0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AJ296"/>
  <sheetViews>
    <sheetView tabSelected="1" topLeftCell="A4" zoomScale="130" zoomScaleNormal="130" workbookViewId="0">
      <selection activeCell="F19" sqref="F19"/>
    </sheetView>
  </sheetViews>
  <sheetFormatPr defaultRowHeight="12.75" x14ac:dyDescent="0.2"/>
  <cols>
    <col min="1" max="1" width="0.85546875" customWidth="1"/>
    <col min="2" max="2" width="10.85546875" customWidth="1"/>
    <col min="3" max="3" width="8.28515625" customWidth="1"/>
    <col min="4" max="4" width="11" customWidth="1"/>
    <col min="6" max="6" width="10.7109375" customWidth="1"/>
    <col min="7" max="7" width="9.7109375" bestFit="1" customWidth="1"/>
    <col min="8" max="8" width="1.140625" customWidth="1"/>
    <col min="20" max="20" width="9.28515625" customWidth="1"/>
    <col min="21" max="21" width="4.140625" customWidth="1"/>
    <col min="22" max="22" width="3.85546875" customWidth="1"/>
    <col min="27" max="28" width="9.42578125" bestFit="1" customWidth="1"/>
    <col min="31" max="31" width="9.5703125" bestFit="1" customWidth="1"/>
    <col min="34" max="34" width="9.28515625" bestFit="1" customWidth="1"/>
  </cols>
  <sheetData>
    <row r="1" spans="2:36" ht="15" customHeight="1" thickBot="1" x14ac:dyDescent="0.25">
      <c r="B1" s="33" t="s">
        <v>157</v>
      </c>
      <c r="L1" s="59" t="s">
        <v>156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2:36" x14ac:dyDescent="0.2">
      <c r="B2" s="16" t="s">
        <v>78</v>
      </c>
      <c r="C2" s="17"/>
      <c r="D2" s="17"/>
      <c r="E2" s="17"/>
      <c r="F2" s="24" t="s">
        <v>79</v>
      </c>
      <c r="G2" s="18"/>
      <c r="AA2" s="20"/>
      <c r="AB2" s="20"/>
      <c r="AC2" s="20"/>
      <c r="AD2" s="20"/>
      <c r="AE2" s="20"/>
      <c r="AF2" s="20"/>
      <c r="AG2" s="20"/>
      <c r="AH2" s="26"/>
      <c r="AI2" s="20"/>
      <c r="AJ2" s="20"/>
    </row>
    <row r="3" spans="2:36" x14ac:dyDescent="0.2">
      <c r="B3" s="19" t="s">
        <v>74</v>
      </c>
      <c r="C3" s="20"/>
      <c r="D3" s="80">
        <v>-55</v>
      </c>
      <c r="E3" s="20"/>
      <c r="F3" s="20" t="s">
        <v>56</v>
      </c>
      <c r="G3" s="21" t="s">
        <v>57</v>
      </c>
      <c r="AA3" s="20"/>
      <c r="AB3" s="20"/>
      <c r="AC3" s="20"/>
      <c r="AD3" s="20"/>
      <c r="AE3" s="20"/>
      <c r="AF3" s="20"/>
      <c r="AG3" s="20"/>
      <c r="AH3" s="26"/>
      <c r="AI3" s="20"/>
      <c r="AJ3" s="20"/>
    </row>
    <row r="4" spans="2:36" x14ac:dyDescent="0.2">
      <c r="B4" s="19" t="s">
        <v>75</v>
      </c>
      <c r="C4" s="20"/>
      <c r="D4" s="81">
        <v>105</v>
      </c>
      <c r="E4" s="20"/>
      <c r="F4" s="82">
        <v>-55</v>
      </c>
      <c r="G4" s="80">
        <v>963849</v>
      </c>
      <c r="AA4" s="20"/>
      <c r="AB4" s="20"/>
      <c r="AC4" s="20"/>
      <c r="AD4" s="20"/>
      <c r="AE4" s="20"/>
      <c r="AF4" s="20"/>
      <c r="AG4" s="20"/>
      <c r="AH4" s="26"/>
      <c r="AI4" s="20"/>
      <c r="AJ4" s="20"/>
    </row>
    <row r="5" spans="2:36" x14ac:dyDescent="0.2">
      <c r="B5" s="19"/>
      <c r="C5" s="20"/>
      <c r="D5" s="20"/>
      <c r="E5" s="20"/>
      <c r="F5" s="82">
        <v>-50</v>
      </c>
      <c r="G5" s="80">
        <v>670166</v>
      </c>
      <c r="AA5" s="20"/>
      <c r="AB5" s="20"/>
      <c r="AC5" s="20"/>
      <c r="AD5" s="20"/>
      <c r="AE5" s="20"/>
      <c r="AF5" s="20"/>
      <c r="AG5" s="20"/>
      <c r="AH5" s="26"/>
      <c r="AI5" s="20"/>
      <c r="AJ5" s="20"/>
    </row>
    <row r="6" spans="2:36" x14ac:dyDescent="0.2">
      <c r="B6" s="25" t="s">
        <v>72</v>
      </c>
      <c r="C6" s="20"/>
      <c r="D6" s="20"/>
      <c r="E6" s="20"/>
      <c r="F6" s="82">
        <v>-45</v>
      </c>
      <c r="G6" s="80">
        <v>471985</v>
      </c>
      <c r="AA6" s="20"/>
      <c r="AB6" s="20"/>
      <c r="AC6" s="20"/>
      <c r="AD6" s="20"/>
      <c r="AE6" s="20"/>
      <c r="AF6" s="20"/>
      <c r="AG6" s="20"/>
      <c r="AH6" s="26"/>
      <c r="AI6" s="20"/>
      <c r="AJ6" s="20"/>
    </row>
    <row r="7" spans="2:36" x14ac:dyDescent="0.2">
      <c r="B7" s="19" t="s">
        <v>0</v>
      </c>
      <c r="C7" s="20"/>
      <c r="D7" s="83">
        <v>0.05</v>
      </c>
      <c r="E7" s="20"/>
      <c r="F7" s="82">
        <v>-40</v>
      </c>
      <c r="G7" s="80">
        <v>336479</v>
      </c>
      <c r="AA7" s="20"/>
      <c r="AB7" s="20"/>
      <c r="AC7" s="20"/>
      <c r="AD7" s="20"/>
      <c r="AE7" s="20"/>
      <c r="AF7" s="20"/>
      <c r="AG7" s="20"/>
      <c r="AH7" s="26"/>
      <c r="AI7" s="20"/>
      <c r="AJ7" s="20"/>
    </row>
    <row r="8" spans="2:36" x14ac:dyDescent="0.2">
      <c r="B8" s="19"/>
      <c r="C8" s="20"/>
      <c r="D8" s="20"/>
      <c r="E8" s="20"/>
      <c r="F8" s="82">
        <v>-35</v>
      </c>
      <c r="G8" s="80">
        <v>242681</v>
      </c>
      <c r="AA8" s="20"/>
      <c r="AB8" s="20"/>
      <c r="AC8" s="20"/>
      <c r="AD8" s="20"/>
      <c r="AE8" s="20"/>
      <c r="AF8" s="20"/>
      <c r="AG8" s="20"/>
      <c r="AH8" s="26"/>
      <c r="AI8" s="20"/>
      <c r="AJ8" s="20"/>
    </row>
    <row r="9" spans="2:36" x14ac:dyDescent="0.2">
      <c r="B9" s="19" t="s">
        <v>1</v>
      </c>
      <c r="C9" s="20"/>
      <c r="D9" s="83">
        <v>0.01</v>
      </c>
      <c r="E9" s="20"/>
      <c r="F9" s="82">
        <v>-30</v>
      </c>
      <c r="G9" s="80">
        <v>176973.99999999997</v>
      </c>
      <c r="AA9" s="20"/>
      <c r="AB9" s="20"/>
      <c r="AC9" s="20"/>
      <c r="AD9" s="20"/>
      <c r="AE9" s="20"/>
      <c r="AF9" s="20"/>
      <c r="AG9" s="20"/>
      <c r="AH9" s="26"/>
      <c r="AI9" s="20"/>
      <c r="AJ9" s="20"/>
    </row>
    <row r="10" spans="2:36" x14ac:dyDescent="0.2">
      <c r="B10" s="19"/>
      <c r="C10" s="20"/>
      <c r="D10" s="20"/>
      <c r="E10" s="20"/>
      <c r="F10" s="82">
        <v>-25</v>
      </c>
      <c r="G10" s="80">
        <v>130421</v>
      </c>
      <c r="AA10" s="20"/>
      <c r="AB10" s="20"/>
      <c r="AC10" s="20"/>
      <c r="AD10" s="20"/>
      <c r="AE10" s="20"/>
      <c r="AF10" s="20"/>
      <c r="AG10" s="20"/>
      <c r="AH10" s="26"/>
      <c r="AI10" s="20"/>
      <c r="AJ10" s="20"/>
    </row>
    <row r="11" spans="2:36" x14ac:dyDescent="0.2">
      <c r="B11" s="25" t="s">
        <v>71</v>
      </c>
      <c r="C11" s="20"/>
      <c r="D11" s="20"/>
      <c r="E11" s="20"/>
      <c r="F11" s="82">
        <v>-20</v>
      </c>
      <c r="G11" s="80">
        <v>97081</v>
      </c>
      <c r="AA11" s="20"/>
      <c r="AB11" s="20"/>
      <c r="AC11" s="20"/>
      <c r="AD11" s="20"/>
      <c r="AE11" s="20"/>
      <c r="AF11" s="20"/>
      <c r="AG11" s="20"/>
      <c r="AH11" s="26"/>
      <c r="AI11" s="20"/>
      <c r="AJ11" s="20"/>
    </row>
    <row r="12" spans="2:36" x14ac:dyDescent="0.2">
      <c r="B12" s="19" t="s">
        <v>30</v>
      </c>
      <c r="C12" s="20"/>
      <c r="D12" s="84">
        <v>18000</v>
      </c>
      <c r="E12" s="20"/>
      <c r="F12" s="82">
        <v>-15</v>
      </c>
      <c r="G12" s="80">
        <v>72957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2:36" x14ac:dyDescent="0.2">
      <c r="B13" s="19"/>
      <c r="C13" s="20"/>
      <c r="D13" s="20"/>
      <c r="E13" s="20"/>
      <c r="F13" s="82">
        <v>-10</v>
      </c>
      <c r="G13" s="80">
        <v>55329</v>
      </c>
      <c r="Z13" s="20"/>
      <c r="AA13" s="20"/>
      <c r="AB13" s="20"/>
      <c r="AC13" s="20"/>
      <c r="AD13" s="20"/>
    </row>
    <row r="14" spans="2:36" x14ac:dyDescent="0.2">
      <c r="B14" s="19" t="s">
        <v>0</v>
      </c>
      <c r="C14" s="20"/>
      <c r="D14" s="85">
        <v>0.01</v>
      </c>
      <c r="E14" s="20"/>
      <c r="F14" s="82">
        <v>-5</v>
      </c>
      <c r="G14" s="80">
        <v>42327</v>
      </c>
      <c r="Z14" s="20"/>
      <c r="AA14" s="20"/>
      <c r="AB14" s="20"/>
      <c r="AC14" s="20"/>
      <c r="AD14" s="20"/>
    </row>
    <row r="15" spans="2:36" x14ac:dyDescent="0.2">
      <c r="B15" s="19"/>
      <c r="C15" s="20"/>
      <c r="D15" s="20"/>
      <c r="E15" s="20"/>
      <c r="F15" s="82">
        <v>0</v>
      </c>
      <c r="G15" s="80">
        <v>32650</v>
      </c>
      <c r="Z15" s="20"/>
      <c r="AA15" s="20"/>
      <c r="AB15" s="20"/>
      <c r="AC15" s="20"/>
      <c r="AD15" s="20"/>
    </row>
    <row r="16" spans="2:36" x14ac:dyDescent="0.2">
      <c r="B16" s="19" t="s">
        <v>3</v>
      </c>
      <c r="C16" s="20"/>
      <c r="D16" s="85">
        <v>0</v>
      </c>
      <c r="E16" s="20"/>
      <c r="F16" s="82">
        <v>5</v>
      </c>
      <c r="G16" s="80">
        <v>25392</v>
      </c>
      <c r="Z16" s="20"/>
      <c r="AA16" s="20"/>
      <c r="AB16" s="20"/>
      <c r="AC16" s="20"/>
      <c r="AD16" s="20"/>
    </row>
    <row r="17" spans="2:36" x14ac:dyDescent="0.2">
      <c r="B17" s="19"/>
      <c r="C17" s="20"/>
      <c r="D17" s="20"/>
      <c r="E17" s="20"/>
      <c r="F17" s="82">
        <v>10</v>
      </c>
      <c r="G17" s="80">
        <v>19901</v>
      </c>
      <c r="Z17" s="20"/>
      <c r="AA17" s="20"/>
      <c r="AB17" s="20"/>
      <c r="AC17" s="20"/>
      <c r="AD17" s="20"/>
    </row>
    <row r="18" spans="2:36" x14ac:dyDescent="0.2">
      <c r="B18" s="25" t="s">
        <v>73</v>
      </c>
      <c r="C18" s="20"/>
      <c r="D18" s="20"/>
      <c r="E18" s="20"/>
      <c r="F18" s="82">
        <v>15</v>
      </c>
      <c r="G18" s="80">
        <v>15712</v>
      </c>
      <c r="Z18" s="20"/>
      <c r="AA18" s="20"/>
      <c r="AB18" s="20"/>
      <c r="AC18" s="20"/>
      <c r="AD18" s="20"/>
    </row>
    <row r="19" spans="2:36" x14ac:dyDescent="0.2">
      <c r="B19" s="19" t="s">
        <v>30</v>
      </c>
      <c r="C19" s="20"/>
      <c r="D19" s="86">
        <v>0</v>
      </c>
      <c r="E19" s="20"/>
      <c r="F19" s="82">
        <v>20</v>
      </c>
      <c r="G19" s="80">
        <v>12493</v>
      </c>
      <c r="Z19" s="20"/>
      <c r="AA19" s="20"/>
      <c r="AB19" s="20"/>
      <c r="AC19" s="20"/>
      <c r="AD19" s="20"/>
    </row>
    <row r="20" spans="2:36" x14ac:dyDescent="0.2">
      <c r="B20" s="19"/>
      <c r="C20" s="20"/>
      <c r="D20" s="20"/>
      <c r="E20" s="20"/>
      <c r="F20" s="82">
        <v>25</v>
      </c>
      <c r="G20" s="80">
        <v>10000</v>
      </c>
      <c r="Z20" s="20"/>
      <c r="AA20" s="20"/>
      <c r="AB20" s="20"/>
      <c r="AC20" s="20"/>
      <c r="AD20" s="20"/>
    </row>
    <row r="21" spans="2:36" x14ac:dyDescent="0.2">
      <c r="B21" s="19" t="s">
        <v>0</v>
      </c>
      <c r="C21" s="20"/>
      <c r="D21" s="85">
        <v>0.01</v>
      </c>
      <c r="E21" s="20"/>
      <c r="F21" s="82">
        <v>30</v>
      </c>
      <c r="G21" s="80">
        <v>8057</v>
      </c>
      <c r="Z21" s="20"/>
      <c r="AA21" s="20"/>
      <c r="AB21" s="20"/>
      <c r="AC21" s="20"/>
      <c r="AD21" s="20"/>
    </row>
    <row r="22" spans="2:36" x14ac:dyDescent="0.2">
      <c r="B22" s="19"/>
      <c r="C22" s="20"/>
      <c r="D22" s="29"/>
      <c r="E22" s="20"/>
      <c r="F22" s="82">
        <v>35</v>
      </c>
      <c r="G22" s="80">
        <v>6531</v>
      </c>
      <c r="Z22" s="20"/>
      <c r="AA22" s="20"/>
      <c r="AB22" s="20"/>
      <c r="AC22" s="20"/>
      <c r="AD22" s="20"/>
    </row>
    <row r="23" spans="2:36" x14ac:dyDescent="0.2">
      <c r="B23" s="19" t="s">
        <v>3</v>
      </c>
      <c r="C23" s="20"/>
      <c r="D23" s="85">
        <v>2E-3</v>
      </c>
      <c r="E23" s="20"/>
      <c r="F23" s="82">
        <v>40</v>
      </c>
      <c r="G23" s="80">
        <v>5326</v>
      </c>
      <c r="Z23" s="20"/>
      <c r="AA23" s="20"/>
      <c r="AB23" s="20"/>
      <c r="AC23" s="20"/>
      <c r="AD23" s="20"/>
    </row>
    <row r="24" spans="2:36" x14ac:dyDescent="0.2">
      <c r="B24" s="19"/>
      <c r="C24" s="20"/>
      <c r="D24" s="20"/>
      <c r="E24" s="20"/>
      <c r="F24" s="82">
        <v>45</v>
      </c>
      <c r="G24" s="80">
        <v>4368</v>
      </c>
      <c r="Z24" s="20"/>
      <c r="AA24" s="20"/>
      <c r="AB24" s="20"/>
      <c r="AC24" s="20"/>
      <c r="AD24" s="20"/>
    </row>
    <row r="25" spans="2:36" x14ac:dyDescent="0.2">
      <c r="B25" s="25" t="s">
        <v>54</v>
      </c>
      <c r="C25" s="20"/>
      <c r="D25" s="20"/>
      <c r="E25" s="20"/>
      <c r="F25" s="82">
        <v>50</v>
      </c>
      <c r="G25" s="80">
        <v>3602</v>
      </c>
      <c r="Z25" s="20"/>
      <c r="AA25" s="20"/>
      <c r="AB25" s="20"/>
      <c r="AC25" s="20"/>
      <c r="AD25" s="20"/>
    </row>
    <row r="26" spans="2:36" x14ac:dyDescent="0.2">
      <c r="B26" s="19" t="s">
        <v>55</v>
      </c>
      <c r="C26" s="20"/>
      <c r="D26" s="80">
        <v>25</v>
      </c>
      <c r="E26" s="20"/>
      <c r="F26" s="82">
        <v>55</v>
      </c>
      <c r="G26" s="80">
        <v>2985.9999999999995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6" x14ac:dyDescent="0.2">
      <c r="B27" s="19"/>
      <c r="C27" s="20"/>
      <c r="D27" s="20"/>
      <c r="E27" s="20"/>
      <c r="F27" s="82">
        <v>60</v>
      </c>
      <c r="G27" s="80">
        <v>2488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2:36" x14ac:dyDescent="0.2">
      <c r="B28" s="19"/>
      <c r="C28" s="20"/>
      <c r="D28" s="20"/>
      <c r="E28" s="20"/>
      <c r="F28" s="82">
        <v>65</v>
      </c>
      <c r="G28" s="80">
        <v>2083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2:36" ht="13.5" thickBot="1" x14ac:dyDescent="0.25">
      <c r="B29" s="25" t="s">
        <v>110</v>
      </c>
      <c r="C29" s="43"/>
      <c r="D29" s="43" t="s">
        <v>109</v>
      </c>
      <c r="E29" s="20"/>
      <c r="F29" s="82">
        <v>70</v>
      </c>
      <c r="G29" s="80">
        <v>1752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2:36" x14ac:dyDescent="0.2">
      <c r="B30" s="48" t="s">
        <v>129</v>
      </c>
      <c r="C30" s="49">
        <f ca="1">Digital!R42</f>
        <v>-28356</v>
      </c>
      <c r="D30" s="50" t="s">
        <v>134</v>
      </c>
      <c r="E30" s="51">
        <f ca="1">Digital!Z43</f>
        <v>-4757</v>
      </c>
      <c r="F30" s="82">
        <v>75</v>
      </c>
      <c r="G30" s="80">
        <v>1480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2:36" x14ac:dyDescent="0.2">
      <c r="B31" s="46" t="s">
        <v>130</v>
      </c>
      <c r="C31" s="87">
        <f ca="1">Digital!R43</f>
        <v>48907</v>
      </c>
      <c r="D31" s="88" t="s">
        <v>135</v>
      </c>
      <c r="E31" s="52">
        <f ca="1">Digital!Z44</f>
        <v>9368</v>
      </c>
      <c r="F31" s="82">
        <v>80</v>
      </c>
      <c r="G31" s="80">
        <v>1255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2:36" x14ac:dyDescent="0.2">
      <c r="B32" s="46" t="s">
        <v>131</v>
      </c>
      <c r="C32" s="87">
        <f ca="1">Digital!R44</f>
        <v>-34015</v>
      </c>
      <c r="D32" s="79" t="s">
        <v>136</v>
      </c>
      <c r="E32" s="52">
        <f ca="1">Digital!Z45</f>
        <v>-9589</v>
      </c>
      <c r="F32" s="82">
        <v>85</v>
      </c>
      <c r="G32" s="80">
        <v>1070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36" x14ac:dyDescent="0.2">
      <c r="B33" s="46" t="s">
        <v>132</v>
      </c>
      <c r="C33" s="87">
        <f ca="1">Digital!R45</f>
        <v>32121</v>
      </c>
      <c r="D33" s="79" t="s">
        <v>137</v>
      </c>
      <c r="E33" s="52">
        <f ca="1">Digital!Z46</f>
        <v>6511</v>
      </c>
      <c r="F33" s="47">
        <v>90</v>
      </c>
      <c r="G33" s="80">
        <v>915.50000000000011</v>
      </c>
      <c r="J33" t="s">
        <v>29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1:36" ht="13.5" customHeight="1" thickBot="1" x14ac:dyDescent="0.25">
      <c r="B34" s="53" t="s">
        <v>133</v>
      </c>
      <c r="C34" s="54">
        <f ca="1">Digital!R46</f>
        <v>252</v>
      </c>
      <c r="D34" s="55"/>
      <c r="E34" s="56"/>
      <c r="F34" s="47">
        <v>95</v>
      </c>
      <c r="G34" s="80">
        <v>786.6</v>
      </c>
      <c r="I34" s="90" t="s">
        <v>158</v>
      </c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B35" s="19"/>
      <c r="C35" s="8"/>
      <c r="D35" s="20"/>
      <c r="E35" s="20"/>
      <c r="F35" s="47">
        <v>100</v>
      </c>
      <c r="G35" s="80">
        <v>678.6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1:36" x14ac:dyDescent="0.2">
      <c r="B36" s="19"/>
      <c r="C36" s="8"/>
      <c r="D36" s="20"/>
      <c r="E36" s="20"/>
      <c r="F36" s="47">
        <v>105</v>
      </c>
      <c r="G36" s="80">
        <v>587.6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6" x14ac:dyDescent="0.2">
      <c r="B37" s="19"/>
      <c r="C37" s="8"/>
      <c r="D37" s="20"/>
      <c r="E37" s="20"/>
      <c r="F37" s="47"/>
      <c r="G37" s="8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36" x14ac:dyDescent="0.2">
      <c r="B38" s="19"/>
      <c r="C38" s="8"/>
      <c r="D38" s="20"/>
      <c r="E38" s="20"/>
      <c r="F38" s="79"/>
      <c r="G38" s="89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x14ac:dyDescent="0.2">
      <c r="B39" s="19"/>
      <c r="C39" s="8"/>
      <c r="D39" s="20"/>
      <c r="E39" s="20"/>
      <c r="F39" s="79"/>
      <c r="G39" s="89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ht="13.5" thickBot="1" x14ac:dyDescent="0.25">
      <c r="B40" s="22"/>
      <c r="C40" s="23"/>
      <c r="D40" s="23"/>
      <c r="E40" s="23"/>
      <c r="F40" s="23"/>
      <c r="G40" s="27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.75" x14ac:dyDescent="0.25">
      <c r="J41" s="57" t="s">
        <v>123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" x14ac:dyDescent="0.2">
      <c r="J42" s="58" t="s">
        <v>155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15" x14ac:dyDescent="0.2">
      <c r="A43" s="20"/>
      <c r="B43" s="43"/>
      <c r="C43" s="20"/>
      <c r="D43" s="20"/>
      <c r="E43" s="20"/>
      <c r="J43" s="58" t="s">
        <v>124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ht="15" x14ac:dyDescent="0.2">
      <c r="A44" s="20"/>
      <c r="B44" s="20"/>
      <c r="C44" s="20"/>
      <c r="D44" s="20"/>
      <c r="E44" s="20"/>
      <c r="J44" s="58" t="s">
        <v>125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ht="15" x14ac:dyDescent="0.2">
      <c r="A45" s="20"/>
      <c r="B45" s="43"/>
      <c r="C45" s="20"/>
      <c r="D45" s="20"/>
      <c r="E45" s="20"/>
      <c r="J45" s="58" t="s">
        <v>126</v>
      </c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6" ht="15" x14ac:dyDescent="0.2">
      <c r="A46" s="20"/>
      <c r="B46" s="20"/>
      <c r="C46" s="20"/>
      <c r="D46" s="20"/>
      <c r="E46" s="20"/>
      <c r="J46" s="58" t="s">
        <v>127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" x14ac:dyDescent="0.2">
      <c r="A47" s="20"/>
      <c r="B47" s="44"/>
      <c r="C47" s="44"/>
      <c r="D47" s="8"/>
      <c r="E47" s="20"/>
      <c r="J47" s="58" t="s">
        <v>128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1:36" x14ac:dyDescent="0.2">
      <c r="A48" s="20"/>
      <c r="B48" s="44"/>
      <c r="C48" s="44"/>
      <c r="D48" s="8"/>
      <c r="E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x14ac:dyDescent="0.2">
      <c r="A49" s="20"/>
      <c r="B49" s="44"/>
      <c r="C49" s="44"/>
      <c r="D49" s="8"/>
      <c r="E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 x14ac:dyDescent="0.2">
      <c r="A50" s="20"/>
      <c r="B50" s="44"/>
      <c r="C50" s="44"/>
      <c r="D50" s="8"/>
      <c r="E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x14ac:dyDescent="0.2">
      <c r="A51" s="20"/>
      <c r="B51" s="44"/>
      <c r="C51" s="44"/>
      <c r="D51" s="8"/>
      <c r="E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x14ac:dyDescent="0.2">
      <c r="A52" s="20"/>
      <c r="B52" s="44"/>
      <c r="C52" s="44"/>
      <c r="D52" s="8"/>
      <c r="E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x14ac:dyDescent="0.2">
      <c r="A53" s="20"/>
      <c r="B53" s="44"/>
      <c r="C53" s="44"/>
      <c r="D53" s="34"/>
      <c r="E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x14ac:dyDescent="0.2">
      <c r="A54" s="20"/>
      <c r="B54" s="20"/>
      <c r="C54" s="20"/>
      <c r="D54" s="20"/>
      <c r="E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x14ac:dyDescent="0.2"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x14ac:dyDescent="0.2"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x14ac:dyDescent="0.2"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x14ac:dyDescent="0.2"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x14ac:dyDescent="0.2"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2"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2"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2"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2"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2"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27:36" x14ac:dyDescent="0.2"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27:36" x14ac:dyDescent="0.2"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27:36" x14ac:dyDescent="0.2"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27:36" x14ac:dyDescent="0.2"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27:36" x14ac:dyDescent="0.2"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27:36" x14ac:dyDescent="0.2"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27:36" x14ac:dyDescent="0.2"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27:36" x14ac:dyDescent="0.2"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27:36" x14ac:dyDescent="0.2"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27:36" x14ac:dyDescent="0.2">
      <c r="AA74" s="20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27:36" x14ac:dyDescent="0.2">
      <c r="AA75" s="20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27:36" x14ac:dyDescent="0.2">
      <c r="AA76" s="20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27:36" x14ac:dyDescent="0.2">
      <c r="AA77" s="20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27:36" x14ac:dyDescent="0.2">
      <c r="AA78" s="20"/>
      <c r="AB78" s="20"/>
      <c r="AC78" s="20"/>
      <c r="AD78" s="20"/>
      <c r="AE78" s="20"/>
      <c r="AF78" s="20"/>
      <c r="AG78" s="20"/>
      <c r="AH78" s="20"/>
      <c r="AI78" s="20"/>
      <c r="AJ78" s="20"/>
    </row>
    <row r="79" spans="27:36" x14ac:dyDescent="0.2">
      <c r="AA79" s="20"/>
      <c r="AB79" s="20"/>
      <c r="AC79" s="20"/>
      <c r="AD79" s="20"/>
      <c r="AE79" s="20"/>
      <c r="AF79" s="20"/>
      <c r="AG79" s="20"/>
      <c r="AH79" s="20"/>
      <c r="AI79" s="20"/>
      <c r="AJ79" s="20"/>
    </row>
    <row r="80" spans="27:36" x14ac:dyDescent="0.2">
      <c r="AA80" s="20"/>
      <c r="AB80" s="20"/>
      <c r="AC80" s="20"/>
      <c r="AD80" s="20"/>
      <c r="AE80" s="20"/>
      <c r="AF80" s="20"/>
      <c r="AG80" s="20"/>
      <c r="AH80" s="20"/>
      <c r="AI80" s="20"/>
      <c r="AJ80" s="20"/>
    </row>
    <row r="81" spans="27:36" x14ac:dyDescent="0.2">
      <c r="AA81" s="20"/>
      <c r="AB81" s="20"/>
      <c r="AC81" s="20"/>
      <c r="AD81" s="20"/>
      <c r="AE81" s="20"/>
      <c r="AF81" s="20"/>
      <c r="AG81" s="20"/>
      <c r="AH81" s="20"/>
      <c r="AI81" s="20"/>
      <c r="AJ81" s="20"/>
    </row>
    <row r="82" spans="27:36" x14ac:dyDescent="0.2">
      <c r="AA82" s="20"/>
      <c r="AB82" s="20"/>
      <c r="AC82" s="20"/>
      <c r="AD82" s="20"/>
      <c r="AE82" s="20"/>
      <c r="AF82" s="20"/>
      <c r="AG82" s="20"/>
      <c r="AH82" s="20"/>
      <c r="AI82" s="20"/>
      <c r="AJ82" s="20"/>
    </row>
    <row r="83" spans="27:36" x14ac:dyDescent="0.2">
      <c r="AA83" s="20"/>
      <c r="AB83" s="20"/>
      <c r="AC83" s="20"/>
      <c r="AD83" s="20"/>
      <c r="AE83" s="20"/>
      <c r="AF83" s="20"/>
      <c r="AG83" s="20"/>
      <c r="AH83" s="20"/>
      <c r="AI83" s="20"/>
      <c r="AJ83" s="20"/>
    </row>
    <row r="84" spans="27:36" x14ac:dyDescent="0.2">
      <c r="AA84" s="20"/>
      <c r="AB84" s="20"/>
      <c r="AC84" s="20"/>
      <c r="AD84" s="20"/>
      <c r="AE84" s="20"/>
      <c r="AF84" s="20"/>
      <c r="AG84" s="20"/>
      <c r="AH84" s="20"/>
      <c r="AI84" s="20"/>
      <c r="AJ84" s="20"/>
    </row>
    <row r="85" spans="27:36" x14ac:dyDescent="0.2"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27:36" x14ac:dyDescent="0.2">
      <c r="AA86" s="20"/>
      <c r="AB86" s="20"/>
      <c r="AC86" s="20"/>
      <c r="AD86" s="20"/>
      <c r="AE86" s="20"/>
      <c r="AF86" s="20"/>
      <c r="AG86" s="20"/>
      <c r="AH86" s="20"/>
      <c r="AI86" s="20"/>
      <c r="AJ86" s="20"/>
    </row>
    <row r="87" spans="27:36" x14ac:dyDescent="0.2">
      <c r="AA87" s="20"/>
      <c r="AB87" s="20"/>
      <c r="AC87" s="20"/>
      <c r="AD87" s="20"/>
      <c r="AE87" s="20"/>
      <c r="AF87" s="20"/>
      <c r="AG87" s="20"/>
      <c r="AH87" s="20"/>
      <c r="AI87" s="20"/>
      <c r="AJ87" s="20"/>
    </row>
    <row r="88" spans="27:36" x14ac:dyDescent="0.2">
      <c r="AA88" s="20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27:36" x14ac:dyDescent="0.2">
      <c r="AA89" s="20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27:36" x14ac:dyDescent="0.2">
      <c r="AA90" s="20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27:36" x14ac:dyDescent="0.2">
      <c r="AA91" s="20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27:36" x14ac:dyDescent="0.2">
      <c r="AA92" s="20"/>
      <c r="AB92" s="20"/>
      <c r="AC92" s="20"/>
      <c r="AD92" s="20"/>
      <c r="AE92" s="20"/>
      <c r="AF92" s="20"/>
      <c r="AG92" s="20"/>
      <c r="AH92" s="20"/>
      <c r="AI92" s="20"/>
      <c r="AJ92" s="20"/>
    </row>
    <row r="93" spans="27:36" x14ac:dyDescent="0.2">
      <c r="AA93" s="20"/>
      <c r="AB93" s="20"/>
      <c r="AC93" s="20"/>
      <c r="AD93" s="20"/>
      <c r="AE93" s="20"/>
      <c r="AF93" s="20"/>
      <c r="AG93" s="20"/>
      <c r="AH93" s="20"/>
      <c r="AI93" s="20"/>
      <c r="AJ93" s="20"/>
    </row>
    <row r="94" spans="27:36" x14ac:dyDescent="0.2">
      <c r="AA94" s="20"/>
      <c r="AB94" s="20"/>
      <c r="AC94" s="20"/>
      <c r="AD94" s="20"/>
      <c r="AE94" s="20"/>
      <c r="AF94" s="20"/>
      <c r="AG94" s="20"/>
      <c r="AH94" s="20"/>
      <c r="AI94" s="20"/>
      <c r="AJ94" s="20"/>
    </row>
    <row r="95" spans="27:36" x14ac:dyDescent="0.2">
      <c r="AA95" s="20"/>
      <c r="AB95" s="20"/>
      <c r="AC95" s="20"/>
      <c r="AD95" s="20"/>
      <c r="AE95" s="20"/>
      <c r="AF95" s="20"/>
      <c r="AG95" s="20"/>
      <c r="AH95" s="20"/>
      <c r="AI95" s="20"/>
      <c r="AJ95" s="20"/>
    </row>
    <row r="96" spans="27:36" x14ac:dyDescent="0.2"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27:36" x14ac:dyDescent="0.2">
      <c r="AA97" s="20"/>
      <c r="AB97" s="20"/>
      <c r="AC97" s="20"/>
      <c r="AD97" s="20"/>
      <c r="AE97" s="20"/>
      <c r="AF97" s="20"/>
      <c r="AG97" s="20"/>
      <c r="AH97" s="20"/>
      <c r="AI97" s="20"/>
      <c r="AJ97" s="20"/>
    </row>
    <row r="98" spans="27:36" x14ac:dyDescent="0.2">
      <c r="AA98" s="20"/>
      <c r="AB98" s="20"/>
      <c r="AC98" s="20"/>
      <c r="AD98" s="20"/>
      <c r="AE98" s="20"/>
      <c r="AF98" s="20"/>
      <c r="AG98" s="20"/>
      <c r="AH98" s="20"/>
      <c r="AI98" s="20"/>
      <c r="AJ98" s="20"/>
    </row>
    <row r="99" spans="27:36" x14ac:dyDescent="0.2">
      <c r="AA99" s="20"/>
      <c r="AB99" s="20"/>
      <c r="AC99" s="20"/>
      <c r="AD99" s="20"/>
      <c r="AE99" s="20"/>
      <c r="AF99" s="20"/>
      <c r="AG99" s="20"/>
      <c r="AH99" s="20"/>
      <c r="AI99" s="20"/>
      <c r="AJ99" s="20"/>
    </row>
    <row r="100" spans="27:36" x14ac:dyDescent="0.2"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</row>
    <row r="101" spans="27:36" x14ac:dyDescent="0.2"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</row>
    <row r="102" spans="27:36" x14ac:dyDescent="0.2"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</row>
    <row r="103" spans="27:36" x14ac:dyDescent="0.2"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27:36" x14ac:dyDescent="0.2"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</row>
    <row r="105" spans="27:36" x14ac:dyDescent="0.2"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</row>
    <row r="106" spans="27:36" x14ac:dyDescent="0.2"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</row>
    <row r="107" spans="27:36" x14ac:dyDescent="0.2"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</row>
    <row r="108" spans="27:36" x14ac:dyDescent="0.2"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</row>
    <row r="109" spans="27:36" x14ac:dyDescent="0.2"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</row>
    <row r="110" spans="27:36" x14ac:dyDescent="0.2"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</row>
    <row r="111" spans="27:36" x14ac:dyDescent="0.2"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</row>
    <row r="112" spans="27:36" x14ac:dyDescent="0.2"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</row>
    <row r="113" spans="27:36" x14ac:dyDescent="0.2"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</row>
    <row r="114" spans="27:36" x14ac:dyDescent="0.2"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27:36" x14ac:dyDescent="0.2"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</row>
    <row r="116" spans="27:36" x14ac:dyDescent="0.2"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27:36" x14ac:dyDescent="0.2"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</row>
    <row r="118" spans="27:36" x14ac:dyDescent="0.2"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27:36" x14ac:dyDescent="0.2"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27:36" x14ac:dyDescent="0.2"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27:36" x14ac:dyDescent="0.2"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27:36" x14ac:dyDescent="0.2"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27:36" x14ac:dyDescent="0.2"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27:36" x14ac:dyDescent="0.2"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27:36" x14ac:dyDescent="0.2"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27:36" x14ac:dyDescent="0.2"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27:36" x14ac:dyDescent="0.2"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27:36" x14ac:dyDescent="0.2"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27:36" x14ac:dyDescent="0.2"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27:36" x14ac:dyDescent="0.2"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27:36" x14ac:dyDescent="0.2"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27:36" x14ac:dyDescent="0.2"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27:36" x14ac:dyDescent="0.2"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27:36" x14ac:dyDescent="0.2"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27:36" x14ac:dyDescent="0.2"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27:36" x14ac:dyDescent="0.2"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27:36" x14ac:dyDescent="0.2"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27:36" x14ac:dyDescent="0.2"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</row>
    <row r="139" spans="27:36" x14ac:dyDescent="0.2"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</row>
    <row r="140" spans="27:36" x14ac:dyDescent="0.2"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</row>
    <row r="141" spans="27:36" x14ac:dyDescent="0.2"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</row>
    <row r="142" spans="27:36" x14ac:dyDescent="0.2"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27:36" x14ac:dyDescent="0.2"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</row>
    <row r="144" spans="27:36" x14ac:dyDescent="0.2"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</row>
    <row r="145" spans="27:36" x14ac:dyDescent="0.2"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</row>
    <row r="146" spans="27:36" x14ac:dyDescent="0.2"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</row>
    <row r="147" spans="27:36" x14ac:dyDescent="0.2"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</row>
    <row r="148" spans="27:36" x14ac:dyDescent="0.2"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</row>
    <row r="149" spans="27:36" x14ac:dyDescent="0.2"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</row>
    <row r="150" spans="27:36" x14ac:dyDescent="0.2"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27:36" x14ac:dyDescent="0.2"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</row>
    <row r="152" spans="27:36" x14ac:dyDescent="0.2"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</row>
    <row r="153" spans="27:36" x14ac:dyDescent="0.2"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</row>
    <row r="154" spans="27:36" x14ac:dyDescent="0.2"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</row>
    <row r="155" spans="27:36" x14ac:dyDescent="0.2"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</row>
    <row r="156" spans="27:36" x14ac:dyDescent="0.2"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</row>
    <row r="157" spans="27:36" x14ac:dyDescent="0.2"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</row>
    <row r="158" spans="27:36" x14ac:dyDescent="0.2"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</row>
    <row r="159" spans="27:36" x14ac:dyDescent="0.2"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</row>
    <row r="160" spans="27:36" x14ac:dyDescent="0.2"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</row>
    <row r="161" spans="27:36" x14ac:dyDescent="0.2"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</row>
    <row r="162" spans="27:36" x14ac:dyDescent="0.2"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</row>
    <row r="163" spans="27:36" x14ac:dyDescent="0.2"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</row>
    <row r="164" spans="27:36" x14ac:dyDescent="0.2"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</row>
    <row r="165" spans="27:36" x14ac:dyDescent="0.2"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</row>
    <row r="166" spans="27:36" x14ac:dyDescent="0.2"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</row>
    <row r="167" spans="27:36" x14ac:dyDescent="0.2"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</row>
    <row r="168" spans="27:36" x14ac:dyDescent="0.2"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</row>
    <row r="169" spans="27:36" x14ac:dyDescent="0.2"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</row>
    <row r="170" spans="27:36" x14ac:dyDescent="0.2"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</row>
    <row r="171" spans="27:36" x14ac:dyDescent="0.2"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</row>
    <row r="172" spans="27:36" x14ac:dyDescent="0.2"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</row>
    <row r="173" spans="27:36" x14ac:dyDescent="0.2"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</row>
    <row r="174" spans="27:36" x14ac:dyDescent="0.2"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</row>
    <row r="175" spans="27:36" x14ac:dyDescent="0.2"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</row>
    <row r="176" spans="27:36" x14ac:dyDescent="0.2"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</row>
    <row r="177" spans="27:36" x14ac:dyDescent="0.2"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</row>
    <row r="178" spans="27:36" x14ac:dyDescent="0.2"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</row>
    <row r="179" spans="27:36" x14ac:dyDescent="0.2"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27:36" x14ac:dyDescent="0.2"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27:36" x14ac:dyDescent="0.2"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27:36" x14ac:dyDescent="0.2"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27:36" x14ac:dyDescent="0.2"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27:36" x14ac:dyDescent="0.2"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27:36" x14ac:dyDescent="0.2"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27:36" x14ac:dyDescent="0.2"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27:36" x14ac:dyDescent="0.2"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27:36" x14ac:dyDescent="0.2"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27:36" x14ac:dyDescent="0.2"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27:36" x14ac:dyDescent="0.2"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27:36" x14ac:dyDescent="0.2"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27:36" x14ac:dyDescent="0.2"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27:36" x14ac:dyDescent="0.2"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27:36" x14ac:dyDescent="0.2"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 spans="27:36" x14ac:dyDescent="0.2"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27:36" x14ac:dyDescent="0.2"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 spans="27:36" x14ac:dyDescent="0.2"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  <row r="198" spans="27:36" x14ac:dyDescent="0.2"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 spans="27:36" x14ac:dyDescent="0.2"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 spans="27:36" x14ac:dyDescent="0.2"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 spans="27:36" x14ac:dyDescent="0.2"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 spans="27:36" x14ac:dyDescent="0.2"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 spans="27:36" x14ac:dyDescent="0.2"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 spans="27:36" x14ac:dyDescent="0.2"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  <row r="205" spans="27:36" x14ac:dyDescent="0.2"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</row>
    <row r="206" spans="27:36" x14ac:dyDescent="0.2"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</row>
    <row r="207" spans="27:36" x14ac:dyDescent="0.2"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</row>
    <row r="208" spans="27:36" x14ac:dyDescent="0.2"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</row>
    <row r="209" spans="27:36" x14ac:dyDescent="0.2"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</row>
    <row r="210" spans="27:36" x14ac:dyDescent="0.2"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</row>
    <row r="211" spans="27:36" x14ac:dyDescent="0.2"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</row>
    <row r="212" spans="27:36" x14ac:dyDescent="0.2"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</row>
    <row r="213" spans="27:36" x14ac:dyDescent="0.2"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</row>
    <row r="214" spans="27:36" x14ac:dyDescent="0.2"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</row>
    <row r="215" spans="27:36" x14ac:dyDescent="0.2"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</row>
    <row r="216" spans="27:36" x14ac:dyDescent="0.2"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</row>
    <row r="217" spans="27:36" x14ac:dyDescent="0.2"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</row>
    <row r="218" spans="27:36" x14ac:dyDescent="0.2"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</row>
    <row r="219" spans="27:36" x14ac:dyDescent="0.2"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</row>
    <row r="220" spans="27:36" x14ac:dyDescent="0.2"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</row>
    <row r="221" spans="27:36" x14ac:dyDescent="0.2"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</row>
    <row r="222" spans="27:36" x14ac:dyDescent="0.2"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</row>
    <row r="223" spans="27:36" x14ac:dyDescent="0.2"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</row>
    <row r="224" spans="27:36" x14ac:dyDescent="0.2"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</row>
    <row r="225" spans="27:36" x14ac:dyDescent="0.2"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27:36" x14ac:dyDescent="0.2"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</row>
    <row r="227" spans="27:36" x14ac:dyDescent="0.2"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</row>
    <row r="228" spans="27:36" x14ac:dyDescent="0.2"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</row>
    <row r="229" spans="27:36" x14ac:dyDescent="0.2"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</row>
    <row r="230" spans="27:36" x14ac:dyDescent="0.2"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</row>
    <row r="231" spans="27:36" x14ac:dyDescent="0.2"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</row>
    <row r="232" spans="27:36" x14ac:dyDescent="0.2"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</row>
    <row r="233" spans="27:36" x14ac:dyDescent="0.2"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</row>
    <row r="234" spans="27:36" x14ac:dyDescent="0.2"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</row>
    <row r="235" spans="27:36" x14ac:dyDescent="0.2"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</row>
    <row r="236" spans="27:36" x14ac:dyDescent="0.2"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</row>
    <row r="237" spans="27:36" x14ac:dyDescent="0.2"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</row>
    <row r="238" spans="27:36" x14ac:dyDescent="0.2"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</row>
    <row r="239" spans="27:36" x14ac:dyDescent="0.2"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</row>
    <row r="240" spans="27:36" x14ac:dyDescent="0.2"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</row>
    <row r="241" spans="27:36" x14ac:dyDescent="0.2"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</row>
    <row r="242" spans="27:36" x14ac:dyDescent="0.2"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</row>
    <row r="243" spans="27:36" x14ac:dyDescent="0.2"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</row>
    <row r="244" spans="27:36" x14ac:dyDescent="0.2"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</row>
    <row r="245" spans="27:36" x14ac:dyDescent="0.2"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</row>
    <row r="246" spans="27:36" x14ac:dyDescent="0.2"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</row>
    <row r="247" spans="27:36" x14ac:dyDescent="0.2"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</row>
    <row r="248" spans="27:36" x14ac:dyDescent="0.2"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</row>
    <row r="249" spans="27:36" x14ac:dyDescent="0.2"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</row>
    <row r="250" spans="27:36" x14ac:dyDescent="0.2"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</row>
    <row r="251" spans="27:36" x14ac:dyDescent="0.2"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</row>
    <row r="252" spans="27:36" x14ac:dyDescent="0.2"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</row>
    <row r="253" spans="27:36" x14ac:dyDescent="0.2"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</row>
    <row r="254" spans="27:36" x14ac:dyDescent="0.2"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</row>
    <row r="255" spans="27:36" x14ac:dyDescent="0.2"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</row>
    <row r="256" spans="27:36" x14ac:dyDescent="0.2"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</row>
    <row r="257" spans="27:36" x14ac:dyDescent="0.2"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</row>
    <row r="258" spans="27:36" x14ac:dyDescent="0.2"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</row>
    <row r="259" spans="27:36" x14ac:dyDescent="0.2"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</row>
    <row r="260" spans="27:36" x14ac:dyDescent="0.2"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</row>
    <row r="261" spans="27:36" x14ac:dyDescent="0.2"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</row>
    <row r="262" spans="27:36" x14ac:dyDescent="0.2"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</row>
    <row r="263" spans="27:36" x14ac:dyDescent="0.2"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</row>
    <row r="264" spans="27:36" x14ac:dyDescent="0.2"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</row>
    <row r="265" spans="27:36" x14ac:dyDescent="0.2"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</row>
    <row r="266" spans="27:36" x14ac:dyDescent="0.2"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</row>
    <row r="267" spans="27:36" x14ac:dyDescent="0.2"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</row>
    <row r="268" spans="27:36" x14ac:dyDescent="0.2"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</row>
    <row r="269" spans="27:36" x14ac:dyDescent="0.2"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</row>
    <row r="270" spans="27:36" x14ac:dyDescent="0.2"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</row>
    <row r="271" spans="27:36" x14ac:dyDescent="0.2"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</row>
    <row r="272" spans="27:36" x14ac:dyDescent="0.2"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</row>
    <row r="273" spans="27:36" x14ac:dyDescent="0.2"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</row>
    <row r="274" spans="27:36" x14ac:dyDescent="0.2"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</row>
    <row r="275" spans="27:36" x14ac:dyDescent="0.2"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</row>
    <row r="276" spans="27:36" x14ac:dyDescent="0.2"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</row>
    <row r="277" spans="27:36" x14ac:dyDescent="0.2"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</row>
    <row r="278" spans="27:36" x14ac:dyDescent="0.2"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</row>
    <row r="279" spans="27:36" x14ac:dyDescent="0.2"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</row>
    <row r="280" spans="27:36" x14ac:dyDescent="0.2"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</row>
    <row r="281" spans="27:36" x14ac:dyDescent="0.2"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</row>
    <row r="282" spans="27:36" x14ac:dyDescent="0.2"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</row>
    <row r="283" spans="27:36" x14ac:dyDescent="0.2"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</row>
    <row r="284" spans="27:36" x14ac:dyDescent="0.2"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</row>
    <row r="285" spans="27:36" x14ac:dyDescent="0.2"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</row>
    <row r="286" spans="27:36" x14ac:dyDescent="0.2"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</row>
    <row r="287" spans="27:36" x14ac:dyDescent="0.2"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</row>
    <row r="288" spans="27:36" x14ac:dyDescent="0.2"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</row>
    <row r="289" spans="27:36" x14ac:dyDescent="0.2"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</row>
    <row r="290" spans="27:36" x14ac:dyDescent="0.2"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</row>
    <row r="291" spans="27:36" x14ac:dyDescent="0.2"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</row>
    <row r="292" spans="27:36" x14ac:dyDescent="0.2"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</row>
    <row r="293" spans="27:36" x14ac:dyDescent="0.2"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</row>
    <row r="294" spans="27:36" x14ac:dyDescent="0.2"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</row>
    <row r="295" spans="27:36" x14ac:dyDescent="0.2"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</row>
    <row r="296" spans="27:36" x14ac:dyDescent="0.2"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</row>
  </sheetData>
  <mergeCells count="1">
    <mergeCell ref="I34:U35"/>
  </mergeCells>
  <phoneticPr fontId="1" type="noConversion"/>
  <conditionalFormatting sqref="D47">
    <cfRule type="cellIs" dxfId="16" priority="1" stopIfTrue="1" operator="notBetween">
      <formula>-32768</formula>
      <formula>32767</formula>
    </cfRule>
    <cfRule type="expression" dxfId="15" priority="2" stopIfTrue="1">
      <formula>D43</formula>
    </cfRule>
  </conditionalFormatting>
  <conditionalFormatting sqref="D48">
    <cfRule type="cellIs" dxfId="14" priority="3" stopIfTrue="1" operator="notBetween">
      <formula>-32768</formula>
      <formula>32767</formula>
    </cfRule>
    <cfRule type="expression" dxfId="13" priority="4" stopIfTrue="1">
      <formula>D43</formula>
    </cfRule>
  </conditionalFormatting>
  <conditionalFormatting sqref="D49">
    <cfRule type="cellIs" dxfId="12" priority="5" stopIfTrue="1" operator="notBetween">
      <formula>-32768</formula>
      <formula>32767</formula>
    </cfRule>
    <cfRule type="expression" dxfId="11" priority="6" stopIfTrue="1">
      <formula>D43</formula>
    </cfRule>
  </conditionalFormatting>
  <conditionalFormatting sqref="D50">
    <cfRule type="cellIs" dxfId="10" priority="7" stopIfTrue="1" operator="notBetween">
      <formula>-32768</formula>
      <formula>32767</formula>
    </cfRule>
    <cfRule type="expression" dxfId="9" priority="8" stopIfTrue="1">
      <formula>D43</formula>
    </cfRule>
  </conditionalFormatting>
  <conditionalFormatting sqref="D51">
    <cfRule type="cellIs" dxfId="8" priority="9" stopIfTrue="1" operator="notBetween">
      <formula>0</formula>
      <formula>32767</formula>
    </cfRule>
    <cfRule type="expression" dxfId="7" priority="10" stopIfTrue="1">
      <formula>D43</formula>
    </cfRule>
  </conditionalFormatting>
  <conditionalFormatting sqref="D52">
    <cfRule type="cellIs" dxfId="6" priority="11" stopIfTrue="1" operator="notBetween">
      <formula>-32768</formula>
      <formula>32767</formula>
    </cfRule>
    <cfRule type="expression" dxfId="5" priority="12" stopIfTrue="1">
      <formula>D43</formula>
    </cfRule>
  </conditionalFormatting>
  <conditionalFormatting sqref="D53">
    <cfRule type="cellIs" dxfId="4" priority="13" stopIfTrue="1" operator="notBetween">
      <formula>-12.8</formula>
      <formula>12.7</formula>
    </cfRule>
    <cfRule type="expression" dxfId="3" priority="14" stopIfTrue="1">
      <formula>D43</formula>
    </cfRule>
  </conditionalFormatting>
  <conditionalFormatting sqref="E56">
    <cfRule type="cellIs" dxfId="2" priority="16" stopIfTrue="1" operator="notBetween">
      <formula>-32768</formula>
      <formula>32767</formula>
    </cfRule>
  </conditionalFormatting>
  <conditionalFormatting sqref="U4:V33 U36:V39 V34:V35">
    <cfRule type="cellIs" dxfId="1" priority="15" stopIfTrue="1" operator="notBetween">
      <formula>-32768</formula>
      <formula>32767</formula>
    </cfRule>
  </conditionalFormatting>
  <dataValidations count="3">
    <dataValidation type="list" allowBlank="1" showInputMessage="1" showErrorMessage="1" sqref="D26" xr:uid="{00000000-0002-0000-0000-000000000000}">
      <formula1>$F$4:$F$34</formula1>
    </dataValidation>
    <dataValidation type="list" allowBlank="1" showInputMessage="1" showErrorMessage="1" sqref="D7 D9" xr:uid="{00000000-0002-0000-0000-000001000000}">
      <formula1>Tolerance</formula1>
    </dataValidation>
    <dataValidation type="list" allowBlank="1" showInputMessage="1" showErrorMessage="1" sqref="D3:D4" xr:uid="{00000000-0002-0000-0000-000002000000}">
      <formula1>$F$4:$F$39</formula1>
    </dataValidation>
  </dataValidations>
  <pageMargins left="0.25" right="0.25" top="0.25" bottom="0.25" header="0" footer="0"/>
  <pageSetup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AA68"/>
  <sheetViews>
    <sheetView zoomScale="70" workbookViewId="0">
      <selection activeCell="C10" sqref="C10"/>
    </sheetView>
  </sheetViews>
  <sheetFormatPr defaultRowHeight="12.75" x14ac:dyDescent="0.2"/>
  <cols>
    <col min="3" max="3" width="10.42578125" customWidth="1"/>
    <col min="4" max="4" width="10.5703125" bestFit="1" customWidth="1"/>
    <col min="5" max="5" width="10" bestFit="1" customWidth="1"/>
    <col min="6" max="6" width="10.28515625" bestFit="1" customWidth="1"/>
    <col min="7" max="7" width="10.5703125" bestFit="1" customWidth="1"/>
    <col min="26" max="27" width="10.5703125" bestFit="1" customWidth="1"/>
  </cols>
  <sheetData>
    <row r="2" spans="3:27" x14ac:dyDescent="0.2">
      <c r="G2" t="s">
        <v>13</v>
      </c>
      <c r="O2" t="s">
        <v>64</v>
      </c>
      <c r="P2" t="s">
        <v>64</v>
      </c>
      <c r="Q2" t="s">
        <v>65</v>
      </c>
      <c r="R2" t="s">
        <v>65</v>
      </c>
    </row>
    <row r="3" spans="3:27" x14ac:dyDescent="0.2">
      <c r="O3" t="s">
        <v>23</v>
      </c>
      <c r="P3" t="s">
        <v>24</v>
      </c>
      <c r="Q3" t="s">
        <v>23</v>
      </c>
      <c r="R3" t="s">
        <v>24</v>
      </c>
    </row>
    <row r="4" spans="3:27" x14ac:dyDescent="0.2">
      <c r="C4" s="36" t="s">
        <v>4</v>
      </c>
      <c r="D4" s="36" t="s">
        <v>37</v>
      </c>
      <c r="G4" t="s">
        <v>8</v>
      </c>
      <c r="H4" t="s">
        <v>88</v>
      </c>
      <c r="I4" t="s">
        <v>89</v>
      </c>
      <c r="K4" t="s">
        <v>22</v>
      </c>
      <c r="T4" t="s">
        <v>35</v>
      </c>
      <c r="U4" t="s">
        <v>36</v>
      </c>
      <c r="W4" t="s">
        <v>25</v>
      </c>
      <c r="X4" t="s">
        <v>26</v>
      </c>
      <c r="Z4" t="s">
        <v>27</v>
      </c>
      <c r="AA4" t="s">
        <v>28</v>
      </c>
    </row>
    <row r="5" spans="3:27" x14ac:dyDescent="0.2">
      <c r="C5" s="5">
        <f>Accuracy!F4</f>
        <v>-55</v>
      </c>
      <c r="D5" s="5">
        <f>Accuracy!G4</f>
        <v>963849</v>
      </c>
      <c r="G5" s="2">
        <f>1/($D$53+$E$53*LN(D5)+$F$53*LN(D5)^3)-273.15</f>
        <v>-55.000000000000028</v>
      </c>
      <c r="H5" s="41">
        <f>(G5)/(C5)-1</f>
        <v>0</v>
      </c>
      <c r="I5" s="4">
        <f>G5-C5</f>
        <v>0</v>
      </c>
      <c r="K5">
        <f>LN(D5/$D$18)*(C5+273.15)*($C$18+273.15)/($C$18-C5)</f>
        <v>3687.3009278704708</v>
      </c>
      <c r="L5">
        <f>$D$18*EXP(K5*($C$18-C5)/(($C$18+273.15)*(C5+273.15)))</f>
        <v>963849.00000000058</v>
      </c>
      <c r="O5" s="3">
        <f>$D$18*(1-Accuracy!$D$7)*EXP(K5*(1-Accuracy!$D$9)*($C$18-C5)/(($C$18+273.15)*(C5+273.15)))</f>
        <v>880808.03022421221</v>
      </c>
      <c r="P5" s="3">
        <f>$D$18*(1-Accuracy!$D$7)*EXP(K5*(1+Accuracy!$D$9)*($C$18-C5)/(($C$18+273.15)*(C5+273.15)))</f>
        <v>951883.82574632019</v>
      </c>
      <c r="Q5" s="3">
        <f>$D$18*(1+Accuracy!$D$7)*EXP(K5*(1-Accuracy!$D$9)*($C$18-C5)/(($C$18+273.15)*(C5+273.15)))</f>
        <v>973524.66498465545</v>
      </c>
      <c r="R5" s="3">
        <f>$D$18*(1+Accuracy!$D$7)*EXP(K5*(1+Accuracy!$D$9)*($C$18-C5)/(($C$18+273.15)*(C5+273.15)))</f>
        <v>1052082.1231933013</v>
      </c>
      <c r="T5" s="3">
        <f>MIN(O5:R5)</f>
        <v>880808.03022421221</v>
      </c>
      <c r="U5" s="3">
        <f>MAX(O5:R5)</f>
        <v>1052082.1231933013</v>
      </c>
      <c r="V5" s="3"/>
      <c r="W5" s="1">
        <f t="shared" ref="W5:W35" si="0">T5/D5-1</f>
        <v>-8.6155580153932654E-2</v>
      </c>
      <c r="X5" s="1">
        <f t="shared" ref="X5:X35" si="1">U5/D5-1</f>
        <v>9.1542475214791086E-2</v>
      </c>
      <c r="Y5" s="1"/>
      <c r="Z5" s="4">
        <f t="shared" ref="Z5:Z39" si="2">-(1/($D$53+$E$53*LN(T5)+$F$53*LN(T5)^3)-273.15-C5)</f>
        <v>-1.2224539202657922</v>
      </c>
      <c r="AA5" s="4">
        <f t="shared" ref="AA5:AA39" si="3">-(1/($D$53+$E$53*LN(U5)+$F$53*LN(U5)^3)-273.15-C5)</f>
        <v>1.17813479695414</v>
      </c>
    </row>
    <row r="6" spans="3:27" x14ac:dyDescent="0.2">
      <c r="C6" s="5">
        <f>Accuracy!F5</f>
        <v>-50</v>
      </c>
      <c r="D6" s="5">
        <f>Accuracy!G5</f>
        <v>670166</v>
      </c>
      <c r="G6" s="2">
        <f t="shared" ref="G6:G39" si="4">1/($D$53+$E$53*LN(D6)+$F$53*LN(D6)^3)-273.15</f>
        <v>-50.001406498330823</v>
      </c>
      <c r="H6" s="41">
        <f t="shared" ref="H6:H12" si="5">(G6)/(C6)-1</f>
        <v>2.8129966616496915E-5</v>
      </c>
      <c r="I6" s="4">
        <f t="shared" ref="I6:I35" si="6">G6-C6</f>
        <v>-1.4064983308230694E-3</v>
      </c>
      <c r="K6">
        <f t="shared" ref="K6:K35" si="7">LN(D6/$D$18)*(C6+273.15)*($C$18+273.15)/($C$18-C6)</f>
        <v>3703.4320210882802</v>
      </c>
      <c r="L6">
        <f t="shared" ref="L6:L35" si="8">$D$18*EXP(K6*($C$18-C6)/(($C$18+273.15)*(C6+273.15)))</f>
        <v>670166</v>
      </c>
      <c r="O6" s="3">
        <f>$D$18*(1-Accuracy!$D$7)*EXP(K6*(1-Accuracy!$D$9)*($C$18-C6)/(($C$18+273.15)*(C6+273.15)))</f>
        <v>614657.12615740835</v>
      </c>
      <c r="P6" s="3">
        <f>$D$18*(1-Accuracy!$D$7)*EXP(K6*(1+Accuracy!$D$9)*($C$18-C6)/(($C$18+273.15)*(C6+273.15)))</f>
        <v>659445.74579859013</v>
      </c>
      <c r="Q6" s="3">
        <f>$D$18*(1+Accuracy!$D$7)*EXP(K6*(1-Accuracy!$D$9)*($C$18-C6)/(($C$18+273.15)*(C6+273.15)))</f>
        <v>679357.87627924071</v>
      </c>
      <c r="R6" s="3">
        <f>$D$18*(1+Accuracy!$D$7)*EXP(K6*(1+Accuracy!$D$9)*($C$18-C6)/(($C$18+273.15)*(C6+273.15)))</f>
        <v>728861.08746159961</v>
      </c>
      <c r="T6" s="3">
        <f t="shared" ref="T6:T35" si="9">MIN(O6:R6)</f>
        <v>614657.12615740835</v>
      </c>
      <c r="U6" s="3">
        <f t="shared" ref="U6:U35" si="10">MAX(O6:R6)</f>
        <v>728861.08746159961</v>
      </c>
      <c r="V6" s="3"/>
      <c r="W6" s="1">
        <f t="shared" si="0"/>
        <v>-8.2828543737807681E-2</v>
      </c>
      <c r="X6" s="1">
        <f t="shared" si="1"/>
        <v>8.7582908505653201E-2</v>
      </c>
      <c r="Y6" s="1"/>
      <c r="Z6" s="4">
        <f t="shared" si="2"/>
        <v>-1.2148504629714694</v>
      </c>
      <c r="AA6" s="4">
        <f t="shared" si="3"/>
        <v>1.1723678309366505</v>
      </c>
    </row>
    <row r="7" spans="3:27" x14ac:dyDescent="0.2">
      <c r="C7" s="5">
        <f>Accuracy!F6</f>
        <v>-45</v>
      </c>
      <c r="D7" s="5">
        <f>Accuracy!G6</f>
        <v>471985</v>
      </c>
      <c r="G7" s="2">
        <f t="shared" si="4"/>
        <v>-45.002972509258115</v>
      </c>
      <c r="H7" s="41">
        <f t="shared" si="5"/>
        <v>6.6055761291483606E-5</v>
      </c>
      <c r="I7" s="4">
        <f t="shared" si="6"/>
        <v>-2.9725092581145418E-3</v>
      </c>
      <c r="K7">
        <f t="shared" si="7"/>
        <v>3718.8577800891694</v>
      </c>
      <c r="L7">
        <f t="shared" si="8"/>
        <v>471985.00000000012</v>
      </c>
      <c r="O7" s="3">
        <f>$D$18*(1-Accuracy!$D$7)*EXP(K7*(1-Accuracy!$D$9)*($C$18-C7)/(($C$18+273.15)*(C7+273.15)))</f>
        <v>434411.45535520004</v>
      </c>
      <c r="P7" s="3">
        <f>$D$18*(1-Accuracy!$D$7)*EXP(K7*(1+Accuracy!$D$9)*($C$18-C7)/(($C$18+273.15)*(C7+273.15)))</f>
        <v>462809.57448203687</v>
      </c>
      <c r="Q7" s="3">
        <f>$D$18*(1+Accuracy!$D$7)*EXP(K7*(1-Accuracy!$D$9)*($C$18-C7)/(($C$18+273.15)*(C7+273.15)))</f>
        <v>480138.97697153682</v>
      </c>
      <c r="R7" s="3">
        <f>$D$18*(1+Accuracy!$D$7)*EXP(K7*(1+Accuracy!$D$9)*($C$18-C7)/(($C$18+273.15)*(C7+273.15)))</f>
        <v>511526.3717959355</v>
      </c>
      <c r="T7" s="3">
        <f t="shared" si="9"/>
        <v>434411.45535520004</v>
      </c>
      <c r="U7" s="3">
        <f t="shared" si="10"/>
        <v>511526.3717959355</v>
      </c>
      <c r="V7" s="3"/>
      <c r="W7" s="1">
        <f t="shared" si="0"/>
        <v>-7.9607497367077285E-2</v>
      </c>
      <c r="X7" s="1">
        <f t="shared" si="1"/>
        <v>8.3776755184879814E-2</v>
      </c>
      <c r="Y7" s="1"/>
      <c r="Z7" s="4">
        <f t="shared" si="2"/>
        <v>-1.2062131473414865</v>
      </c>
      <c r="AA7" s="4">
        <f t="shared" si="3"/>
        <v>1.1658654008834333</v>
      </c>
    </row>
    <row r="8" spans="3:27" x14ac:dyDescent="0.2">
      <c r="C8" s="5">
        <f>Accuracy!F7</f>
        <v>-40</v>
      </c>
      <c r="D8" s="5">
        <f>Accuracy!G7</f>
        <v>336479</v>
      </c>
      <c r="G8" s="2">
        <f t="shared" si="4"/>
        <v>-40.00416777615871</v>
      </c>
      <c r="H8" s="41">
        <f t="shared" si="5"/>
        <v>1.0419440396769453E-4</v>
      </c>
      <c r="I8" s="4">
        <f t="shared" si="6"/>
        <v>-4.1677761587095574E-3</v>
      </c>
      <c r="K8">
        <f t="shared" si="7"/>
        <v>3733.5795805941689</v>
      </c>
      <c r="L8">
        <f t="shared" si="8"/>
        <v>336478.99999999994</v>
      </c>
      <c r="O8" s="3">
        <f>$D$18*(1-Accuracy!$D$7)*EXP(K8*(1-Accuracy!$D$9)*($C$18-C8)/(($C$18+273.15)*(C8+273.15)))</f>
        <v>310742.56000192388</v>
      </c>
      <c r="P8" s="3">
        <f>$D$18*(1-Accuracy!$D$7)*EXP(K8*(1+Accuracy!$D$9)*($C$18-C8)/(($C$18+273.15)*(C8+273.15)))</f>
        <v>328823.16149377736</v>
      </c>
      <c r="Q8" s="3">
        <f>$D$18*(1+Accuracy!$D$7)*EXP(K8*(1-Accuracy!$D$9)*($C$18-C8)/(($C$18+273.15)*(C8+273.15)))</f>
        <v>343452.30316002108</v>
      </c>
      <c r="R8" s="3">
        <f>$D$18*(1+Accuracy!$D$7)*EXP(K8*(1+Accuracy!$D$9)*($C$18-C8)/(($C$18+273.15)*(C8+273.15)))</f>
        <v>363436.12586154335</v>
      </c>
      <c r="T8" s="3">
        <f t="shared" si="9"/>
        <v>310742.56000192388</v>
      </c>
      <c r="U8" s="3">
        <f t="shared" si="10"/>
        <v>363436.12586154335</v>
      </c>
      <c r="V8" s="3"/>
      <c r="W8" s="1">
        <f t="shared" si="0"/>
        <v>-7.648750738701704E-2</v>
      </c>
      <c r="X8" s="1">
        <f t="shared" si="1"/>
        <v>8.0115329222754994E-2</v>
      </c>
      <c r="Y8" s="1"/>
      <c r="Z8" s="4">
        <f t="shared" si="2"/>
        <v>-1.1970671469569822</v>
      </c>
      <c r="AA8" s="4">
        <f t="shared" si="3"/>
        <v>1.1580915196719275</v>
      </c>
    </row>
    <row r="9" spans="3:27" x14ac:dyDescent="0.2">
      <c r="C9" s="5">
        <f>Accuracy!F8</f>
        <v>-35</v>
      </c>
      <c r="D9" s="5">
        <f>Accuracy!G8</f>
        <v>242681</v>
      </c>
      <c r="G9" s="2">
        <f t="shared" si="4"/>
        <v>-35.005655535904708</v>
      </c>
      <c r="H9" s="41">
        <f t="shared" si="5"/>
        <v>1.6158674013455609E-4</v>
      </c>
      <c r="I9" s="4">
        <f t="shared" si="6"/>
        <v>-5.6555359047081311E-3</v>
      </c>
      <c r="K9">
        <f t="shared" si="7"/>
        <v>3747.6970946672614</v>
      </c>
      <c r="L9">
        <f t="shared" si="8"/>
        <v>242681.00000000012</v>
      </c>
      <c r="O9" s="3">
        <f>$D$18*(1-Accuracy!$D$7)*EXP(K9*(1-Accuracy!$D$9)*($C$18-C9)/(($C$18+273.15)*(C9+273.15)))</f>
        <v>224852.52680971861</v>
      </c>
      <c r="P9" s="3">
        <f>$D$18*(1-Accuracy!$D$7)*EXP(K9*(1+Accuracy!$D$9)*($C$18-C9)/(($C$18+273.15)*(C9+273.15)))</f>
        <v>236385.58529200946</v>
      </c>
      <c r="Q9" s="3">
        <f>$D$18*(1+Accuracy!$D$7)*EXP(K9*(1-Accuracy!$D$9)*($C$18-C9)/(($C$18+273.15)*(C9+273.15)))</f>
        <v>248521.21384232052</v>
      </c>
      <c r="R9" s="3">
        <f>$D$18*(1+Accuracy!$D$7)*EXP(K9*(1+Accuracy!$D$9)*($C$18-C9)/(($C$18+273.15)*(C9+273.15)))</f>
        <v>261268.27848064204</v>
      </c>
      <c r="T9" s="3">
        <f t="shared" si="9"/>
        <v>224852.52680971861</v>
      </c>
      <c r="U9" s="3">
        <f t="shared" si="10"/>
        <v>261268.27848064204</v>
      </c>
      <c r="V9" s="3"/>
      <c r="W9" s="1">
        <f t="shared" si="0"/>
        <v>-7.3464643669184593E-2</v>
      </c>
      <c r="X9" s="1">
        <f t="shared" si="1"/>
        <v>7.6591403862033003E-2</v>
      </c>
      <c r="Y9" s="1"/>
      <c r="Z9" s="4">
        <f t="shared" si="2"/>
        <v>-1.186745505637731</v>
      </c>
      <c r="AA9" s="4">
        <f t="shared" si="3"/>
        <v>1.149705280869199</v>
      </c>
    </row>
    <row r="10" spans="3:27" x14ac:dyDescent="0.2">
      <c r="C10" s="5">
        <f>Accuracy!F9</f>
        <v>-30</v>
      </c>
      <c r="D10" s="5">
        <f>Accuracy!G9</f>
        <v>176973.99999999997</v>
      </c>
      <c r="G10" s="2">
        <f t="shared" si="4"/>
        <v>-30.007008823045112</v>
      </c>
      <c r="H10" s="41">
        <f t="shared" si="5"/>
        <v>2.3362743483712478E-4</v>
      </c>
      <c r="I10" s="4">
        <f t="shared" si="6"/>
        <v>-7.0088230451119671E-3</v>
      </c>
      <c r="K10">
        <f t="shared" si="7"/>
        <v>3761.2185430639884</v>
      </c>
      <c r="L10">
        <f t="shared" si="8"/>
        <v>176973.99999999997</v>
      </c>
      <c r="O10" s="3">
        <f>$D$18*(1-Accuracy!$D$7)*EXP(K10*(1-Accuracy!$D$9)*($C$18-C10)/(($C$18+273.15)*(C10+273.15)))</f>
        <v>164491.22186636258</v>
      </c>
      <c r="P10" s="3">
        <f>$D$18*(1-Accuracy!$D$7)*EXP(K10*(1+Accuracy!$D$9)*($C$18-C10)/(($C$18+273.15)*(C10+273.15)))</f>
        <v>171839.66523790685</v>
      </c>
      <c r="Q10" s="3">
        <f>$D$18*(1+Accuracy!$D$7)*EXP(K10*(1-Accuracy!$D$9)*($C$18-C10)/(($C$18+273.15)*(C10+273.15)))</f>
        <v>181806.08732597969</v>
      </c>
      <c r="R10" s="3">
        <f>$D$18*(1+Accuracy!$D$7)*EXP(K10*(1+Accuracy!$D$9)*($C$18-C10)/(($C$18+273.15)*(C10+273.15)))</f>
        <v>189928.05105242334</v>
      </c>
      <c r="T10" s="3">
        <f t="shared" si="9"/>
        <v>164491.22186636258</v>
      </c>
      <c r="U10" s="3">
        <f t="shared" si="10"/>
        <v>189928.05105242334</v>
      </c>
      <c r="V10" s="3"/>
      <c r="W10" s="1">
        <f t="shared" si="0"/>
        <v>-7.0534531251129517E-2</v>
      </c>
      <c r="X10" s="1">
        <f t="shared" si="1"/>
        <v>7.3197481282128329E-2</v>
      </c>
      <c r="Y10" s="1"/>
      <c r="Z10" s="4">
        <f t="shared" si="2"/>
        <v>-1.1756693419855822</v>
      </c>
      <c r="AA10" s="4">
        <f t="shared" si="3"/>
        <v>1.1402732085246896</v>
      </c>
    </row>
    <row r="11" spans="3:27" x14ac:dyDescent="0.2">
      <c r="C11" s="5">
        <f>Accuracy!F10</f>
        <v>-25</v>
      </c>
      <c r="D11" s="5">
        <f>Accuracy!G10</f>
        <v>130421</v>
      </c>
      <c r="G11" s="2">
        <f t="shared" si="4"/>
        <v>-25.007973790363621</v>
      </c>
      <c r="H11" s="41">
        <f t="shared" si="5"/>
        <v>3.1895161454476018E-4</v>
      </c>
      <c r="I11" s="4">
        <f t="shared" si="6"/>
        <v>-7.9737903636214469E-3</v>
      </c>
      <c r="K11">
        <f t="shared" si="7"/>
        <v>3774.158358150255</v>
      </c>
      <c r="L11">
        <f t="shared" si="8"/>
        <v>130421.00000000001</v>
      </c>
      <c r="O11" s="3">
        <f>$D$18*(1-Accuracy!$D$7)*EXP(K11*(1-Accuracy!$D$9)*($C$18-C11)/(($C$18+273.15)*(C11+273.15)))</f>
        <v>121592.39276858803</v>
      </c>
      <c r="P11" s="3">
        <f>$D$18*(1-Accuracy!$D$7)*EXP(K11*(1+Accuracy!$D$9)*($C$18-C11)/(($C$18+273.15)*(C11+273.15)))</f>
        <v>126251.29961229206</v>
      </c>
      <c r="Q11" s="3">
        <f>$D$18*(1+Accuracy!$D$7)*EXP(K11*(1-Accuracy!$D$9)*($C$18-C11)/(($C$18+273.15)*(C11+273.15)))</f>
        <v>134391.59200738676</v>
      </c>
      <c r="R11" s="3">
        <f>$D$18*(1+Accuracy!$D$7)*EXP(K11*(1+Accuracy!$D$9)*($C$18-C11)/(($C$18+273.15)*(C11+273.15)))</f>
        <v>139540.91009779647</v>
      </c>
      <c r="T11" s="3">
        <f t="shared" si="9"/>
        <v>121592.39276858803</v>
      </c>
      <c r="U11" s="3">
        <f t="shared" si="10"/>
        <v>139540.91009779647</v>
      </c>
      <c r="V11" s="3"/>
      <c r="W11" s="1">
        <f t="shared" si="0"/>
        <v>-6.7693141682796276E-2</v>
      </c>
      <c r="X11" s="1">
        <f t="shared" si="1"/>
        <v>6.9926699671038151E-2</v>
      </c>
      <c r="Y11" s="1"/>
      <c r="Z11" s="4">
        <f t="shared" si="2"/>
        <v>-1.1640864381078018</v>
      </c>
      <c r="AA11" s="4">
        <f t="shared" si="3"/>
        <v>1.1295347408008922</v>
      </c>
    </row>
    <row r="12" spans="3:27" x14ac:dyDescent="0.2">
      <c r="C12" s="5">
        <f>Accuracy!F11</f>
        <v>-20</v>
      </c>
      <c r="D12" s="5">
        <f>Accuracy!G11</f>
        <v>97081</v>
      </c>
      <c r="G12" s="2">
        <f t="shared" si="4"/>
        <v>-20.008357465419948</v>
      </c>
      <c r="H12" s="41">
        <f t="shared" si="5"/>
        <v>4.1787327099740423E-4</v>
      </c>
      <c r="I12" s="4">
        <f t="shared" si="6"/>
        <v>-8.3574654199480847E-3</v>
      </c>
      <c r="K12">
        <f t="shared" si="7"/>
        <v>3786.5268986095693</v>
      </c>
      <c r="L12">
        <f t="shared" si="8"/>
        <v>97081</v>
      </c>
      <c r="O12" s="3">
        <f>$D$18*(1-Accuracy!$D$7)*EXP(K12*(1-Accuracy!$D$9)*($C$18-C12)/(($C$18+273.15)*(C12+273.15)))</f>
        <v>90776.880233116797</v>
      </c>
      <c r="P12" s="3">
        <f>$D$18*(1-Accuracy!$D$7)*EXP(K12*(1+Accuracy!$D$9)*($C$18-C12)/(($C$18+273.15)*(C12+273.15)))</f>
        <v>93700.183179455125</v>
      </c>
      <c r="Q12" s="3">
        <f>$D$18*(1+Accuracy!$D$7)*EXP(K12*(1-Accuracy!$D$9)*($C$18-C12)/(($C$18+273.15)*(C12+273.15)))</f>
        <v>100332.34131028698</v>
      </c>
      <c r="R12" s="3">
        <f>$D$18*(1+Accuracy!$D$7)*EXP(K12*(1+Accuracy!$D$9)*($C$18-C12)/(($C$18+273.15)*(C12+273.15)))</f>
        <v>103563.36035623986</v>
      </c>
      <c r="T12" s="3">
        <f t="shared" si="9"/>
        <v>90776.880233116797</v>
      </c>
      <c r="U12" s="3">
        <f t="shared" si="10"/>
        <v>103563.36035623986</v>
      </c>
      <c r="V12" s="3"/>
      <c r="W12" s="1">
        <f t="shared" si="0"/>
        <v>-6.4936699940082998E-2</v>
      </c>
      <c r="X12" s="1">
        <f t="shared" si="1"/>
        <v>6.6772698635571004E-2</v>
      </c>
      <c r="Y12" s="1"/>
      <c r="Z12" s="4">
        <f t="shared" si="2"/>
        <v>-1.1521834383882492</v>
      </c>
      <c r="AA12" s="4">
        <f t="shared" si="3"/>
        <v>1.1172899213188714</v>
      </c>
    </row>
    <row r="13" spans="3:27" x14ac:dyDescent="0.2">
      <c r="C13" s="5">
        <f>Accuracy!F12</f>
        <v>-15</v>
      </c>
      <c r="D13" s="5">
        <f>Accuracy!G12</f>
        <v>72957</v>
      </c>
      <c r="G13" s="2">
        <f t="shared" si="4"/>
        <v>-15.007970426303018</v>
      </c>
      <c r="H13" s="41">
        <f>0</f>
        <v>0</v>
      </c>
      <c r="I13" s="4">
        <f t="shared" si="6"/>
        <v>-7.97042630301803E-3</v>
      </c>
      <c r="K13">
        <f t="shared" si="7"/>
        <v>3798.3182594661839</v>
      </c>
      <c r="L13">
        <f t="shared" si="8"/>
        <v>72957.000000000015</v>
      </c>
      <c r="O13" s="3">
        <f>$D$18*(1-Accuracy!$D$7)*EXP(K13*(1-Accuracy!$D$9)*($C$18-C13)/(($C$18+273.15)*(C13+273.15)))</f>
        <v>68414.577937711452</v>
      </c>
      <c r="P13" s="3">
        <f>$D$18*(1-Accuracy!$D$7)*EXP(K13*(1+Accuracy!$D$9)*($C$18-C13)/(($C$18+273.15)*(C13+273.15)))</f>
        <v>70215.419264825672</v>
      </c>
      <c r="Q13" s="3">
        <f>$D$18*(1+Accuracy!$D$7)*EXP(K13*(1-Accuracy!$D$9)*($C$18-C13)/(($C$18+273.15)*(C13+273.15)))</f>
        <v>75616.112457470546</v>
      </c>
      <c r="R13" s="3">
        <f>$D$18*(1+Accuracy!$D$7)*EXP(K13*(1+Accuracy!$D$9)*($C$18-C13)/(($C$18+273.15)*(C13+273.15)))</f>
        <v>77606.516029544146</v>
      </c>
      <c r="T13" s="3">
        <f t="shared" si="9"/>
        <v>68414.577937711452</v>
      </c>
      <c r="U13" s="3">
        <f t="shared" si="10"/>
        <v>77606.516029544146</v>
      </c>
      <c r="V13" s="3"/>
      <c r="W13" s="1">
        <f t="shared" si="0"/>
        <v>-6.2261634418747325E-2</v>
      </c>
      <c r="X13" s="1">
        <f t="shared" si="1"/>
        <v>6.3729539722633177E-2</v>
      </c>
      <c r="Y13" s="1"/>
      <c r="Z13" s="4">
        <f t="shared" si="2"/>
        <v>-1.1401431411088652</v>
      </c>
      <c r="AA13" s="4">
        <f t="shared" si="3"/>
        <v>1.1033420313324314</v>
      </c>
    </row>
    <row r="14" spans="3:27" x14ac:dyDescent="0.2">
      <c r="C14" s="5">
        <f>Accuracy!F13</f>
        <v>-10</v>
      </c>
      <c r="D14" s="5">
        <f>Accuracy!G13</f>
        <v>55329</v>
      </c>
      <c r="G14" s="2">
        <f t="shared" si="4"/>
        <v>-10.006528402106198</v>
      </c>
      <c r="H14" s="41">
        <f t="shared" ref="H14:H35" si="11">(G14)/(C14)-1</f>
        <v>6.5284021061984276E-4</v>
      </c>
      <c r="I14" s="4">
        <f t="shared" si="6"/>
        <v>-6.5284021061984276E-3</v>
      </c>
      <c r="K14">
        <f t="shared" si="7"/>
        <v>3809.4722537941416</v>
      </c>
      <c r="L14">
        <f t="shared" si="8"/>
        <v>55329</v>
      </c>
      <c r="O14" s="3">
        <f>$D$18*(1-Accuracy!$D$7)*EXP(K14*(1-Accuracy!$D$9)*($C$18-C14)/(($C$18+273.15)*(C14+273.15)))</f>
        <v>52027.822156284281</v>
      </c>
      <c r="P14" s="3">
        <f>$D$18*(1-Accuracy!$D$7)*EXP(K14*(1+Accuracy!$D$9)*($C$18-C14)/(($C$18+273.15)*(C14+273.15)))</f>
        <v>53102.773631449934</v>
      </c>
      <c r="Q14" s="3">
        <f>$D$18*(1+Accuracy!$D$7)*EXP(K14*(1-Accuracy!$D$9)*($C$18-C14)/(($C$18+273.15)*(C14+273.15)))</f>
        <v>57504.435014840514</v>
      </c>
      <c r="R14" s="3">
        <f>$D$18*(1+Accuracy!$D$7)*EXP(K14*(1+Accuracy!$D$9)*($C$18-C14)/(($C$18+273.15)*(C14+273.15)))</f>
        <v>58692.539276865718</v>
      </c>
      <c r="T14" s="3">
        <f t="shared" si="9"/>
        <v>52027.822156284281</v>
      </c>
      <c r="U14" s="3">
        <f t="shared" si="10"/>
        <v>58692.539276865718</v>
      </c>
      <c r="V14" s="3"/>
      <c r="W14" s="1">
        <f t="shared" si="0"/>
        <v>-5.9664513071187253E-2</v>
      </c>
      <c r="X14" s="1">
        <f t="shared" si="1"/>
        <v>6.0791615190329162E-2</v>
      </c>
      <c r="Y14" s="1"/>
      <c r="Z14" s="4">
        <f t="shared" si="2"/>
        <v>-1.1282426814263999</v>
      </c>
      <c r="AA14" s="4">
        <f t="shared" si="3"/>
        <v>1.0873989514142295</v>
      </c>
    </row>
    <row r="15" spans="3:27" x14ac:dyDescent="0.2">
      <c r="C15" s="5">
        <f>Accuracy!F14</f>
        <v>-5</v>
      </c>
      <c r="D15" s="5">
        <f>Accuracy!G14</f>
        <v>42327</v>
      </c>
      <c r="G15" s="2">
        <f t="shared" si="4"/>
        <v>-5.0040599417303042</v>
      </c>
      <c r="H15" s="41">
        <f t="shared" si="11"/>
        <v>8.1198834606088788E-4</v>
      </c>
      <c r="I15" s="4">
        <f t="shared" si="6"/>
        <v>-4.0599417303042173E-3</v>
      </c>
      <c r="K15">
        <f t="shared" si="7"/>
        <v>3819.8972075082006</v>
      </c>
      <c r="L15">
        <f t="shared" si="8"/>
        <v>42327</v>
      </c>
      <c r="O15" s="3">
        <f>$D$18*(1-Accuracy!$D$7)*EXP(K15*(1-Accuracy!$D$9)*($C$18-C15)/(($C$18+273.15)*(C15+273.15)))</f>
        <v>39908.340371777813</v>
      </c>
      <c r="P15" s="3">
        <f>$D$18*(1-Accuracy!$D$7)*EXP(K15*(1+Accuracy!$D$9)*($C$18-C15)/(($C$18+273.15)*(C15+273.15)))</f>
        <v>40515.249653576902</v>
      </c>
      <c r="Q15" s="3">
        <f>$D$18*(1+Accuracy!$D$7)*EXP(K15*(1-Accuracy!$D$9)*($C$18-C15)/(($C$18+273.15)*(C15+273.15)))</f>
        <v>44109.218305649163</v>
      </c>
      <c r="R15" s="3">
        <f>$D$18*(1+Accuracy!$D$7)*EXP(K15*(1+Accuracy!$D$9)*($C$18-C15)/(($C$18+273.15)*(C15+273.15)))</f>
        <v>44780.012775006049</v>
      </c>
      <c r="T15" s="3">
        <f t="shared" si="9"/>
        <v>39908.340371777813</v>
      </c>
      <c r="U15" s="3">
        <f t="shared" si="10"/>
        <v>44780.012775006049</v>
      </c>
      <c r="V15" s="3"/>
      <c r="W15" s="1">
        <f t="shared" si="0"/>
        <v>-5.7142240844429981E-2</v>
      </c>
      <c r="X15" s="1">
        <f t="shared" si="1"/>
        <v>5.7953853923170762E-2</v>
      </c>
      <c r="Y15" s="1"/>
      <c r="Z15" s="4">
        <f t="shared" si="2"/>
        <v>-1.1164470193170928</v>
      </c>
      <c r="AA15" s="4">
        <f t="shared" si="3"/>
        <v>1.0694820827919784</v>
      </c>
    </row>
    <row r="16" spans="3:27" x14ac:dyDescent="0.2">
      <c r="C16" s="5">
        <f>Accuracy!F15</f>
        <v>0</v>
      </c>
      <c r="D16" s="5">
        <f>Accuracy!G15</f>
        <v>32650</v>
      </c>
      <c r="G16" s="2">
        <f t="shared" si="4"/>
        <v>0</v>
      </c>
      <c r="H16" s="41" t="e">
        <f t="shared" si="11"/>
        <v>#DIV/0!</v>
      </c>
      <c r="I16" s="4">
        <f t="shared" si="6"/>
        <v>0</v>
      </c>
      <c r="K16">
        <f t="shared" si="7"/>
        <v>3829.0290073907991</v>
      </c>
      <c r="L16">
        <f t="shared" si="8"/>
        <v>32650</v>
      </c>
      <c r="O16" s="3">
        <f>$D$18*(1-Accuracy!$D$7)*EXP(K16*(1-Accuracy!$D$9)*($C$18-C16)/(($C$18+273.15)*(C16+273.15)))</f>
        <v>30864.319642558028</v>
      </c>
      <c r="P16" s="3">
        <f>$D$18*(1-Accuracy!$D$7)*EXP(K16*(1+Accuracy!$D$9)*($C$18-C16)/(($C$18+273.15)*(C16+273.15)))</f>
        <v>31171.440595223903</v>
      </c>
      <c r="Q16" s="3">
        <f>$D$18*(1+Accuracy!$D$7)*EXP(K16*(1-Accuracy!$D$9)*($C$18-C16)/(($C$18+273.15)*(C16+273.15)))</f>
        <v>34113.195394406241</v>
      </c>
      <c r="R16" s="3">
        <f>$D$18*(1+Accuracy!$D$7)*EXP(K16*(1+Accuracy!$D$9)*($C$18-C16)/(($C$18+273.15)*(C16+273.15)))</f>
        <v>34452.644868405368</v>
      </c>
      <c r="T16" s="3">
        <f t="shared" si="9"/>
        <v>30864.319642558028</v>
      </c>
      <c r="U16" s="3">
        <f t="shared" si="10"/>
        <v>34452.644868405368</v>
      </c>
      <c r="V16" s="3"/>
      <c r="W16" s="1">
        <f t="shared" si="0"/>
        <v>-5.4691588283061976E-2</v>
      </c>
      <c r="X16" s="1">
        <f t="shared" si="1"/>
        <v>5.5211175142584112E-2</v>
      </c>
      <c r="Y16" s="1"/>
      <c r="Z16" s="4">
        <f t="shared" si="2"/>
        <v>-1.1053128435305553</v>
      </c>
      <c r="AA16" s="4">
        <f t="shared" si="3"/>
        <v>1.0490172105581337</v>
      </c>
    </row>
    <row r="17" spans="3:27" x14ac:dyDescent="0.2">
      <c r="C17" s="5">
        <f>Accuracy!F16</f>
        <v>5</v>
      </c>
      <c r="D17" s="5">
        <f>Accuracy!G16</f>
        <v>25392</v>
      </c>
      <c r="G17" s="2">
        <f t="shared" si="4"/>
        <v>5.0009070229763779</v>
      </c>
      <c r="H17" s="41">
        <f t="shared" si="11"/>
        <v>1.8140459527549169E-4</v>
      </c>
      <c r="I17" s="4">
        <f t="shared" si="6"/>
        <v>9.0702297637790252E-4</v>
      </c>
      <c r="K17">
        <f t="shared" si="7"/>
        <v>3838.1091365486418</v>
      </c>
      <c r="L17">
        <f t="shared" si="8"/>
        <v>25392</v>
      </c>
      <c r="O17" s="3">
        <f>$D$18*(1-Accuracy!$D$7)*EXP(K17*(1-Accuracy!$D$9)*($C$18-C17)/(($C$18+273.15)*(C17+273.15)))</f>
        <v>24063.693903257943</v>
      </c>
      <c r="P17" s="3">
        <f>$D$18*(1-Accuracy!$D$7)*EXP(K17*(1+Accuracy!$D$9)*($C$18-C17)/(($C$18+273.15)*(C17+273.15)))</f>
        <v>24181.249316889742</v>
      </c>
      <c r="Q17" s="3">
        <f>$D$18*(1+Accuracy!$D$7)*EXP(K17*(1-Accuracy!$D$9)*($C$18-C17)/(($C$18+273.15)*(C17+273.15)))</f>
        <v>26596.714314127199</v>
      </c>
      <c r="R17" s="3">
        <f>$D$18*(1+Accuracy!$D$7)*EXP(K17*(1+Accuracy!$D$9)*($C$18-C17)/(($C$18+273.15)*(C17+273.15)))</f>
        <v>26726.643981825502</v>
      </c>
      <c r="T17" s="3">
        <f t="shared" si="9"/>
        <v>24063.693903257943</v>
      </c>
      <c r="U17" s="3">
        <f t="shared" si="10"/>
        <v>26726.643981825502</v>
      </c>
      <c r="V17" s="3"/>
      <c r="W17" s="1">
        <f t="shared" si="0"/>
        <v>-5.231199183766766E-2</v>
      </c>
      <c r="X17" s="1">
        <f t="shared" si="1"/>
        <v>5.2561593487141733E-2</v>
      </c>
      <c r="Y17" s="1"/>
      <c r="Z17" s="4">
        <f t="shared" si="2"/>
        <v>-1.090104586482596</v>
      </c>
      <c r="AA17" s="4">
        <f t="shared" si="3"/>
        <v>1.030758058075719</v>
      </c>
    </row>
    <row r="18" spans="3:27" x14ac:dyDescent="0.2">
      <c r="C18" s="5">
        <f>Accuracy!F17</f>
        <v>10</v>
      </c>
      <c r="D18" s="5">
        <f>Accuracy!G17</f>
        <v>19901</v>
      </c>
      <c r="G18" s="2">
        <f t="shared" si="4"/>
        <v>10</v>
      </c>
      <c r="H18" s="41">
        <f t="shared" si="11"/>
        <v>0</v>
      </c>
      <c r="I18" s="4">
        <f t="shared" si="6"/>
        <v>0</v>
      </c>
      <c r="K18">
        <f>(K19-K17)/2+K17</f>
        <v>3847.387560452381</v>
      </c>
      <c r="L18">
        <f t="shared" si="8"/>
        <v>19901</v>
      </c>
      <c r="O18" s="3">
        <f>$D$18*(1-Accuracy!$D$7)*EXP(K18*(1-Accuracy!$D$9)*($C$18-C18)/(($C$18+273.15)*(C18+273.15)))</f>
        <v>18905.95</v>
      </c>
      <c r="P18" s="3">
        <f>$D$18*(1-Accuracy!$D$7)*EXP(K18*(1+Accuracy!$D$9)*($C$18-C18)/(($C$18+273.15)*(C18+273.15)))</f>
        <v>18905.95</v>
      </c>
      <c r="Q18" s="3">
        <f>$D$18*(1+Accuracy!$D$7)*EXP(K18*(1-Accuracy!$D$9)*($C$18-C18)/(($C$18+273.15)*(C18+273.15)))</f>
        <v>20896.05</v>
      </c>
      <c r="R18" s="3">
        <f>$D$18*(1+Accuracy!$D$7)*EXP(K18*(1+Accuracy!$D$9)*($C$18-C18)/(($C$18+273.15)*(C18+273.15)))</f>
        <v>20896.05</v>
      </c>
      <c r="T18" s="3">
        <f t="shared" si="9"/>
        <v>18905.95</v>
      </c>
      <c r="U18" s="3">
        <f t="shared" si="10"/>
        <v>20896.05</v>
      </c>
      <c r="V18" s="3"/>
      <c r="W18" s="1">
        <f t="shared" si="0"/>
        <v>-4.9999999999999933E-2</v>
      </c>
      <c r="X18" s="1">
        <f t="shared" si="1"/>
        <v>5.0000000000000044E-2</v>
      </c>
      <c r="Y18" s="1"/>
      <c r="Z18" s="4">
        <f t="shared" si="2"/>
        <v>-1.0721522342302023</v>
      </c>
      <c r="AA18" s="4">
        <f t="shared" si="3"/>
        <v>1.0133558961025528</v>
      </c>
    </row>
    <row r="19" spans="3:27" x14ac:dyDescent="0.2">
      <c r="C19" s="5">
        <f>Accuracy!F18</f>
        <v>15</v>
      </c>
      <c r="D19" s="5">
        <f>Accuracy!G18</f>
        <v>15712</v>
      </c>
      <c r="G19" s="2">
        <f t="shared" si="4"/>
        <v>14.99930495986473</v>
      </c>
      <c r="H19" s="41">
        <f t="shared" si="11"/>
        <v>-4.6336009017933222E-5</v>
      </c>
      <c r="I19" s="4">
        <f t="shared" si="6"/>
        <v>-6.9504013526966446E-4</v>
      </c>
      <c r="K19">
        <f t="shared" si="7"/>
        <v>3856.6659843561197</v>
      </c>
      <c r="L19">
        <f t="shared" si="8"/>
        <v>15712</v>
      </c>
      <c r="O19" s="3">
        <f>$D$18*(1-Accuracy!$D$7)*EXP(K19*(1-Accuracy!$D$9)*($C$18-C19)/(($C$18+273.15)*(C19+273.15)))</f>
        <v>14961.719556029457</v>
      </c>
      <c r="P19" s="3">
        <f>$D$18*(1-Accuracy!$D$7)*EXP(K19*(1+Accuracy!$D$9)*($C$18-C19)/(($C$18+273.15)*(C19+273.15)))</f>
        <v>14891.163821488311</v>
      </c>
      <c r="Q19" s="3">
        <f>$D$18*(1+Accuracy!$D$7)*EXP(K19*(1-Accuracy!$D$9)*($C$18-C19)/(($C$18+273.15)*(C19+273.15)))</f>
        <v>16536.637404032557</v>
      </c>
      <c r="R19" s="3">
        <f>$D$18*(1+Accuracy!$D$7)*EXP(K19*(1+Accuracy!$D$9)*($C$18-C19)/(($C$18+273.15)*(C19+273.15)))</f>
        <v>16458.654750066027</v>
      </c>
      <c r="T19" s="3">
        <f t="shared" si="9"/>
        <v>14891.163821488311</v>
      </c>
      <c r="U19" s="3">
        <f t="shared" si="10"/>
        <v>16536.637404032557</v>
      </c>
      <c r="V19" s="3"/>
      <c r="W19" s="1">
        <f t="shared" si="0"/>
        <v>-5.2242628469430286E-2</v>
      </c>
      <c r="X19" s="1">
        <f t="shared" si="1"/>
        <v>5.2484559828956057E-2</v>
      </c>
      <c r="Y19" s="1"/>
      <c r="Z19" s="4">
        <f t="shared" si="2"/>
        <v>-1.1556631641525428</v>
      </c>
      <c r="AA19" s="4">
        <f t="shared" si="3"/>
        <v>1.0956482120326996</v>
      </c>
    </row>
    <row r="20" spans="3:27" x14ac:dyDescent="0.2">
      <c r="C20" s="5">
        <f>Accuracy!F19</f>
        <v>20</v>
      </c>
      <c r="D20" s="5">
        <f>Accuracy!G19</f>
        <v>12493</v>
      </c>
      <c r="G20" s="2">
        <f t="shared" si="4"/>
        <v>19.997121982429917</v>
      </c>
      <c r="H20" s="41">
        <f t="shared" si="11"/>
        <v>-1.4390087850413291E-4</v>
      </c>
      <c r="I20" s="4">
        <f t="shared" si="6"/>
        <v>-2.8780175700831023E-3</v>
      </c>
      <c r="K20">
        <f t="shared" si="7"/>
        <v>3864.7448748884863</v>
      </c>
      <c r="L20">
        <f t="shared" si="8"/>
        <v>12493</v>
      </c>
      <c r="O20" s="3">
        <f>$D$18*(1-Accuracy!$D$7)*EXP(K20*(1-Accuracy!$D$9)*($C$18-C20)/(($C$18+273.15)*(C20+273.15)))</f>
        <v>11923.738058699519</v>
      </c>
      <c r="P20" s="3">
        <f>$D$18*(1-Accuracy!$D$7)*EXP(K20*(1+Accuracy!$D$9)*($C$18-C20)/(($C$18+273.15)*(C20+273.15)))</f>
        <v>11813.219229495793</v>
      </c>
      <c r="Q20" s="3">
        <f>$D$18*(1+Accuracy!$D$7)*EXP(K20*(1-Accuracy!$D$9)*($C$18-C20)/(($C$18+273.15)*(C20+273.15)))</f>
        <v>13178.868380667887</v>
      </c>
      <c r="R20" s="3">
        <f>$D$18*(1+Accuracy!$D$7)*EXP(K20*(1+Accuracy!$D$9)*($C$18-C20)/(($C$18+273.15)*(C20+273.15)))</f>
        <v>13056.71599049535</v>
      </c>
      <c r="T20" s="3">
        <f t="shared" si="9"/>
        <v>11813.219229495793</v>
      </c>
      <c r="U20" s="3">
        <f t="shared" si="10"/>
        <v>13178.868380667887</v>
      </c>
      <c r="V20" s="3"/>
      <c r="W20" s="1">
        <f t="shared" si="0"/>
        <v>-5.4412932882750842E-2</v>
      </c>
      <c r="X20" s="1">
        <f t="shared" si="1"/>
        <v>5.4900214573592176E-2</v>
      </c>
      <c r="Y20" s="1"/>
      <c r="Z20" s="4">
        <f t="shared" si="2"/>
        <v>-1.2398271555051679</v>
      </c>
      <c r="AA20" s="4">
        <f t="shared" si="3"/>
        <v>1.1814542945498943</v>
      </c>
    </row>
    <row r="21" spans="3:27" x14ac:dyDescent="0.2">
      <c r="C21" s="5">
        <f>Accuracy!F20</f>
        <v>25</v>
      </c>
      <c r="D21" s="5">
        <f>Accuracy!G20</f>
        <v>10000</v>
      </c>
      <c r="G21" s="2">
        <f t="shared" si="4"/>
        <v>24.996158073336574</v>
      </c>
      <c r="H21" s="41">
        <f t="shared" si="11"/>
        <v>-1.5367706653701685E-4</v>
      </c>
      <c r="I21" s="4">
        <f t="shared" si="6"/>
        <v>-3.8419266634264204E-3</v>
      </c>
      <c r="K21">
        <f t="shared" si="7"/>
        <v>3873.1583468919757</v>
      </c>
      <c r="L21">
        <f t="shared" si="8"/>
        <v>9999.9999999999982</v>
      </c>
      <c r="O21" s="3">
        <f>$D$18*(1-Accuracy!$D$7)*EXP(K21*(1-Accuracy!$D$9)*($C$18-C21)/(($C$18+273.15)*(C21+273.15)))</f>
        <v>9565.6030406231421</v>
      </c>
      <c r="P21" s="3">
        <f>$D$18*(1-Accuracy!$D$7)*EXP(K21*(1+Accuracy!$D$9)*($C$18-C21)/(($C$18+273.15)*(C21+273.15)))</f>
        <v>9434.8468796715533</v>
      </c>
      <c r="Q21" s="3">
        <f>$D$18*(1+Accuracy!$D$7)*EXP(K21*(1-Accuracy!$D$9)*($C$18-C21)/(($C$18+273.15)*(C21+273.15)))</f>
        <v>10572.50862384663</v>
      </c>
      <c r="R21" s="3">
        <f>$D$18*(1+Accuracy!$D$7)*EXP(K21*(1+Accuracy!$D$9)*($C$18-C21)/(($C$18+273.15)*(C21+273.15)))</f>
        <v>10427.988656479085</v>
      </c>
      <c r="T21" s="3">
        <f t="shared" si="9"/>
        <v>9434.8468796715533</v>
      </c>
      <c r="U21" s="3">
        <f t="shared" si="10"/>
        <v>10572.50862384663</v>
      </c>
      <c r="V21" s="3"/>
      <c r="W21" s="1">
        <f t="shared" si="0"/>
        <v>-5.6515312032844656E-2</v>
      </c>
      <c r="X21" s="1">
        <f t="shared" si="1"/>
        <v>5.7250862384663037E-2</v>
      </c>
      <c r="Y21" s="1"/>
      <c r="Z21" s="4">
        <f t="shared" si="2"/>
        <v>-1.3274090774376646</v>
      </c>
      <c r="AA21" s="4">
        <f t="shared" si="3"/>
        <v>1.2681202913687457</v>
      </c>
    </row>
    <row r="22" spans="3:27" x14ac:dyDescent="0.2">
      <c r="C22" s="5">
        <f>Accuracy!F21</f>
        <v>30</v>
      </c>
      <c r="D22" s="5">
        <f>Accuracy!G21</f>
        <v>8057</v>
      </c>
      <c r="G22" s="2">
        <f t="shared" si="4"/>
        <v>29.993172514268053</v>
      </c>
      <c r="H22" s="41">
        <f t="shared" si="11"/>
        <v>-2.2758285773150089E-4</v>
      </c>
      <c r="I22" s="4">
        <f t="shared" si="6"/>
        <v>-6.8274857319465809E-3</v>
      </c>
      <c r="K22">
        <f t="shared" si="7"/>
        <v>3880.8104547801072</v>
      </c>
      <c r="L22">
        <f t="shared" si="8"/>
        <v>8057</v>
      </c>
      <c r="O22" s="3">
        <f>$D$18*(1-Accuracy!$D$7)*EXP(K22*(1-Accuracy!$D$9)*($C$18-C22)/(($C$18+273.15)*(C22+273.15)))</f>
        <v>7723.6748795107023</v>
      </c>
      <c r="P22" s="3">
        <f>$D$18*(1-Accuracy!$D$7)*EXP(K22*(1+Accuracy!$D$9)*($C$18-C22)/(($C$18+273.15)*(C22+273.15)))</f>
        <v>7585.2509506732931</v>
      </c>
      <c r="Q22" s="3">
        <f>$D$18*(1+Accuracy!$D$7)*EXP(K22*(1-Accuracy!$D$9)*($C$18-C22)/(($C$18+273.15)*(C22+273.15)))</f>
        <v>8536.693287880249</v>
      </c>
      <c r="R22" s="3">
        <f>$D$18*(1+Accuracy!$D$7)*EXP(K22*(1+Accuracy!$D$9)*($C$18-C22)/(($C$18+273.15)*(C22+273.15)))</f>
        <v>8383.6984191652191</v>
      </c>
      <c r="T22" s="3">
        <f t="shared" si="9"/>
        <v>7585.2509506732931</v>
      </c>
      <c r="U22" s="3">
        <f t="shared" si="10"/>
        <v>8536.693287880249</v>
      </c>
      <c r="V22" s="3"/>
      <c r="W22" s="1">
        <f t="shared" si="0"/>
        <v>-5.8551452069840693E-2</v>
      </c>
      <c r="X22" s="1">
        <f t="shared" si="1"/>
        <v>5.9537456606708394E-2</v>
      </c>
      <c r="Y22" s="1"/>
      <c r="Z22" s="4">
        <f t="shared" si="2"/>
        <v>-1.4151212097115717</v>
      </c>
      <c r="AA22" s="4">
        <f t="shared" si="3"/>
        <v>1.3588385400707921</v>
      </c>
    </row>
    <row r="23" spans="3:27" x14ac:dyDescent="0.2">
      <c r="C23" s="5">
        <f>Accuracy!F22</f>
        <v>35</v>
      </c>
      <c r="D23" s="5">
        <f>Accuracy!G22</f>
        <v>6531</v>
      </c>
      <c r="G23" s="2">
        <f t="shared" si="4"/>
        <v>34.993182767886935</v>
      </c>
      <c r="H23" s="41">
        <f t="shared" si="11"/>
        <v>-1.947780603732685E-4</v>
      </c>
      <c r="I23" s="4">
        <f t="shared" si="6"/>
        <v>-6.8172321130646196E-3</v>
      </c>
      <c r="K23">
        <f t="shared" si="7"/>
        <v>3888.7116977442238</v>
      </c>
      <c r="L23">
        <f t="shared" si="8"/>
        <v>6530.9999999999991</v>
      </c>
      <c r="O23" s="3">
        <f>$D$18*(1-Accuracy!$D$7)*EXP(K23*(1-Accuracy!$D$9)*($C$18-C23)/(($C$18+273.15)*(C23+273.15)))</f>
        <v>6273.9671611701306</v>
      </c>
      <c r="P23" s="3">
        <f>$D$18*(1-Accuracy!$D$7)*EXP(K23*(1+Accuracy!$D$9)*($C$18-C23)/(($C$18+273.15)*(C23+273.15)))</f>
        <v>6135.7031067597145</v>
      </c>
      <c r="Q23" s="3">
        <f>$D$18*(1+Accuracy!$D$7)*EXP(K23*(1-Accuracy!$D$9)*($C$18-C23)/(($C$18+273.15)*(C23+273.15)))</f>
        <v>6934.3847570827747</v>
      </c>
      <c r="R23" s="3">
        <f>$D$18*(1+Accuracy!$D$7)*EXP(K23*(1+Accuracy!$D$9)*($C$18-C23)/(($C$18+273.15)*(C23+273.15)))</f>
        <v>6781.5665916817889</v>
      </c>
      <c r="T23" s="3">
        <f t="shared" si="9"/>
        <v>6135.7031067597145</v>
      </c>
      <c r="U23" s="3">
        <f t="shared" si="10"/>
        <v>6934.3847570827747</v>
      </c>
      <c r="V23" s="3"/>
      <c r="W23" s="1">
        <f t="shared" si="0"/>
        <v>-6.0526243031738702E-2</v>
      </c>
      <c r="X23" s="1">
        <f t="shared" si="1"/>
        <v>6.1764623653770334E-2</v>
      </c>
      <c r="Y23" s="1"/>
      <c r="Z23" s="4">
        <f t="shared" si="2"/>
        <v>-1.5080833224513412</v>
      </c>
      <c r="AA23" s="4">
        <f t="shared" si="3"/>
        <v>1.448687610609511</v>
      </c>
    </row>
    <row r="24" spans="3:27" x14ac:dyDescent="0.2">
      <c r="C24" s="5">
        <f>Accuracy!F23</f>
        <v>40</v>
      </c>
      <c r="D24" s="5">
        <f>Accuracy!G23</f>
        <v>5326</v>
      </c>
      <c r="G24" s="2">
        <f t="shared" si="4"/>
        <v>39.991296780799757</v>
      </c>
      <c r="H24" s="41">
        <f t="shared" si="11"/>
        <v>-2.1758048000608543E-4</v>
      </c>
      <c r="I24" s="4">
        <f t="shared" si="6"/>
        <v>-8.703219200242529E-3</v>
      </c>
      <c r="K24">
        <f t="shared" si="7"/>
        <v>3896.0003216693244</v>
      </c>
      <c r="L24">
        <f t="shared" si="8"/>
        <v>5325.9999999999991</v>
      </c>
      <c r="O24" s="3">
        <f>$D$18*(1-Accuracy!$D$7)*EXP(K24*(1-Accuracy!$D$9)*($C$18-C24)/(($C$18+273.15)*(C24+273.15)))</f>
        <v>5126.836939106367</v>
      </c>
      <c r="P24" s="3">
        <f>$D$18*(1-Accuracy!$D$7)*EXP(K24*(1+Accuracy!$D$9)*($C$18-C24)/(($C$18+273.15)*(C24+273.15)))</f>
        <v>4993.4422323293757</v>
      </c>
      <c r="Q24" s="3">
        <f>$D$18*(1+Accuracy!$D$7)*EXP(K24*(1-Accuracy!$D$9)*($C$18-C24)/(($C$18+273.15)*(C24+273.15)))</f>
        <v>5666.5039853280896</v>
      </c>
      <c r="R24" s="3">
        <f>$D$18*(1+Accuracy!$D$7)*EXP(K24*(1+Accuracy!$D$9)*($C$18-C24)/(($C$18+273.15)*(C24+273.15)))</f>
        <v>5519.067730469309</v>
      </c>
      <c r="T24" s="3">
        <f t="shared" si="9"/>
        <v>4993.4422323293757</v>
      </c>
      <c r="U24" s="3">
        <f t="shared" si="10"/>
        <v>5666.5039853280896</v>
      </c>
      <c r="V24" s="3"/>
      <c r="W24" s="1">
        <f t="shared" si="0"/>
        <v>-6.2440437039170904E-2</v>
      </c>
      <c r="X24" s="1">
        <f t="shared" si="1"/>
        <v>6.3932404304936075E-2</v>
      </c>
      <c r="Y24" s="1"/>
      <c r="Z24" s="4">
        <f t="shared" si="2"/>
        <v>-1.6013234096925544</v>
      </c>
      <c r="AA24" s="4">
        <f t="shared" si="3"/>
        <v>1.5424793198451994</v>
      </c>
    </row>
    <row r="25" spans="3:27" x14ac:dyDescent="0.2">
      <c r="C25" s="5">
        <f>Accuracy!F24</f>
        <v>45</v>
      </c>
      <c r="D25" s="5">
        <f>Accuracy!G24</f>
        <v>4368</v>
      </c>
      <c r="G25" s="2">
        <f t="shared" si="4"/>
        <v>44.990449821252014</v>
      </c>
      <c r="H25" s="41">
        <f t="shared" si="11"/>
        <v>-2.1222619439964507E-4</v>
      </c>
      <c r="I25" s="4">
        <f t="shared" si="6"/>
        <v>-9.5501787479861378E-3</v>
      </c>
      <c r="K25">
        <f t="shared" si="7"/>
        <v>3903.1277578270096</v>
      </c>
      <c r="L25">
        <f t="shared" si="8"/>
        <v>4368</v>
      </c>
      <c r="O25" s="3">
        <f>$D$18*(1-Accuracy!$D$7)*EXP(K25*(1-Accuracy!$D$9)*($C$18-C25)/(($C$18+273.15)*(C25+273.15)))</f>
        <v>4213.0067765779895</v>
      </c>
      <c r="P25" s="3">
        <f>$D$18*(1-Accuracy!$D$7)*EXP(K25*(1+Accuracy!$D$9)*($C$18-C25)/(($C$18+273.15)*(C25+273.15)))</f>
        <v>4087.1475108298455</v>
      </c>
      <c r="Q25" s="3">
        <f>$D$18*(1+Accuracy!$D$7)*EXP(K25*(1-Accuracy!$D$9)*($C$18-C25)/(($C$18+273.15)*(C25+273.15)))</f>
        <v>4656.481174112515</v>
      </c>
      <c r="R25" s="3">
        <f>$D$18*(1+Accuracy!$D$7)*EXP(K25*(1+Accuracy!$D$9)*($C$18-C25)/(($C$18+273.15)*(C25+273.15)))</f>
        <v>4517.3735646014084</v>
      </c>
      <c r="T25" s="3">
        <f t="shared" si="9"/>
        <v>4087.1475108298455</v>
      </c>
      <c r="U25" s="3">
        <f t="shared" si="10"/>
        <v>4656.481174112515</v>
      </c>
      <c r="V25" s="3"/>
      <c r="W25" s="1">
        <f t="shared" si="0"/>
        <v>-6.4297731037123329E-2</v>
      </c>
      <c r="X25" s="1">
        <f t="shared" si="1"/>
        <v>6.6044224842608745E-2</v>
      </c>
      <c r="Y25" s="1"/>
      <c r="Z25" s="4">
        <f t="shared" si="2"/>
        <v>-1.6978419839241496</v>
      </c>
      <c r="AA25" s="4">
        <f t="shared" si="3"/>
        <v>1.6373385098626727</v>
      </c>
    </row>
    <row r="26" spans="3:27" x14ac:dyDescent="0.2">
      <c r="C26" s="5">
        <f>Accuracy!F25</f>
        <v>50</v>
      </c>
      <c r="D26" s="5">
        <f>Accuracy!G25</f>
        <v>3602</v>
      </c>
      <c r="G26" s="2">
        <f t="shared" si="4"/>
        <v>49.98970478539394</v>
      </c>
      <c r="H26" s="41">
        <f t="shared" si="11"/>
        <v>-2.059042921211951E-4</v>
      </c>
      <c r="I26" s="4">
        <f t="shared" si="6"/>
        <v>-1.0295214606060199E-2</v>
      </c>
      <c r="K26">
        <f t="shared" si="7"/>
        <v>3909.9763695133925</v>
      </c>
      <c r="L26">
        <f t="shared" si="8"/>
        <v>3602</v>
      </c>
      <c r="O26" s="3">
        <f>$D$18*(1-Accuracy!$D$7)*EXP(K26*(1-Accuracy!$D$9)*($C$18-C26)/(($C$18+273.15)*(C26+273.15)))</f>
        <v>3480.8926158926711</v>
      </c>
      <c r="P26" s="3">
        <f>$D$18*(1-Accuracy!$D$7)*EXP(K26*(1+Accuracy!$D$9)*($C$18-C26)/(($C$18+273.15)*(C26+273.15)))</f>
        <v>3363.907164656137</v>
      </c>
      <c r="Q26" s="3">
        <f>$D$18*(1+Accuracy!$D$7)*EXP(K26*(1-Accuracy!$D$9)*($C$18-C26)/(($C$18+273.15)*(C26+273.15)))</f>
        <v>3847.3023649340043</v>
      </c>
      <c r="R26" s="3">
        <f>$D$18*(1+Accuracy!$D$7)*EXP(K26*(1+Accuracy!$D$9)*($C$18-C26)/(($C$18+273.15)*(C26+273.15)))</f>
        <v>3718.0026556725725</v>
      </c>
      <c r="T26" s="3">
        <f t="shared" si="9"/>
        <v>3363.907164656137</v>
      </c>
      <c r="U26" s="3">
        <f t="shared" si="10"/>
        <v>3847.3023649340043</v>
      </c>
      <c r="V26" s="3"/>
      <c r="W26" s="1">
        <f t="shared" si="0"/>
        <v>-6.6100176386413967E-2</v>
      </c>
      <c r="X26" s="1">
        <f t="shared" si="1"/>
        <v>6.8101711530817344E-2</v>
      </c>
      <c r="Y26" s="1"/>
      <c r="Z26" s="4">
        <f t="shared" si="2"/>
        <v>-1.7966940837134757</v>
      </c>
      <c r="AA26" s="4">
        <f t="shared" si="3"/>
        <v>1.7341917279231325</v>
      </c>
    </row>
    <row r="27" spans="3:27" x14ac:dyDescent="0.2">
      <c r="C27" s="5">
        <f>Accuracy!F26</f>
        <v>55</v>
      </c>
      <c r="D27" s="5">
        <f>Accuracy!G26</f>
        <v>2985.9999999999995</v>
      </c>
      <c r="G27" s="2">
        <f t="shared" si="4"/>
        <v>54.989197123152735</v>
      </c>
      <c r="H27" s="41">
        <f t="shared" si="11"/>
        <v>-1.9641594267749696E-4</v>
      </c>
      <c r="I27" s="4">
        <f t="shared" si="6"/>
        <v>-1.0802876847264997E-2</v>
      </c>
      <c r="K27">
        <f t="shared" si="7"/>
        <v>3916.5716867816318</v>
      </c>
      <c r="L27">
        <f t="shared" si="8"/>
        <v>2985.9999999999995</v>
      </c>
      <c r="O27" s="3">
        <f>$D$18*(1-Accuracy!$D$7)*EXP(K27*(1-Accuracy!$D$9)*($C$18-C27)/(($C$18+273.15)*(C27+273.15)))</f>
        <v>2891.0210885380247</v>
      </c>
      <c r="P27" s="3">
        <f>$D$18*(1-Accuracy!$D$7)*EXP(K27*(1+Accuracy!$D$9)*($C$18-C27)/(($C$18+273.15)*(C27+273.15)))</f>
        <v>2783.3995822110242</v>
      </c>
      <c r="Q27" s="3">
        <f>$D$18*(1+Accuracy!$D$7)*EXP(K27*(1-Accuracy!$D$9)*($C$18-C27)/(($C$18+273.15)*(C27+273.15)))</f>
        <v>3195.3390978578163</v>
      </c>
      <c r="R27" s="3">
        <f>$D$18*(1+Accuracy!$D$7)*EXP(K27*(1+Accuracy!$D$9)*($C$18-C27)/(($C$18+273.15)*(C27+273.15)))</f>
        <v>3076.3890119174475</v>
      </c>
      <c r="T27" s="3">
        <f t="shared" si="9"/>
        <v>2783.3995822110242</v>
      </c>
      <c r="U27" s="3">
        <f t="shared" si="10"/>
        <v>3195.3390978578163</v>
      </c>
      <c r="V27" s="3"/>
      <c r="W27" s="1">
        <f t="shared" si="0"/>
        <v>-6.7850106426314616E-2</v>
      </c>
      <c r="X27" s="1">
        <f t="shared" si="1"/>
        <v>7.0106864654325696E-2</v>
      </c>
      <c r="Y27" s="1"/>
      <c r="Z27" s="4">
        <f t="shared" si="2"/>
        <v>-1.8980274138621667</v>
      </c>
      <c r="AA27" s="4">
        <f t="shared" si="3"/>
        <v>1.8329123821392272</v>
      </c>
    </row>
    <row r="28" spans="3:27" x14ac:dyDescent="0.2">
      <c r="C28" s="5">
        <f>Accuracy!F27</f>
        <v>60</v>
      </c>
      <c r="D28" s="5">
        <f>Accuracy!G27</f>
        <v>2488</v>
      </c>
      <c r="G28" s="2">
        <f t="shared" si="4"/>
        <v>59.987828016846152</v>
      </c>
      <c r="H28" s="41">
        <f t="shared" si="11"/>
        <v>-2.0286638589750439E-4</v>
      </c>
      <c r="I28" s="4">
        <f t="shared" si="6"/>
        <v>-1.2171983153848487E-2</v>
      </c>
      <c r="K28">
        <f t="shared" si="7"/>
        <v>3922.8491920214628</v>
      </c>
      <c r="L28">
        <f t="shared" si="8"/>
        <v>2487.9999999999995</v>
      </c>
      <c r="O28" s="3">
        <f>$D$18*(1-Accuracy!$D$7)*EXP(K28*(1-Accuracy!$D$9)*($C$18-C28)/(($C$18+273.15)*(C28+273.15)))</f>
        <v>2413.2606226944208</v>
      </c>
      <c r="P28" s="3">
        <f>$D$18*(1-Accuracy!$D$7)*EXP(K28*(1+Accuracy!$D$9)*($C$18-C28)/(($C$18+273.15)*(C28+273.15)))</f>
        <v>2314.9613048268775</v>
      </c>
      <c r="Q28" s="3">
        <f>$D$18*(1+Accuracy!$D$7)*EXP(K28*(1-Accuracy!$D$9)*($C$18-C28)/(($C$18+273.15)*(C28+273.15)))</f>
        <v>2667.2880566622543</v>
      </c>
      <c r="R28" s="3">
        <f>$D$18*(1+Accuracy!$D$7)*EXP(K28*(1+Accuracy!$D$9)*($C$18-C28)/(($C$18+273.15)*(C28+273.15)))</f>
        <v>2558.6414421770751</v>
      </c>
      <c r="T28" s="3">
        <f t="shared" si="9"/>
        <v>2314.9613048268775</v>
      </c>
      <c r="U28" s="3">
        <f t="shared" si="10"/>
        <v>2667.2880566622543</v>
      </c>
      <c r="V28" s="3"/>
      <c r="W28" s="1">
        <f t="shared" si="0"/>
        <v>-6.9549314780193883E-2</v>
      </c>
      <c r="X28" s="1">
        <f t="shared" si="1"/>
        <v>7.2061116021806315E-2</v>
      </c>
      <c r="Y28" s="1"/>
      <c r="Z28" s="4">
        <f t="shared" si="2"/>
        <v>-2.0007293837937254</v>
      </c>
      <c r="AA28" s="4">
        <f t="shared" si="3"/>
        <v>1.9345830479265942</v>
      </c>
    </row>
    <row r="29" spans="3:27" x14ac:dyDescent="0.2">
      <c r="C29" s="5">
        <f>Accuracy!F28</f>
        <v>65</v>
      </c>
      <c r="D29" s="5">
        <f>Accuracy!G28</f>
        <v>2083</v>
      </c>
      <c r="G29" s="2">
        <f t="shared" si="4"/>
        <v>64.988968129138073</v>
      </c>
      <c r="H29" s="41">
        <f t="shared" si="11"/>
        <v>-1.6972109018353887E-4</v>
      </c>
      <c r="I29" s="4">
        <f t="shared" si="6"/>
        <v>-1.1031870861927473E-2</v>
      </c>
      <c r="K29">
        <f t="shared" si="7"/>
        <v>3929.0475800940803</v>
      </c>
      <c r="L29">
        <f t="shared" si="8"/>
        <v>2083</v>
      </c>
      <c r="O29" s="3">
        <f>$D$18*(1-Accuracy!$D$7)*EXP(K29*(1-Accuracy!$D$9)*($C$18-C29)/(($C$18+273.15)*(C29+273.15)))</f>
        <v>2024.0196828085936</v>
      </c>
      <c r="P29" s="3">
        <f>$D$18*(1-Accuracy!$D$7)*EXP(K29*(1+Accuracy!$D$9)*($C$18-C29)/(($C$18+273.15)*(C29+273.15)))</f>
        <v>1934.6883608692206</v>
      </c>
      <c r="Q29" s="3">
        <f>$D$18*(1+Accuracy!$D$7)*EXP(K29*(1-Accuracy!$D$9)*($C$18-C29)/(($C$18+273.15)*(C29+273.15)))</f>
        <v>2237.0743862621298</v>
      </c>
      <c r="R29" s="3">
        <f>$D$18*(1+Accuracy!$D$7)*EXP(K29*(1+Accuracy!$D$9)*($C$18-C29)/(($C$18+273.15)*(C29+273.15)))</f>
        <v>2138.3397672765068</v>
      </c>
      <c r="T29" s="3">
        <f t="shared" si="9"/>
        <v>1934.6883608692206</v>
      </c>
      <c r="U29" s="3">
        <f t="shared" si="10"/>
        <v>2237.0743862621298</v>
      </c>
      <c r="V29" s="3"/>
      <c r="W29" s="1">
        <f t="shared" si="0"/>
        <v>-7.1200978939404469E-2</v>
      </c>
      <c r="X29" s="1">
        <f t="shared" si="1"/>
        <v>7.3967540212256155E-2</v>
      </c>
      <c r="Y29" s="1"/>
      <c r="Z29" s="4">
        <f t="shared" si="2"/>
        <v>-2.1082506928616453</v>
      </c>
      <c r="AA29" s="4">
        <f t="shared" si="3"/>
        <v>2.0359071870900038</v>
      </c>
    </row>
    <row r="30" spans="3:27" x14ac:dyDescent="0.2">
      <c r="C30" s="5">
        <f>Accuracy!F29</f>
        <v>70</v>
      </c>
      <c r="D30" s="5">
        <f>Accuracy!G29</f>
        <v>1752</v>
      </c>
      <c r="G30" s="2">
        <f t="shared" si="4"/>
        <v>69.992326087123843</v>
      </c>
      <c r="H30" s="41">
        <f t="shared" si="11"/>
        <v>-1.0962732680219744E-4</v>
      </c>
      <c r="I30" s="4">
        <f t="shared" si="6"/>
        <v>-7.6739128761573738E-3</v>
      </c>
      <c r="K30">
        <f t="shared" si="7"/>
        <v>3935.1177763613291</v>
      </c>
      <c r="L30">
        <f t="shared" si="8"/>
        <v>1751.9999999999998</v>
      </c>
      <c r="O30" s="3">
        <f>$D$18*(1-Accuracy!$D$7)*EXP(K30*(1-Accuracy!$D$9)*($C$18-C30)/(($C$18+273.15)*(C30+273.15)))</f>
        <v>1705.3405349204927</v>
      </c>
      <c r="P30" s="3">
        <f>$D$18*(1-Accuracy!$D$7)*EXP(K30*(1+Accuracy!$D$9)*($C$18-C30)/(($C$18+273.15)*(C30+273.15)))</f>
        <v>1624.4423346971894</v>
      </c>
      <c r="Q30" s="3">
        <f>$D$18*(1+Accuracy!$D$7)*EXP(K30*(1-Accuracy!$D$9)*($C$18-C30)/(($C$18+273.15)*(C30+273.15)))</f>
        <v>1884.8500649121233</v>
      </c>
      <c r="R30" s="3">
        <f>$D$18*(1+Accuracy!$D$7)*EXP(K30*(1+Accuracy!$D$9)*($C$18-C30)/(($C$18+273.15)*(C30+273.15)))</f>
        <v>1795.4362646653144</v>
      </c>
      <c r="T30" s="3">
        <f t="shared" si="9"/>
        <v>1624.4423346971894</v>
      </c>
      <c r="U30" s="3">
        <f t="shared" si="10"/>
        <v>1884.8500649121233</v>
      </c>
      <c r="V30" s="3"/>
      <c r="W30" s="1">
        <f t="shared" si="0"/>
        <v>-7.2806886588362207E-2</v>
      </c>
      <c r="X30" s="1">
        <f t="shared" si="1"/>
        <v>7.5827662621074987E-2</v>
      </c>
      <c r="Y30" s="1"/>
      <c r="Z30" s="4">
        <f t="shared" si="2"/>
        <v>-2.2203054512447693</v>
      </c>
      <c r="AA30" s="4">
        <f t="shared" si="3"/>
        <v>2.1371783691621431</v>
      </c>
    </row>
    <row r="31" spans="3:27" x14ac:dyDescent="0.2">
      <c r="C31" s="5">
        <f>Accuracy!F30</f>
        <v>75</v>
      </c>
      <c r="D31" s="5">
        <f>Accuracy!G30</f>
        <v>1480</v>
      </c>
      <c r="G31" s="2">
        <f t="shared" si="4"/>
        <v>75.001343330106522</v>
      </c>
      <c r="H31" s="41">
        <f t="shared" si="11"/>
        <v>1.7911068086906567E-5</v>
      </c>
      <c r="I31" s="4">
        <f t="shared" si="6"/>
        <v>1.3433301065219894E-3</v>
      </c>
      <c r="K31">
        <f t="shared" si="7"/>
        <v>3941.2176303712245</v>
      </c>
      <c r="L31">
        <f t="shared" si="8"/>
        <v>1480.0000000000005</v>
      </c>
      <c r="O31" s="3">
        <f>$D$18*(1-Accuracy!$D$7)*EXP(K31*(1-Accuracy!$D$9)*($C$18-C31)/(($C$18+273.15)*(C31+273.15)))</f>
        <v>1443.0170167301019</v>
      </c>
      <c r="P31" s="3">
        <f>$D$18*(1-Accuracy!$D$7)*EXP(K31*(1+Accuracy!$D$9)*($C$18-C31)/(($C$18+273.15)*(C31+273.15)))</f>
        <v>1369.932562874096</v>
      </c>
      <c r="Q31" s="3">
        <f>$D$18*(1+Accuracy!$D$7)*EXP(K31*(1-Accuracy!$D$9)*($C$18-C31)/(($C$18+273.15)*(C31+273.15)))</f>
        <v>1594.9135448069546</v>
      </c>
      <c r="R31" s="3">
        <f>$D$18*(1+Accuracy!$D$7)*EXP(K31*(1+Accuracy!$D$9)*($C$18-C31)/(($C$18+273.15)*(C31+273.15)))</f>
        <v>1514.1359905450533</v>
      </c>
      <c r="T31" s="3">
        <f t="shared" si="9"/>
        <v>1369.932562874096</v>
      </c>
      <c r="U31" s="3">
        <f t="shared" si="10"/>
        <v>1594.9135448069546</v>
      </c>
      <c r="V31" s="3"/>
      <c r="W31" s="1">
        <f t="shared" si="0"/>
        <v>-7.4369889949935097E-2</v>
      </c>
      <c r="X31" s="1">
        <f t="shared" si="1"/>
        <v>7.7644287031726211E-2</v>
      </c>
      <c r="Y31" s="1"/>
      <c r="Z31" s="4">
        <f t="shared" si="2"/>
        <v>-2.3404234525562515</v>
      </c>
      <c r="AA31" s="4">
        <f t="shared" si="3"/>
        <v>2.2350370384407938</v>
      </c>
    </row>
    <row r="32" spans="3:27" x14ac:dyDescent="0.2">
      <c r="C32" s="5">
        <f>Accuracy!F31</f>
        <v>80</v>
      </c>
      <c r="D32" s="5">
        <f>Accuracy!G31</f>
        <v>1255</v>
      </c>
      <c r="G32" s="2">
        <f t="shared" si="4"/>
        <v>80.027548526086775</v>
      </c>
      <c r="H32" s="41">
        <f t="shared" si="11"/>
        <v>3.443565760847811E-4</v>
      </c>
      <c r="I32" s="4">
        <f t="shared" si="6"/>
        <v>2.7548526086775382E-2</v>
      </c>
      <c r="K32">
        <f t="shared" si="7"/>
        <v>3947.8289534732266</v>
      </c>
      <c r="L32">
        <f t="shared" si="8"/>
        <v>1255</v>
      </c>
      <c r="O32" s="3">
        <f>$D$18*(1-Accuracy!$D$7)*EXP(K32*(1-Accuracy!$D$9)*($C$18-C32)/(($C$18+273.15)*(C32+273.15)))</f>
        <v>1225.6589555764861</v>
      </c>
      <c r="P32" s="3">
        <f>$D$18*(1-Accuracy!$D$7)*EXP(K32*(1+Accuracy!$D$9)*($C$18-C32)/(($C$18+273.15)*(C32+273.15)))</f>
        <v>1159.7517042017773</v>
      </c>
      <c r="Q32" s="3">
        <f>$D$18*(1+Accuracy!$D$7)*EXP(K32*(1-Accuracy!$D$9)*($C$18-C32)/(($C$18+273.15)*(C32+273.15)))</f>
        <v>1354.6756877424318</v>
      </c>
      <c r="R32" s="3">
        <f>$D$18*(1+Accuracy!$D$7)*EXP(K32*(1+Accuracy!$D$9)*($C$18-C32)/(($C$18+273.15)*(C32+273.15)))</f>
        <v>1281.8308309598592</v>
      </c>
      <c r="T32" s="3">
        <f t="shared" si="9"/>
        <v>1159.7517042017773</v>
      </c>
      <c r="U32" s="3">
        <f t="shared" si="10"/>
        <v>1354.6756877424318</v>
      </c>
      <c r="V32" s="3"/>
      <c r="W32" s="1">
        <f t="shared" si="0"/>
        <v>-7.5895056412926376E-2</v>
      </c>
      <c r="X32" s="1">
        <f t="shared" si="1"/>
        <v>7.9422858758909864E-2</v>
      </c>
      <c r="Y32" s="1"/>
      <c r="Z32" s="4">
        <f t="shared" si="2"/>
        <v>-2.4804127273393419</v>
      </c>
      <c r="AA32" s="4">
        <f t="shared" si="3"/>
        <v>2.318219771138331</v>
      </c>
    </row>
    <row r="33" spans="2:27" x14ac:dyDescent="0.2">
      <c r="C33" s="5">
        <f>Accuracy!F32</f>
        <v>85</v>
      </c>
      <c r="D33" s="5">
        <f>Accuracy!G32</f>
        <v>1070</v>
      </c>
      <c r="G33" s="2">
        <f t="shared" si="4"/>
        <v>85.015888327342111</v>
      </c>
      <c r="H33" s="41">
        <f t="shared" si="11"/>
        <v>1.8692149814247827E-4</v>
      </c>
      <c r="I33" s="4">
        <f t="shared" si="6"/>
        <v>1.5888327342111097E-2</v>
      </c>
      <c r="K33">
        <f t="shared" si="7"/>
        <v>3952.4429938883209</v>
      </c>
      <c r="L33">
        <f t="shared" si="8"/>
        <v>1070.0000000000002</v>
      </c>
      <c r="O33" s="3">
        <f>$D$18*(1-Accuracy!$D$7)*EXP(K33*(1-Accuracy!$D$9)*($C$18-C33)/(($C$18+273.15)*(C33+273.15)))</f>
        <v>1046.6519675577119</v>
      </c>
      <c r="P33" s="3">
        <f>$D$18*(1-Accuracy!$D$7)*EXP(K33*(1+Accuracy!$D$9)*($C$18-C33)/(($C$18+273.15)*(C33+273.15)))</f>
        <v>987.21665083291043</v>
      </c>
      <c r="Q33" s="3">
        <f>$D$18*(1+Accuracy!$D$7)*EXP(K33*(1-Accuracy!$D$9)*($C$18-C33)/(($C$18+273.15)*(C33+273.15)))</f>
        <v>1156.8258588795763</v>
      </c>
      <c r="R33" s="3">
        <f>$D$18*(1+Accuracy!$D$7)*EXP(K33*(1+Accuracy!$D$9)*($C$18-C33)/(($C$18+273.15)*(C33+273.15)))</f>
        <v>1091.1341930258482</v>
      </c>
      <c r="T33" s="3">
        <f t="shared" si="9"/>
        <v>987.21665083291043</v>
      </c>
      <c r="U33" s="3">
        <f t="shared" si="10"/>
        <v>1156.8258588795763</v>
      </c>
      <c r="V33" s="3"/>
      <c r="W33" s="1">
        <f t="shared" si="0"/>
        <v>-7.7367616044008991E-2</v>
      </c>
      <c r="X33" s="1">
        <f t="shared" si="1"/>
        <v>8.1145662504277016E-2</v>
      </c>
      <c r="Y33" s="1"/>
      <c r="Z33" s="4">
        <f t="shared" si="2"/>
        <v>-2.5839671346752766</v>
      </c>
      <c r="AA33" s="4">
        <f t="shared" si="3"/>
        <v>2.4405729226290305</v>
      </c>
    </row>
    <row r="34" spans="2:27" x14ac:dyDescent="0.2">
      <c r="C34" s="5">
        <f>Accuracy!F33</f>
        <v>90</v>
      </c>
      <c r="D34" s="5">
        <f>Accuracy!G33</f>
        <v>915.50000000000011</v>
      </c>
      <c r="G34" s="2">
        <f t="shared" si="4"/>
        <v>90.020060459552269</v>
      </c>
      <c r="H34" s="41">
        <f t="shared" si="11"/>
        <v>2.2289399502528617E-4</v>
      </c>
      <c r="I34" s="4">
        <f t="shared" si="6"/>
        <v>2.0060459552269094E-2</v>
      </c>
      <c r="K34">
        <f t="shared" si="7"/>
        <v>3957.5832521273564</v>
      </c>
      <c r="L34">
        <f t="shared" si="8"/>
        <v>915.5</v>
      </c>
      <c r="O34" s="3">
        <f>$D$18*(1-Accuracy!$D$7)*EXP(K34*(1-Accuracy!$D$9)*($C$18-C34)/(($C$18+273.15)*(C34+273.15)))</f>
        <v>896.92084919313857</v>
      </c>
      <c r="P34" s="3">
        <f>$D$18*(1-Accuracy!$D$7)*EXP(K34*(1+Accuracy!$D$9)*($C$18-C34)/(($C$18+273.15)*(C34+273.15)))</f>
        <v>843.35376561428996</v>
      </c>
      <c r="Q34" s="3">
        <f>$D$18*(1+Accuracy!$D$7)*EXP(K34*(1-Accuracy!$D$9)*($C$18-C34)/(($C$18+273.15)*(C34+273.15)))</f>
        <v>991.33357016083733</v>
      </c>
      <c r="R34" s="3">
        <f>$D$18*(1+Accuracy!$D$7)*EXP(K34*(1+Accuracy!$D$9)*($C$18-C34)/(($C$18+273.15)*(C34+273.15)))</f>
        <v>932.1278462052677</v>
      </c>
      <c r="T34" s="3">
        <f t="shared" si="9"/>
        <v>843.35376561428996</v>
      </c>
      <c r="U34" s="3">
        <f t="shared" si="10"/>
        <v>991.33357016083733</v>
      </c>
      <c r="V34" s="3"/>
      <c r="W34" s="1">
        <f t="shared" si="0"/>
        <v>-7.8805280596078831E-2</v>
      </c>
      <c r="X34" s="1">
        <f t="shared" si="1"/>
        <v>8.2832954845261764E-2</v>
      </c>
      <c r="Y34" s="1"/>
      <c r="Z34" s="4">
        <f t="shared" si="2"/>
        <v>-2.7060169464718342</v>
      </c>
      <c r="AA34" s="4">
        <f t="shared" si="3"/>
        <v>2.5495803678492166</v>
      </c>
    </row>
    <row r="35" spans="2:27" x14ac:dyDescent="0.2">
      <c r="C35" s="5">
        <f>Accuracy!F34</f>
        <v>95</v>
      </c>
      <c r="D35" s="5">
        <f>Accuracy!G34</f>
        <v>786.6</v>
      </c>
      <c r="G35" s="2">
        <f t="shared" si="4"/>
        <v>95.014500783822371</v>
      </c>
      <c r="H35" s="41">
        <f t="shared" si="11"/>
        <v>1.5263982970914469E-4</v>
      </c>
      <c r="I35" s="4">
        <f t="shared" si="6"/>
        <v>1.4500783822370522E-2</v>
      </c>
      <c r="K35">
        <f t="shared" si="7"/>
        <v>3962.1712763752644</v>
      </c>
      <c r="L35">
        <f t="shared" si="8"/>
        <v>786.60000000000014</v>
      </c>
      <c r="O35" s="3">
        <f>$D$18*(1-Accuracy!$D$7)*EXP(K35*(1-Accuracy!$D$9)*($C$18-C35)/(($C$18+273.15)*(C35+273.15)))</f>
        <v>771.80707783494802</v>
      </c>
      <c r="P35" s="3">
        <f>$D$18*(1-Accuracy!$D$7)*EXP(K35*(1+Accuracy!$D$9)*($C$18-C35)/(($C$18+273.15)*(C35+273.15)))</f>
        <v>723.51299817882443</v>
      </c>
      <c r="Q35" s="3">
        <f>$D$18*(1+Accuracy!$D$7)*EXP(K35*(1-Accuracy!$D$9)*($C$18-C35)/(($C$18+273.15)*(C35+273.15)))</f>
        <v>853.04992813336344</v>
      </c>
      <c r="R35" s="3">
        <f>$D$18*(1+Accuracy!$D$7)*EXP(K35*(1+Accuracy!$D$9)*($C$18-C35)/(($C$18+273.15)*(C35+273.15)))</f>
        <v>799.67226114501636</v>
      </c>
      <c r="T35" s="3">
        <f t="shared" si="9"/>
        <v>723.51299817882443</v>
      </c>
      <c r="U35" s="3">
        <f t="shared" si="10"/>
        <v>853.04992813336344</v>
      </c>
      <c r="V35" s="3"/>
      <c r="W35" s="1">
        <f t="shared" si="0"/>
        <v>-8.0202138089468078E-2</v>
      </c>
      <c r="X35" s="1">
        <f t="shared" si="1"/>
        <v>8.4477406729422055E-2</v>
      </c>
      <c r="Y35" s="1"/>
      <c r="Z35" s="4">
        <f t="shared" si="2"/>
        <v>-2.8204072370286895</v>
      </c>
      <c r="AA35" s="4">
        <f t="shared" si="3"/>
        <v>2.6702358493766951</v>
      </c>
    </row>
    <row r="36" spans="2:27" x14ac:dyDescent="0.2">
      <c r="C36" s="5">
        <f>Accuracy!F35</f>
        <v>100</v>
      </c>
      <c r="D36" s="5">
        <f>Accuracy!G35</f>
        <v>678.6</v>
      </c>
      <c r="G36" s="2">
        <f t="shared" si="4"/>
        <v>99.998205209961895</v>
      </c>
      <c r="H36" s="41">
        <f>(G36)/(C36)-1</f>
        <v>-1.7947900381010129E-5</v>
      </c>
      <c r="I36" s="4">
        <f>G36-C36</f>
        <v>-1.7947900381045656E-3</v>
      </c>
      <c r="K36">
        <f>LN(D36/$D$18)*(C36+273.15)*($C$18+273.15)/($C$18-C36)</f>
        <v>3966.254505112825</v>
      </c>
      <c r="L36">
        <f>$D$18*EXP(K36*($C$18-C36)/(($C$18+273.15)*(C36+273.15)))</f>
        <v>678.6</v>
      </c>
      <c r="O36" s="3">
        <f>$D$18*(1-Accuracy!$D$7)*EXP(K36*(1-Accuracy!$D$9)*($C$18-C36)/(($C$18+273.15)*(C36+273.15)))</f>
        <v>666.82223226244685</v>
      </c>
      <c r="P36" s="3">
        <f>$D$18*(1-Accuracy!$D$7)*EXP(K36*(1+Accuracy!$D$9)*($C$18-C36)/(($C$18+273.15)*(C36+273.15)))</f>
        <v>623.25367810536511</v>
      </c>
      <c r="Q36" s="3">
        <f>$D$18*(1+Accuracy!$D$7)*EXP(K36*(1-Accuracy!$D$9)*($C$18-C36)/(($C$18+273.15)*(C36+273.15)))</f>
        <v>737.01404618480967</v>
      </c>
      <c r="R36" s="3">
        <f>$D$18*(1+Accuracy!$D$7)*EXP(K36*(1+Accuracy!$D$9)*($C$18-C36)/(($C$18+273.15)*(C36+273.15)))</f>
        <v>688.85932843224566</v>
      </c>
      <c r="T36" s="3">
        <f>MIN(O36:R36)</f>
        <v>623.25367810536511</v>
      </c>
      <c r="U36" s="3">
        <f>MAX(O36:R36)</f>
        <v>737.01404618480967</v>
      </c>
      <c r="V36" s="3"/>
      <c r="W36" s="1">
        <f>T36/D36-1</f>
        <v>-8.1559566599815669E-2</v>
      </c>
      <c r="X36" s="1">
        <f>U36/D36-1</f>
        <v>8.6080233104641302E-2</v>
      </c>
      <c r="Y36" s="1"/>
      <c r="Z36" s="4">
        <f t="shared" si="2"/>
        <v>-2.9261026134530539</v>
      </c>
      <c r="AA36" s="4">
        <f t="shared" si="3"/>
        <v>2.8035108436346263</v>
      </c>
    </row>
    <row r="37" spans="2:27" x14ac:dyDescent="0.2">
      <c r="C37" s="5">
        <f>Accuracy!F36</f>
        <v>105</v>
      </c>
      <c r="D37" s="5">
        <f>Accuracy!G36</f>
        <v>587.6</v>
      </c>
      <c r="G37" s="2">
        <f t="shared" si="4"/>
        <v>104.97837175723936</v>
      </c>
      <c r="H37" s="41">
        <f>(G37)/(C37)-1</f>
        <v>-2.0598326438703296E-4</v>
      </c>
      <c r="I37" s="4">
        <f>G37-C37</f>
        <v>-2.1628242760641569E-2</v>
      </c>
      <c r="K37">
        <f>LN(D37/$D$18)*(C37+273.15)*($C$18+273.15)/($C$18-C37)</f>
        <v>3970.1366519652493</v>
      </c>
      <c r="L37">
        <f>$D$18*EXP(K37*($C$18-C37)/(($C$18+273.15)*(C37+273.15)))</f>
        <v>587.6</v>
      </c>
      <c r="O37" s="3">
        <f>$D$18*(1-Accuracy!$D$7)*EXP(K37*(1-Accuracy!$D$9)*($C$18-C37)/(($C$18+273.15)*(C37+273.15)))</f>
        <v>578.23359930741935</v>
      </c>
      <c r="P37" s="3">
        <f>$D$18*(1-Accuracy!$D$7)*EXP(K37*(1+Accuracy!$D$9)*($C$18-C37)/(($C$18+273.15)*(C37+273.15)))</f>
        <v>538.89910370692974</v>
      </c>
      <c r="Q37" s="3">
        <f>$D$18*(1+Accuracy!$D$7)*EXP(K37*(1-Accuracy!$D$9)*($C$18-C37)/(($C$18+273.15)*(C37+273.15)))</f>
        <v>639.10029397135816</v>
      </c>
      <c r="R37" s="3">
        <f>$D$18*(1+Accuracy!$D$7)*EXP(K37*(1+Accuracy!$D$9)*($C$18-C37)/(($C$18+273.15)*(C37+273.15)))</f>
        <v>595.62532514976431</v>
      </c>
      <c r="T37" s="3">
        <f>MIN(O37:R37)</f>
        <v>538.89910370692974</v>
      </c>
      <c r="U37" s="3">
        <f>MAX(O37:R37)</f>
        <v>639.10029397135816</v>
      </c>
      <c r="V37" s="3"/>
      <c r="W37" s="1">
        <f>T37/D37-1</f>
        <v>-8.2881035216253007E-2</v>
      </c>
      <c r="X37" s="1">
        <f>U37/D37-1</f>
        <v>8.7645156520350875E-2</v>
      </c>
      <c r="Y37" s="1"/>
      <c r="Z37" s="4">
        <f t="shared" si="2"/>
        <v>-3.030474126170418</v>
      </c>
      <c r="AA37" s="4">
        <f t="shared" si="3"/>
        <v>2.9423705533572502</v>
      </c>
    </row>
    <row r="38" spans="2:27" x14ac:dyDescent="0.2">
      <c r="C38" s="5">
        <f>Accuracy!F37</f>
        <v>0</v>
      </c>
      <c r="D38" s="5">
        <f>Accuracy!G37</f>
        <v>0</v>
      </c>
      <c r="G38" s="2" t="e">
        <f t="shared" si="4"/>
        <v>#NUM!</v>
      </c>
      <c r="H38" s="41" t="e">
        <f>(G38)/(C38)-1</f>
        <v>#NUM!</v>
      </c>
      <c r="I38" s="4" t="e">
        <f>G38-C38</f>
        <v>#NUM!</v>
      </c>
      <c r="K38" t="e">
        <f>LN(D38/$D$18)*(C38+273.15)*($C$18+273.15)/($C$18-C38)</f>
        <v>#NUM!</v>
      </c>
      <c r="L38" t="e">
        <f>$D$18*EXP(K38*($C$18-C38)/(($C$18+273.15)*(C38+273.15)))</f>
        <v>#NUM!</v>
      </c>
      <c r="O38" s="3" t="e">
        <f>$D$18*(1-Accuracy!$D$7)*EXP(K38*(1-Accuracy!$D$9)*($C$18-C38)/(($C$18+273.15)*(C38+273.15)))</f>
        <v>#NUM!</v>
      </c>
      <c r="P38" s="3" t="e">
        <f>$D$18*(1-Accuracy!$D$7)*EXP(K38*(1+Accuracy!$D$9)*($C$18-C38)/(($C$18+273.15)*(C38+273.15)))</f>
        <v>#NUM!</v>
      </c>
      <c r="Q38" s="3" t="e">
        <f>$D$18*(1+Accuracy!$D$7)*EXP(K38*(1-Accuracy!$D$9)*($C$18-C38)/(($C$18+273.15)*(C38+273.15)))</f>
        <v>#NUM!</v>
      </c>
      <c r="R38" s="3" t="e">
        <f>$D$18*(1+Accuracy!$D$7)*EXP(K38*(1+Accuracy!$D$9)*($C$18-C38)/(($C$18+273.15)*(C38+273.15)))</f>
        <v>#NUM!</v>
      </c>
      <c r="T38" s="3" t="e">
        <f>MIN(O38:R38)</f>
        <v>#NUM!</v>
      </c>
      <c r="U38" s="3" t="e">
        <f>MAX(O38:R38)</f>
        <v>#NUM!</v>
      </c>
      <c r="V38" s="3"/>
      <c r="W38" s="1" t="e">
        <f>T38/D38-1</f>
        <v>#NUM!</v>
      </c>
      <c r="X38" s="1" t="e">
        <f>U38/D38-1</f>
        <v>#NUM!</v>
      </c>
      <c r="Y38" s="1"/>
      <c r="Z38" s="4" t="e">
        <f t="shared" si="2"/>
        <v>#NUM!</v>
      </c>
      <c r="AA38" s="4" t="e">
        <f t="shared" si="3"/>
        <v>#NUM!</v>
      </c>
    </row>
    <row r="39" spans="2:27" x14ac:dyDescent="0.2">
      <c r="C39" s="5">
        <f>Accuracy!F38</f>
        <v>0</v>
      </c>
      <c r="D39" s="5">
        <f>Accuracy!G38</f>
        <v>0</v>
      </c>
      <c r="G39" s="2" t="e">
        <f t="shared" si="4"/>
        <v>#NUM!</v>
      </c>
      <c r="H39" s="41" t="e">
        <f>(G39)/(C39)-1</f>
        <v>#NUM!</v>
      </c>
      <c r="I39" s="4" t="e">
        <f>G39-C39</f>
        <v>#NUM!</v>
      </c>
      <c r="K39" t="e">
        <f>LN(D39/$D$18)*(C39+273.15)*($C$18+273.15)/($C$18-C39)</f>
        <v>#NUM!</v>
      </c>
      <c r="L39" t="e">
        <f>$D$18*EXP(K39*($C$18-C39)/(($C$18+273.15)*(C39+273.15)))</f>
        <v>#NUM!</v>
      </c>
      <c r="O39" s="3" t="e">
        <f>$D$18*(1-Accuracy!$D$7)*EXP(K39*(1-Accuracy!$D$9)*($C$18-C39)/(($C$18+273.15)*(C39+273.15)))</f>
        <v>#NUM!</v>
      </c>
      <c r="P39" s="3" t="e">
        <f>$D$18*(1-Accuracy!$D$7)*EXP(K39*(1+Accuracy!$D$9)*($C$18-C39)/(($C$18+273.15)*(C39+273.15)))</f>
        <v>#NUM!</v>
      </c>
      <c r="Q39" s="3" t="e">
        <f>$D$18*(1+Accuracy!$D$7)*EXP(K39*(1-Accuracy!$D$9)*($C$18-C39)/(($C$18+273.15)*(C39+273.15)))</f>
        <v>#NUM!</v>
      </c>
      <c r="R39" s="3" t="e">
        <f>$D$18*(1+Accuracy!$D$7)*EXP(K39*(1+Accuracy!$D$9)*($C$18-C39)/(($C$18+273.15)*(C39+273.15)))</f>
        <v>#NUM!</v>
      </c>
      <c r="T39" s="3" t="e">
        <f>MIN(O39:R39)</f>
        <v>#NUM!</v>
      </c>
      <c r="U39" s="3" t="e">
        <f>MAX(O39:R39)</f>
        <v>#NUM!</v>
      </c>
      <c r="V39" s="3"/>
      <c r="W39" s="1" t="e">
        <f>T39/D39-1</f>
        <v>#NUM!</v>
      </c>
      <c r="X39" s="1" t="e">
        <f>U39/D39-1</f>
        <v>#NUM!</v>
      </c>
      <c r="Y39" s="1"/>
      <c r="Z39" s="4" t="e">
        <f t="shared" si="2"/>
        <v>#NUM!</v>
      </c>
      <c r="AA39" s="4" t="e">
        <f t="shared" si="3"/>
        <v>#NUM!</v>
      </c>
    </row>
    <row r="40" spans="2:27" x14ac:dyDescent="0.2">
      <c r="C40" s="5">
        <f>Accuracy!F39</f>
        <v>0</v>
      </c>
      <c r="D40" s="5">
        <f>Accuracy!G39</f>
        <v>0</v>
      </c>
      <c r="G40" s="2" t="e">
        <f>1/($D$53+$E$53*LN(D40)+$F$53*LN(D40)^3)-273.15</f>
        <v>#NUM!</v>
      </c>
      <c r="H40" s="41" t="e">
        <f>(G40)/(C40)-1</f>
        <v>#NUM!</v>
      </c>
      <c r="I40" s="4" t="e">
        <f>G40-C40</f>
        <v>#NUM!</v>
      </c>
      <c r="K40" t="e">
        <f>LN(D40/$D$18)*(C40+273.15)*($C$18+273.15)/($C$18-C40)</f>
        <v>#NUM!</v>
      </c>
      <c r="L40" t="e">
        <f>$D$18*EXP(K40*($C$18-C40)/(($C$18+273.15)*(C40+273.15)))</f>
        <v>#NUM!</v>
      </c>
      <c r="O40" s="3" t="e">
        <f>$D$18*(1-Accuracy!$D$7)*EXP(K40*(1-Accuracy!$D$9)*($C$18-C40)/(($C$18+273.15)*(C40+273.15)))</f>
        <v>#NUM!</v>
      </c>
      <c r="P40" s="3" t="e">
        <f>$D$18*(1-Accuracy!$D$7)*EXP(K40*(1+Accuracy!$D$9)*($C$18-C40)/(($C$18+273.15)*(C40+273.15)))</f>
        <v>#NUM!</v>
      </c>
      <c r="Q40" s="3" t="e">
        <f>$D$18*(1+Accuracy!$D$7)*EXP(K40*(1-Accuracy!$D$9)*($C$18-C40)/(($C$18+273.15)*(C40+273.15)))</f>
        <v>#NUM!</v>
      </c>
      <c r="R40" s="3" t="e">
        <f>$D$18*(1+Accuracy!$D$7)*EXP(K40*(1+Accuracy!$D$9)*($C$18-C40)/(($C$18+273.15)*(C40+273.15)))</f>
        <v>#NUM!</v>
      </c>
      <c r="T40" s="3" t="e">
        <f>MIN(O40:R40)</f>
        <v>#NUM!</v>
      </c>
      <c r="U40" s="3" t="e">
        <f>MAX(O40:R40)</f>
        <v>#NUM!</v>
      </c>
      <c r="V40" s="3"/>
      <c r="W40" s="1" t="e">
        <f>T40/D40-1</f>
        <v>#NUM!</v>
      </c>
      <c r="X40" s="1" t="e">
        <f>U40/D40-1</f>
        <v>#NUM!</v>
      </c>
      <c r="Y40" s="1"/>
      <c r="Z40" s="4" t="e">
        <f>-(1/($D$53+$E$53*LN(T40)+$F$53*LN(T40)^3)-273.15-C40)</f>
        <v>#NUM!</v>
      </c>
      <c r="AA40" s="4" t="e">
        <f>-(1/($D$53+$E$53*LN(U40)+$F$53*LN(U40)^3)-273.15-C40)</f>
        <v>#NUM!</v>
      </c>
    </row>
    <row r="41" spans="2:27" x14ac:dyDescent="0.2">
      <c r="C41" s="8"/>
      <c r="D41" s="8"/>
      <c r="G41" s="2"/>
      <c r="H41" s="1"/>
      <c r="I41" s="1"/>
      <c r="O41" s="3"/>
      <c r="P41" s="3"/>
      <c r="Q41" s="3"/>
      <c r="R41" s="3"/>
      <c r="T41" s="3"/>
      <c r="U41" s="3"/>
      <c r="V41" s="3"/>
      <c r="W41" s="1"/>
      <c r="X41" s="1"/>
      <c r="Y41" s="1"/>
      <c r="Z41" s="4"/>
      <c r="AA41" s="4"/>
    </row>
    <row r="42" spans="2:27" x14ac:dyDescent="0.2">
      <c r="C42" s="8"/>
      <c r="D42" s="8"/>
      <c r="G42" s="2"/>
      <c r="H42" s="1"/>
      <c r="I42" s="1"/>
      <c r="O42" s="3"/>
      <c r="P42" s="3"/>
      <c r="Q42" s="3"/>
      <c r="R42" s="3"/>
      <c r="T42" s="3"/>
      <c r="U42" s="3"/>
      <c r="V42" s="3"/>
      <c r="W42" s="1"/>
      <c r="X42" s="1"/>
      <c r="Y42" s="1"/>
      <c r="Z42" s="4"/>
      <c r="AA42" s="4"/>
    </row>
    <row r="43" spans="2:27" x14ac:dyDescent="0.2">
      <c r="C43" s="8"/>
      <c r="D43" s="8"/>
      <c r="G43" s="2"/>
      <c r="H43" s="1"/>
      <c r="I43" s="1"/>
      <c r="O43" s="3"/>
      <c r="P43" s="3"/>
      <c r="Q43" s="3"/>
      <c r="R43" s="3"/>
      <c r="T43" s="3"/>
      <c r="U43" s="3"/>
      <c r="V43" s="3"/>
      <c r="W43" s="1"/>
      <c r="X43" s="1"/>
      <c r="Y43" s="1"/>
      <c r="Z43" s="4"/>
      <c r="AA43" s="4"/>
    </row>
    <row r="44" spans="2:27" x14ac:dyDescent="0.2">
      <c r="C44" s="8"/>
      <c r="D44" s="8">
        <f>LOOKUP(Accuracy!D3,C5:C40,C5:C40)</f>
        <v>-55</v>
      </c>
      <c r="G44" s="2"/>
      <c r="H44" s="1"/>
      <c r="I44" s="1"/>
      <c r="O44" s="3"/>
      <c r="P44" s="3"/>
      <c r="Q44" s="3"/>
      <c r="R44" s="3"/>
      <c r="T44" s="3"/>
      <c r="U44" s="3"/>
      <c r="V44" s="3"/>
      <c r="W44" s="1"/>
      <c r="X44" s="1"/>
      <c r="Y44" s="1"/>
      <c r="Z44" s="4"/>
      <c r="AA44" s="4"/>
    </row>
    <row r="45" spans="2:27" x14ac:dyDescent="0.2">
      <c r="C45" s="8"/>
      <c r="D45" s="8"/>
      <c r="G45" s="2"/>
      <c r="H45" s="1"/>
      <c r="I45" s="1"/>
      <c r="O45" s="3"/>
      <c r="P45" s="3"/>
      <c r="Q45" s="3"/>
      <c r="R45" s="3"/>
      <c r="T45" s="3"/>
      <c r="U45" s="3"/>
      <c r="V45" s="3"/>
      <c r="W45" s="1"/>
      <c r="X45" s="1"/>
      <c r="Y45" s="1"/>
      <c r="Z45" s="4"/>
      <c r="AA45" s="4"/>
    </row>
    <row r="46" spans="2:27" ht="13.5" thickBot="1" x14ac:dyDescent="0.25"/>
    <row r="47" spans="2:27" x14ac:dyDescent="0.2">
      <c r="B47" s="31"/>
      <c r="C47" s="17"/>
      <c r="D47" s="17" t="s">
        <v>8</v>
      </c>
      <c r="E47" s="17" t="s">
        <v>9</v>
      </c>
      <c r="F47" s="17" t="s">
        <v>19</v>
      </c>
      <c r="G47" s="18" t="s">
        <v>14</v>
      </c>
    </row>
    <row r="48" spans="2:27" x14ac:dyDescent="0.2">
      <c r="B48" s="19">
        <v>1</v>
      </c>
      <c r="C48" s="20" t="s">
        <v>5</v>
      </c>
      <c r="D48" s="5">
        <f>LOOKUP(Accuracy!D3,C5:C40,C5:C40)+273.15</f>
        <v>218.14999999999998</v>
      </c>
      <c r="E48" s="20">
        <f>LOOKUP(D48-273.15,C5:C40,D5:D40)</f>
        <v>963849</v>
      </c>
      <c r="F48" s="20">
        <f>LN(E48)</f>
        <v>13.778689922319364</v>
      </c>
      <c r="G48" s="21">
        <f>1/D48</f>
        <v>4.5840018336007343E-3</v>
      </c>
    </row>
    <row r="49" spans="2:7" x14ac:dyDescent="0.2">
      <c r="B49" s="19">
        <v>2</v>
      </c>
      <c r="C49" s="20" t="s">
        <v>6</v>
      </c>
      <c r="D49" s="5">
        <f>273.15+C18</f>
        <v>283.14999999999998</v>
      </c>
      <c r="E49" s="20">
        <f>LOOKUP(D49-273.15,C5:C40,D5:D40)</f>
        <v>19901</v>
      </c>
      <c r="F49" s="20">
        <f>LN(E49)</f>
        <v>9.8985252607063128</v>
      </c>
      <c r="G49" s="21">
        <f>1/D49</f>
        <v>3.5316969803990822E-3</v>
      </c>
    </row>
    <row r="50" spans="2:7" x14ac:dyDescent="0.2">
      <c r="B50" s="19">
        <v>3</v>
      </c>
      <c r="C50" s="20" t="s">
        <v>7</v>
      </c>
      <c r="D50" s="5">
        <f>LOOKUP(Accuracy!D4,C5:C40,C5:C40)+273.15</f>
        <v>273.14999999999998</v>
      </c>
      <c r="E50" s="20">
        <f>LOOKUP(D50-273.15,C5:C40,D5:D40)</f>
        <v>32650</v>
      </c>
      <c r="F50" s="20">
        <f>LN(E50)</f>
        <v>10.393600134704577</v>
      </c>
      <c r="G50" s="21">
        <f>1/D50</f>
        <v>3.6609921288669233E-3</v>
      </c>
    </row>
    <row r="51" spans="2:7" x14ac:dyDescent="0.2">
      <c r="B51" s="19"/>
      <c r="C51" s="20"/>
      <c r="D51" s="20"/>
      <c r="E51" s="20"/>
      <c r="F51" s="20"/>
      <c r="G51" s="21"/>
    </row>
    <row r="52" spans="2:7" x14ac:dyDescent="0.2">
      <c r="B52" s="19" t="s">
        <v>13</v>
      </c>
      <c r="C52" s="20"/>
      <c r="D52" s="20" t="s">
        <v>12</v>
      </c>
      <c r="E52" s="20" t="s">
        <v>11</v>
      </c>
      <c r="F52" s="20" t="s">
        <v>10</v>
      </c>
      <c r="G52" s="21"/>
    </row>
    <row r="53" spans="2:7" x14ac:dyDescent="0.2">
      <c r="B53" s="19"/>
      <c r="C53" s="20"/>
      <c r="D53" s="30">
        <f>1/D48-E53*F48-F53*F48^3</f>
        <v>1.1282765428012617E-3</v>
      </c>
      <c r="E53" s="30">
        <f>(1/D50-1/D48-F53*(F50^3-F48^3))/(F50-F48)</f>
        <v>2.3427791543343063E-4</v>
      </c>
      <c r="F53" s="30">
        <f>((1/D49-1/D48)-(1/D50-1/D48)*(F49-F48)/(F50-F48))/((F49^3-F48^3)-(F50^3-F48^3)/(F50-F48)*(F49-F48))</f>
        <v>8.7037407009286533E-8</v>
      </c>
      <c r="G53" s="21"/>
    </row>
    <row r="54" spans="2:7" x14ac:dyDescent="0.2">
      <c r="B54" s="19"/>
      <c r="C54" s="20"/>
      <c r="D54" s="30"/>
      <c r="E54" s="30"/>
      <c r="F54" s="30"/>
      <c r="G54" s="21"/>
    </row>
    <row r="55" spans="2:7" x14ac:dyDescent="0.2">
      <c r="B55" s="19"/>
      <c r="C55" s="20"/>
      <c r="D55" s="30"/>
      <c r="E55" s="30"/>
      <c r="F55" s="30"/>
      <c r="G55" s="21"/>
    </row>
    <row r="56" spans="2:7" ht="13.5" thickBot="1" x14ac:dyDescent="0.25">
      <c r="B56" s="22"/>
      <c r="C56" s="23"/>
      <c r="D56" s="32"/>
      <c r="E56" s="32"/>
      <c r="F56" s="32"/>
      <c r="G56" s="27"/>
    </row>
    <row r="57" spans="2:7" ht="13.5" thickBot="1" x14ac:dyDescent="0.25">
      <c r="B57" s="20"/>
      <c r="C57" s="20"/>
      <c r="D57" s="30"/>
      <c r="E57" s="30"/>
      <c r="F57" s="30"/>
      <c r="G57" s="20"/>
    </row>
    <row r="58" spans="2:7" x14ac:dyDescent="0.2">
      <c r="B58" s="31"/>
      <c r="C58" s="17"/>
      <c r="D58" s="17" t="s">
        <v>8</v>
      </c>
      <c r="E58" s="17" t="s">
        <v>9</v>
      </c>
      <c r="F58" s="17" t="s">
        <v>19</v>
      </c>
      <c r="G58" s="18" t="s">
        <v>14</v>
      </c>
    </row>
    <row r="59" spans="2:7" x14ac:dyDescent="0.2">
      <c r="B59" s="19">
        <v>1</v>
      </c>
      <c r="C59" s="20" t="s">
        <v>5</v>
      </c>
      <c r="D59" s="20">
        <f>Accuracy!D3+273.15</f>
        <v>218.14999999999998</v>
      </c>
      <c r="E59" s="20">
        <f>LOOKUP(D59-273.15,C5:C40,D5:D40)</f>
        <v>963849</v>
      </c>
      <c r="F59" s="20">
        <f>LN(E59)</f>
        <v>13.778689922319364</v>
      </c>
      <c r="G59" s="21">
        <f>1/D59</f>
        <v>4.5840018336007343E-3</v>
      </c>
    </row>
    <row r="60" spans="2:7" x14ac:dyDescent="0.2">
      <c r="B60" s="19">
        <v>2</v>
      </c>
      <c r="C60" s="20" t="s">
        <v>17</v>
      </c>
      <c r="D60" s="20">
        <f>LOOKUP((D62-D59)/3+D59-273.15,C5:C40)+273.15</f>
        <v>268.14999999999998</v>
      </c>
      <c r="E60" s="20">
        <f>LOOKUP(D60-273.15,C5:C40,D5:D40)</f>
        <v>42327</v>
      </c>
      <c r="F60" s="20">
        <f>LN(E60)</f>
        <v>10.653180459281268</v>
      </c>
      <c r="G60" s="21">
        <f>1/D60</f>
        <v>3.7292560134253219E-3</v>
      </c>
    </row>
    <row r="61" spans="2:7" x14ac:dyDescent="0.2">
      <c r="B61" s="19">
        <v>3</v>
      </c>
      <c r="C61" s="20" t="s">
        <v>18</v>
      </c>
      <c r="D61" s="20">
        <f>LOOKUP((D62-D59)/3*2+D59-273.15,C5:C40)+273.15</f>
        <v>323.14999999999998</v>
      </c>
      <c r="E61" s="20">
        <f>LOOKUP(D61-273.15,C5:C40,D5:D40)</f>
        <v>3602</v>
      </c>
      <c r="F61" s="20">
        <f>LN(E61)</f>
        <v>8.1892445257359014</v>
      </c>
      <c r="G61" s="21">
        <f>1/D61</f>
        <v>3.0945381401825778E-3</v>
      </c>
    </row>
    <row r="62" spans="2:7" x14ac:dyDescent="0.2">
      <c r="B62" s="19">
        <v>4</v>
      </c>
      <c r="C62" s="20" t="s">
        <v>7</v>
      </c>
      <c r="D62" s="20">
        <f>Accuracy!D4+273.15</f>
        <v>378.15</v>
      </c>
      <c r="E62" s="20">
        <f>LOOKUP(D62-273.15,C5:C40,D5:D40)</f>
        <v>0</v>
      </c>
      <c r="F62" s="20" t="e">
        <f>LN(E62)</f>
        <v>#NUM!</v>
      </c>
      <c r="G62" s="21">
        <f>1/D62</f>
        <v>2.6444532592886424E-3</v>
      </c>
    </row>
    <row r="63" spans="2:7" x14ac:dyDescent="0.2">
      <c r="B63" s="19"/>
      <c r="C63" s="20"/>
      <c r="D63" s="20"/>
      <c r="E63" s="20"/>
      <c r="F63" s="20"/>
      <c r="G63" s="21"/>
    </row>
    <row r="64" spans="2:7" x14ac:dyDescent="0.2">
      <c r="B64" s="19" t="s">
        <v>15</v>
      </c>
      <c r="C64" s="20"/>
      <c r="D64" s="20" t="s">
        <v>12</v>
      </c>
      <c r="E64" s="20" t="s">
        <v>11</v>
      </c>
      <c r="F64" s="20" t="s">
        <v>10</v>
      </c>
      <c r="G64" s="21" t="s">
        <v>16</v>
      </c>
    </row>
    <row r="65" spans="2:7" x14ac:dyDescent="0.2">
      <c r="B65" s="19"/>
      <c r="C65" s="20"/>
      <c r="D65" s="20" t="e">
        <f>F59-E65*G59-F65*G59^2-G65*G59^3</f>
        <v>#NUM!</v>
      </c>
      <c r="E65" s="20" t="e">
        <f>((F60-F59)-F65*(G60^2-G59^2)-G65*(G60^3-G59^3))/(G60-G59)</f>
        <v>#NUM!</v>
      </c>
      <c r="F65" s="20" t="e">
        <f>((F61-F59)-(F60-F59)*(G61-G59)/(G60-G59)-G65*((G61^3-G59^3)-(G60^3-G59^3)*(G61-G59)/(G60-G59)))/((G61^2-G59^2)-(G60^2-G59^2)*(G61-G59)/(G60-G59))</f>
        <v>#NUM!</v>
      </c>
      <c r="G65" s="21" t="e">
        <f>((F62-F59)-(F60-F59)*(G62-G59)/(G60-G59)-((F61-F59)-(F60-F59)*(G61-G59)/(G60-G59))*((G62^2-G59^2)-(G60^2-G59^2)*(G62-G59)/(G60-G59))/((G61^2-G59^2)-(G60^2-G59^2)*(G61-G59)/(G60-G59)))/((G62^3-G59^3)-(G60^3-G59^3)*(G62-G59)/(G60-G59)-((G61^3-G59^3)-(G60^3-G59^3)*(G61-G59)/(G60-G59))/((G61^2-G59^2)-(G60^2-G59^2)*(G61-G59)/(G60-G59)))</f>
        <v>#NUM!</v>
      </c>
    </row>
    <row r="66" spans="2:7" x14ac:dyDescent="0.2">
      <c r="B66" s="19"/>
      <c r="C66" s="20"/>
      <c r="D66" s="20"/>
      <c r="E66" s="20"/>
      <c r="F66" s="20"/>
      <c r="G66" s="21"/>
    </row>
    <row r="67" spans="2:7" x14ac:dyDescent="0.2">
      <c r="B67" s="19"/>
      <c r="C67" s="20"/>
      <c r="D67" s="20"/>
      <c r="E67" s="20"/>
      <c r="F67" s="20"/>
      <c r="G67" s="21"/>
    </row>
    <row r="68" spans="2:7" ht="13.5" thickBot="1" x14ac:dyDescent="0.25">
      <c r="B68" s="22"/>
      <c r="C68" s="23"/>
      <c r="D68" s="23"/>
      <c r="E68" s="23"/>
      <c r="F68" s="23"/>
      <c r="G68" s="27"/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93" r:id="rId4">
          <objectPr defaultSize="0" r:id="rId5">
            <anchor moveWithCells="1">
              <from>
                <xdr:col>3</xdr:col>
                <xdr:colOff>28575</xdr:colOff>
                <xdr:row>53</xdr:row>
                <xdr:rowOff>28575</xdr:rowOff>
              </from>
              <to>
                <xdr:col>5</xdr:col>
                <xdr:colOff>523875</xdr:colOff>
                <xdr:row>55</xdr:row>
                <xdr:rowOff>95250</xdr:rowOff>
              </to>
            </anchor>
          </objectPr>
        </oleObject>
      </mc:Choice>
      <mc:Fallback>
        <oleObject progId="Equation.3" shapeId="1093" r:id="rId4"/>
      </mc:Fallback>
    </mc:AlternateContent>
    <mc:AlternateContent xmlns:mc="http://schemas.openxmlformats.org/markup-compatibility/2006">
      <mc:Choice Requires="x14">
        <oleObject progId="Equation.3" shapeId="1094" r:id="rId6">
          <objectPr defaultSize="0" r:id="rId7">
            <anchor moveWithCells="1">
              <from>
                <xdr:col>3</xdr:col>
                <xdr:colOff>28575</xdr:colOff>
                <xdr:row>65</xdr:row>
                <xdr:rowOff>66675</xdr:rowOff>
              </from>
              <to>
                <xdr:col>6</xdr:col>
                <xdr:colOff>209550</xdr:colOff>
                <xdr:row>67</xdr:row>
                <xdr:rowOff>133350</xdr:rowOff>
              </to>
            </anchor>
          </objectPr>
        </oleObject>
      </mc:Choice>
      <mc:Fallback>
        <oleObject progId="Equation.3" shapeId="109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C2:AS64"/>
  <sheetViews>
    <sheetView topLeftCell="D1" zoomScale="75" workbookViewId="0">
      <selection activeCell="AC5" sqref="AC5"/>
    </sheetView>
  </sheetViews>
  <sheetFormatPr defaultRowHeight="12.75" x14ac:dyDescent="0.2"/>
  <cols>
    <col min="29" max="29" width="10.28515625" customWidth="1"/>
    <col min="30" max="30" width="11.42578125" bestFit="1" customWidth="1"/>
    <col min="48" max="48" width="13.140625" bestFit="1" customWidth="1"/>
  </cols>
  <sheetData>
    <row r="2" spans="3:42" x14ac:dyDescent="0.2">
      <c r="I2" t="s">
        <v>2</v>
      </c>
      <c r="L2" t="s">
        <v>31</v>
      </c>
      <c r="M2" t="s">
        <v>31</v>
      </c>
      <c r="N2" t="s">
        <v>34</v>
      </c>
      <c r="O2" t="s">
        <v>34</v>
      </c>
      <c r="T2" t="s">
        <v>31</v>
      </c>
      <c r="U2" t="s">
        <v>31</v>
      </c>
      <c r="V2" t="s">
        <v>34</v>
      </c>
      <c r="W2" t="s">
        <v>34</v>
      </c>
    </row>
    <row r="3" spans="3:42" x14ac:dyDescent="0.2">
      <c r="I3" t="s">
        <v>4</v>
      </c>
      <c r="L3" t="s">
        <v>32</v>
      </c>
      <c r="M3" t="s">
        <v>33</v>
      </c>
      <c r="N3" t="s">
        <v>32</v>
      </c>
      <c r="O3" t="s">
        <v>33</v>
      </c>
      <c r="T3" t="s">
        <v>32</v>
      </c>
      <c r="U3" t="s">
        <v>33</v>
      </c>
      <c r="V3" t="s">
        <v>32</v>
      </c>
      <c r="W3" t="s">
        <v>33</v>
      </c>
    </row>
    <row r="4" spans="3:42" x14ac:dyDescent="0.2">
      <c r="C4" s="5" t="s">
        <v>4</v>
      </c>
      <c r="D4" s="5" t="s">
        <v>37</v>
      </c>
      <c r="E4" s="5" t="str">
        <f>Thermistor!T4</f>
        <v>Therm Min</v>
      </c>
      <c r="F4" s="5" t="str">
        <f>Thermistor!U4</f>
        <v>Therm Max</v>
      </c>
      <c r="G4" s="8"/>
      <c r="H4" s="8"/>
      <c r="I4" s="8" t="s">
        <v>67</v>
      </c>
      <c r="K4" t="s">
        <v>80</v>
      </c>
      <c r="P4" t="s">
        <v>81</v>
      </c>
      <c r="Q4" t="s">
        <v>82</v>
      </c>
      <c r="S4" t="s">
        <v>83</v>
      </c>
      <c r="X4" t="s">
        <v>84</v>
      </c>
      <c r="Y4" t="s">
        <v>85</v>
      </c>
      <c r="AB4" t="s">
        <v>38</v>
      </c>
      <c r="AC4" t="s">
        <v>39</v>
      </c>
      <c r="AD4" t="s">
        <v>40</v>
      </c>
    </row>
    <row r="5" spans="3:42" x14ac:dyDescent="0.2">
      <c r="C5" s="5">
        <f>Accuracy!F4</f>
        <v>-55</v>
      </c>
      <c r="D5" s="5">
        <f>Accuracy!G4</f>
        <v>963849</v>
      </c>
      <c r="E5" s="6">
        <f>Thermistor!T5</f>
        <v>880808.03022421221</v>
      </c>
      <c r="F5" s="6">
        <f>Thermistor!U5</f>
        <v>1052082.1231933013</v>
      </c>
      <c r="G5" s="34"/>
      <c r="H5" s="34">
        <v>0</v>
      </c>
      <c r="I5" s="34">
        <f t="shared" ref="I5:I40" si="0">$I$42+H5*$I$44</f>
        <v>-55</v>
      </c>
      <c r="K5">
        <f>Accuracy!$D$12</f>
        <v>18000</v>
      </c>
      <c r="L5" s="3">
        <f>Accuracy!$D$12*(1-Accuracy!$D$14)*(1-Accuracy!$D$16*('Resistor Network'!I5-25))</f>
        <v>17820</v>
      </c>
      <c r="M5" s="3">
        <f>Accuracy!$D$12*(1-Accuracy!$D$14)*(1+Accuracy!$D$16*('Resistor Network'!I5-25))</f>
        <v>17820</v>
      </c>
      <c r="N5" s="3">
        <f>Accuracy!$D$12*(1+Accuracy!$D$14)*(1-Accuracy!$D$16*('Resistor Network'!I5-25))</f>
        <v>18180</v>
      </c>
      <c r="O5" s="3">
        <f>Accuracy!$D$12*(1+Accuracy!$D$14)*(1+Accuracy!$D$16*('Resistor Network'!I5-25))</f>
        <v>18180</v>
      </c>
      <c r="P5" s="3">
        <f>MINA(L5:O5)</f>
        <v>17820</v>
      </c>
      <c r="Q5" s="3">
        <f>MAX(L5:O5)</f>
        <v>18180</v>
      </c>
      <c r="S5">
        <f>Accuracy!$D$19</f>
        <v>0</v>
      </c>
      <c r="T5" s="3">
        <f>Accuracy!$D$19*(1-Accuracy!$D$21)*(1-Accuracy!$D$23*('Resistor Network'!I5-25))</f>
        <v>0</v>
      </c>
      <c r="U5" s="3">
        <f>Accuracy!$D$19*(1-Accuracy!$D$21)*(1+Accuracy!$D$23*('Resistor Network'!I5-25))</f>
        <v>0</v>
      </c>
      <c r="V5" s="3">
        <f>Accuracy!$D$19*(1+Accuracy!$D$21)*(1-Accuracy!$D$23*('Resistor Network'!I5-25))</f>
        <v>0</v>
      </c>
      <c r="W5" s="3">
        <f>Accuracy!$D$19*(1-Accuracy!$D$21)*(1+Accuracy!$D$23*('Resistor Network'!I5-25))</f>
        <v>0</v>
      </c>
      <c r="X5" s="3">
        <f>MINA(T5:W5)</f>
        <v>0</v>
      </c>
      <c r="Y5" s="3">
        <f>MAX(T5:W5)</f>
        <v>0</v>
      </c>
      <c r="AB5" s="2">
        <f>(D5+S5)/(D5+S5+K5)</f>
        <v>0.98166724211156708</v>
      </c>
      <c r="AC5" s="2">
        <f>(E5+X5)/(E5+X5+Q5)</f>
        <v>0.97977726133298371</v>
      </c>
      <c r="AD5" s="2">
        <f>(F5+Y5)/(F5+Y5+P5)</f>
        <v>0.98334427083216436</v>
      </c>
      <c r="AE5" s="2"/>
      <c r="AF5" s="2"/>
      <c r="AH5" s="1"/>
      <c r="AI5" s="7"/>
      <c r="AJ5" s="1"/>
      <c r="AL5" s="3"/>
      <c r="AM5" s="3"/>
      <c r="AN5" s="3"/>
      <c r="AP5" s="2"/>
    </row>
    <row r="6" spans="3:42" x14ac:dyDescent="0.2">
      <c r="C6" s="5">
        <f>Accuracy!F5</f>
        <v>-50</v>
      </c>
      <c r="D6" s="5">
        <f>Accuracy!G5</f>
        <v>670166</v>
      </c>
      <c r="E6" s="6">
        <f>Thermistor!T6</f>
        <v>614657.12615740835</v>
      </c>
      <c r="F6" s="6">
        <f>Thermistor!U6</f>
        <v>728861.08746159961</v>
      </c>
      <c r="G6" s="34"/>
      <c r="H6" s="34">
        <v>1</v>
      </c>
      <c r="I6" s="34">
        <f t="shared" si="0"/>
        <v>-53.166666666666664</v>
      </c>
      <c r="K6">
        <f>Accuracy!$D$12</f>
        <v>18000</v>
      </c>
      <c r="L6" s="3">
        <f>Accuracy!$D$12*(1-Accuracy!$D$14)*(1-Accuracy!$D$16*('Resistor Network'!I6-25))</f>
        <v>17820</v>
      </c>
      <c r="M6" s="3">
        <f>Accuracy!$D$12*(1-Accuracy!$D$14)*(1+Accuracy!$D$16*('Resistor Network'!I6-25))</f>
        <v>17820</v>
      </c>
      <c r="N6" s="3">
        <f>Accuracy!$D$12*(1+Accuracy!$D$14)*(1-Accuracy!$D$16*('Resistor Network'!I6-25))</f>
        <v>18180</v>
      </c>
      <c r="O6" s="3">
        <f>Accuracy!$D$12*(1+Accuracy!$D$14)*(1+Accuracy!$D$16*('Resistor Network'!I6-25))</f>
        <v>18180</v>
      </c>
      <c r="P6" s="3">
        <f t="shared" ref="P6:P40" si="1">MINA(L6:O6)</f>
        <v>17820</v>
      </c>
      <c r="Q6" s="3">
        <f t="shared" ref="Q6:Q40" si="2">MAX(L6:O6)</f>
        <v>18180</v>
      </c>
      <c r="S6">
        <f>Accuracy!$D$19</f>
        <v>0</v>
      </c>
      <c r="T6" s="3">
        <f>Accuracy!$D$19*(1-Accuracy!$D$21)*(1-Accuracy!$D$23*('Resistor Network'!I6-25))</f>
        <v>0</v>
      </c>
      <c r="U6" s="3">
        <f>Accuracy!$D$19*(1-Accuracy!$D$21)*(1+Accuracy!$D$23*('Resistor Network'!I6-25))</f>
        <v>0</v>
      </c>
      <c r="V6" s="3">
        <f>Accuracy!$D$19*(1+Accuracy!$D$21)*(1-Accuracy!$D$23*('Resistor Network'!I6-25))</f>
        <v>0</v>
      </c>
      <c r="W6" s="3">
        <f>Accuracy!$D$19*(1-Accuracy!$D$21)*(1+Accuracy!$D$23*('Resistor Network'!I6-25))</f>
        <v>0</v>
      </c>
      <c r="X6" s="3">
        <f t="shared" ref="X6:X35" si="3">MINA(T6:W6)</f>
        <v>0</v>
      </c>
      <c r="Y6" s="3">
        <f t="shared" ref="Y6:Y35" si="4">MAX(T6:W6)</f>
        <v>0</v>
      </c>
      <c r="AB6" s="2">
        <f t="shared" ref="AB6:AB34" si="5">(D6+S6)/(D6+S6+K6)</f>
        <v>0.9738435203134127</v>
      </c>
      <c r="AC6" s="2">
        <f t="shared" ref="AC6:AC35" si="6">(E6+X6)/(E6+X6+Q6)</f>
        <v>0.97127222906407362</v>
      </c>
      <c r="AD6" s="2">
        <f t="shared" ref="AD6:AD35" si="7">(F6+Y6)/(F6+Y6+P6)</f>
        <v>0.97613438950143971</v>
      </c>
      <c r="AE6" s="2"/>
      <c r="AF6" s="2"/>
      <c r="AH6" s="1"/>
      <c r="AI6" s="7"/>
      <c r="AJ6" s="1"/>
      <c r="AL6" s="3"/>
      <c r="AM6" s="3"/>
      <c r="AN6" s="3"/>
      <c r="AP6" s="2"/>
    </row>
    <row r="7" spans="3:42" x14ac:dyDescent="0.2">
      <c r="C7" s="5">
        <f>Accuracy!F6</f>
        <v>-45</v>
      </c>
      <c r="D7" s="5">
        <f>Accuracy!G6</f>
        <v>471985</v>
      </c>
      <c r="E7" s="6">
        <f>Thermistor!T7</f>
        <v>434411.45535520004</v>
      </c>
      <c r="F7" s="6">
        <f>Thermistor!U7</f>
        <v>511526.3717959355</v>
      </c>
      <c r="G7" s="34"/>
      <c r="H7" s="34">
        <v>2</v>
      </c>
      <c r="I7" s="34">
        <f t="shared" si="0"/>
        <v>-51.333333333333336</v>
      </c>
      <c r="K7">
        <f>Accuracy!$D$12</f>
        <v>18000</v>
      </c>
      <c r="L7" s="3">
        <f>Accuracy!$D$12*(1-Accuracy!$D$14)*(1-Accuracy!$D$16*('Resistor Network'!I7-25))</f>
        <v>17820</v>
      </c>
      <c r="M7" s="3">
        <f>Accuracy!$D$12*(1-Accuracy!$D$14)*(1+Accuracy!$D$16*('Resistor Network'!I7-25))</f>
        <v>17820</v>
      </c>
      <c r="N7" s="3">
        <f>Accuracy!$D$12*(1+Accuracy!$D$14)*(1-Accuracy!$D$16*('Resistor Network'!I7-25))</f>
        <v>18180</v>
      </c>
      <c r="O7" s="3">
        <f>Accuracy!$D$12*(1+Accuracy!$D$14)*(1+Accuracy!$D$16*('Resistor Network'!I7-25))</f>
        <v>18180</v>
      </c>
      <c r="P7" s="3">
        <f t="shared" si="1"/>
        <v>17820</v>
      </c>
      <c r="Q7" s="3">
        <f t="shared" si="2"/>
        <v>18180</v>
      </c>
      <c r="S7">
        <f>Accuracy!$D$19</f>
        <v>0</v>
      </c>
      <c r="T7" s="3">
        <f>Accuracy!$D$19*(1-Accuracy!$D$21)*(1-Accuracy!$D$23*('Resistor Network'!I7-25))</f>
        <v>0</v>
      </c>
      <c r="U7" s="3">
        <f>Accuracy!$D$19*(1-Accuracy!$D$21)*(1+Accuracy!$D$23*('Resistor Network'!I7-25))</f>
        <v>0</v>
      </c>
      <c r="V7" s="3">
        <f>Accuracy!$D$19*(1+Accuracy!$D$21)*(1-Accuracy!$D$23*('Resistor Network'!I7-25))</f>
        <v>0</v>
      </c>
      <c r="W7" s="3">
        <f>Accuracy!$D$19*(1-Accuracy!$D$21)*(1+Accuracy!$D$23*('Resistor Network'!I7-25))</f>
        <v>0</v>
      </c>
      <c r="X7" s="3">
        <f t="shared" si="3"/>
        <v>0</v>
      </c>
      <c r="Y7" s="3">
        <f t="shared" si="4"/>
        <v>0</v>
      </c>
      <c r="AB7" s="2">
        <f t="shared" si="5"/>
        <v>0.96326418155657823</v>
      </c>
      <c r="AC7" s="2">
        <f t="shared" si="6"/>
        <v>0.95983132296271023</v>
      </c>
      <c r="AD7" s="2">
        <f t="shared" si="7"/>
        <v>0.96633584180516552</v>
      </c>
      <c r="AE7" s="2"/>
      <c r="AF7" s="2"/>
      <c r="AH7" s="1"/>
      <c r="AI7" s="7"/>
      <c r="AJ7" s="1"/>
      <c r="AL7" s="3"/>
      <c r="AM7" s="3"/>
      <c r="AN7" s="3"/>
      <c r="AP7" s="2"/>
    </row>
    <row r="8" spans="3:42" x14ac:dyDescent="0.2">
      <c r="C8" s="5">
        <f>Accuracy!F7</f>
        <v>-40</v>
      </c>
      <c r="D8" s="5">
        <f>Accuracy!G7</f>
        <v>336479</v>
      </c>
      <c r="E8" s="6">
        <f>Thermistor!T8</f>
        <v>310742.56000192388</v>
      </c>
      <c r="F8" s="6">
        <f>Thermistor!U8</f>
        <v>363436.12586154335</v>
      </c>
      <c r="G8" s="34"/>
      <c r="H8" s="34">
        <v>3</v>
      </c>
      <c r="I8" s="34">
        <f t="shared" si="0"/>
        <v>-49.5</v>
      </c>
      <c r="K8">
        <f>Accuracy!$D$12</f>
        <v>18000</v>
      </c>
      <c r="L8" s="3">
        <f>Accuracy!$D$12*(1-Accuracy!$D$14)*(1-Accuracy!$D$16*('Resistor Network'!I8-25))</f>
        <v>17820</v>
      </c>
      <c r="M8" s="3">
        <f>Accuracy!$D$12*(1-Accuracy!$D$14)*(1+Accuracy!$D$16*('Resistor Network'!I8-25))</f>
        <v>17820</v>
      </c>
      <c r="N8" s="3">
        <f>Accuracy!$D$12*(1+Accuracy!$D$14)*(1-Accuracy!$D$16*('Resistor Network'!I8-25))</f>
        <v>18180</v>
      </c>
      <c r="O8" s="3">
        <f>Accuracy!$D$12*(1+Accuracy!$D$14)*(1+Accuracy!$D$16*('Resistor Network'!I8-25))</f>
        <v>18180</v>
      </c>
      <c r="P8" s="3">
        <f t="shared" si="1"/>
        <v>17820</v>
      </c>
      <c r="Q8" s="3">
        <f t="shared" si="2"/>
        <v>18180</v>
      </c>
      <c r="S8">
        <f>Accuracy!$D$19</f>
        <v>0</v>
      </c>
      <c r="T8" s="3">
        <f>Accuracy!$D$19*(1-Accuracy!$D$21)*(1-Accuracy!$D$23*('Resistor Network'!I8-25))</f>
        <v>0</v>
      </c>
      <c r="U8" s="3">
        <f>Accuracy!$D$19*(1-Accuracy!$D$21)*(1+Accuracy!$D$23*('Resistor Network'!I8-25))</f>
        <v>0</v>
      </c>
      <c r="V8" s="3">
        <f>Accuracy!$D$19*(1+Accuracy!$D$21)*(1-Accuracy!$D$23*('Resistor Network'!I8-25))</f>
        <v>0</v>
      </c>
      <c r="W8" s="3">
        <f>Accuracy!$D$19*(1-Accuracy!$D$21)*(1+Accuracy!$D$23*('Resistor Network'!I8-25))</f>
        <v>0</v>
      </c>
      <c r="X8" s="3">
        <f t="shared" si="3"/>
        <v>0</v>
      </c>
      <c r="Y8" s="3">
        <f t="shared" si="4"/>
        <v>0</v>
      </c>
      <c r="AB8" s="2">
        <f t="shared" si="5"/>
        <v>0.94922125147046787</v>
      </c>
      <c r="AC8" s="2">
        <f t="shared" si="6"/>
        <v>0.94472863156636733</v>
      </c>
      <c r="AD8" s="2">
        <f t="shared" si="7"/>
        <v>0.95325976740772034</v>
      </c>
      <c r="AE8" s="2"/>
      <c r="AF8" s="2"/>
      <c r="AH8" s="1"/>
      <c r="AI8" s="7"/>
      <c r="AJ8" s="1"/>
      <c r="AL8" s="3"/>
      <c r="AM8" s="3"/>
      <c r="AN8" s="3"/>
      <c r="AP8" s="2"/>
    </row>
    <row r="9" spans="3:42" x14ac:dyDescent="0.2">
      <c r="C9" s="5">
        <f>Accuracy!F8</f>
        <v>-35</v>
      </c>
      <c r="D9" s="5">
        <f>Accuracy!G8</f>
        <v>242681</v>
      </c>
      <c r="E9" s="6">
        <f>Thermistor!T9</f>
        <v>224852.52680971861</v>
      </c>
      <c r="F9" s="6">
        <f>Thermistor!U9</f>
        <v>261268.27848064204</v>
      </c>
      <c r="G9" s="34"/>
      <c r="H9" s="34">
        <v>4</v>
      </c>
      <c r="I9" s="34">
        <f t="shared" si="0"/>
        <v>-47.666666666666664</v>
      </c>
      <c r="K9">
        <f>Accuracy!$D$12</f>
        <v>18000</v>
      </c>
      <c r="L9" s="3">
        <f>Accuracy!$D$12*(1-Accuracy!$D$14)*(1-Accuracy!$D$16*('Resistor Network'!I9-25))</f>
        <v>17820</v>
      </c>
      <c r="M9" s="3">
        <f>Accuracy!$D$12*(1-Accuracy!$D$14)*(1+Accuracy!$D$16*('Resistor Network'!I9-25))</f>
        <v>17820</v>
      </c>
      <c r="N9" s="3">
        <f>Accuracy!$D$12*(1+Accuracy!$D$14)*(1-Accuracy!$D$16*('Resistor Network'!I9-25))</f>
        <v>18180</v>
      </c>
      <c r="O9" s="3">
        <f>Accuracy!$D$12*(1+Accuracy!$D$14)*(1+Accuracy!$D$16*('Resistor Network'!I9-25))</f>
        <v>18180</v>
      </c>
      <c r="P9" s="3">
        <f t="shared" si="1"/>
        <v>17820</v>
      </c>
      <c r="Q9" s="3">
        <f t="shared" si="2"/>
        <v>18180</v>
      </c>
      <c r="S9">
        <f>Accuracy!$D$19</f>
        <v>0</v>
      </c>
      <c r="T9" s="3">
        <f>Accuracy!$D$19*(1-Accuracy!$D$21)*(1-Accuracy!$D$23*('Resistor Network'!I9-25))</f>
        <v>0</v>
      </c>
      <c r="U9" s="3">
        <f>Accuracy!$D$19*(1-Accuracy!$D$21)*(1+Accuracy!$D$23*('Resistor Network'!I9-25))</f>
        <v>0</v>
      </c>
      <c r="V9" s="3">
        <f>Accuracy!$D$19*(1+Accuracy!$D$21)*(1-Accuracy!$D$23*('Resistor Network'!I9-25))</f>
        <v>0</v>
      </c>
      <c r="W9" s="3">
        <f>Accuracy!$D$19*(1-Accuracy!$D$21)*(1+Accuracy!$D$23*('Resistor Network'!I9-25))</f>
        <v>0</v>
      </c>
      <c r="X9" s="3">
        <f t="shared" si="3"/>
        <v>0</v>
      </c>
      <c r="Y9" s="3">
        <f t="shared" si="4"/>
        <v>0</v>
      </c>
      <c r="AB9" s="2">
        <f t="shared" si="5"/>
        <v>0.93095008842224791</v>
      </c>
      <c r="AC9" s="2">
        <f t="shared" si="6"/>
        <v>0.92519519819569684</v>
      </c>
      <c r="AD9" s="2">
        <f t="shared" si="7"/>
        <v>0.93614923529926752</v>
      </c>
      <c r="AE9" s="2"/>
      <c r="AF9" s="2"/>
      <c r="AH9" s="1"/>
      <c r="AI9" s="7"/>
      <c r="AJ9" s="1"/>
      <c r="AL9" s="3"/>
      <c r="AM9" s="3"/>
      <c r="AN9" s="3"/>
      <c r="AP9" s="2"/>
    </row>
    <row r="10" spans="3:42" x14ac:dyDescent="0.2">
      <c r="C10" s="5">
        <f>Accuracy!F9</f>
        <v>-30</v>
      </c>
      <c r="D10" s="5">
        <f>Accuracy!G9</f>
        <v>176973.99999999997</v>
      </c>
      <c r="E10" s="6">
        <f>Thermistor!T10</f>
        <v>164491.22186636258</v>
      </c>
      <c r="F10" s="6">
        <f>Thermistor!U10</f>
        <v>189928.05105242334</v>
      </c>
      <c r="G10" s="34"/>
      <c r="H10" s="34">
        <v>5</v>
      </c>
      <c r="I10" s="34">
        <f t="shared" si="0"/>
        <v>-45.833333333333336</v>
      </c>
      <c r="K10">
        <f>Accuracy!$D$12</f>
        <v>18000</v>
      </c>
      <c r="L10" s="3">
        <f>Accuracy!$D$12*(1-Accuracy!$D$14)*(1-Accuracy!$D$16*('Resistor Network'!I10-25))</f>
        <v>17820</v>
      </c>
      <c r="M10" s="3">
        <f>Accuracy!$D$12*(1-Accuracy!$D$14)*(1+Accuracy!$D$16*('Resistor Network'!I10-25))</f>
        <v>17820</v>
      </c>
      <c r="N10" s="3">
        <f>Accuracy!$D$12*(1+Accuracy!$D$14)*(1-Accuracy!$D$16*('Resistor Network'!I10-25))</f>
        <v>18180</v>
      </c>
      <c r="O10" s="3">
        <f>Accuracy!$D$12*(1+Accuracy!$D$14)*(1+Accuracy!$D$16*('Resistor Network'!I10-25))</f>
        <v>18180</v>
      </c>
      <c r="P10" s="3">
        <f t="shared" si="1"/>
        <v>17820</v>
      </c>
      <c r="Q10" s="3">
        <f t="shared" si="2"/>
        <v>18180</v>
      </c>
      <c r="S10">
        <f>Accuracy!$D$19</f>
        <v>0</v>
      </c>
      <c r="T10" s="3">
        <f>Accuracy!$D$19*(1-Accuracy!$D$21)*(1-Accuracy!$D$23*('Resistor Network'!I10-25))</f>
        <v>0</v>
      </c>
      <c r="U10" s="3">
        <f>Accuracy!$D$19*(1-Accuracy!$D$21)*(1+Accuracy!$D$23*('Resistor Network'!I10-25))</f>
        <v>0</v>
      </c>
      <c r="V10" s="3">
        <f>Accuracy!$D$19*(1+Accuracy!$D$21)*(1-Accuracy!$D$23*('Resistor Network'!I10-25))</f>
        <v>0</v>
      </c>
      <c r="W10" s="3">
        <f>Accuracy!$D$19*(1-Accuracy!$D$21)*(1+Accuracy!$D$23*('Resistor Network'!I10-25))</f>
        <v>0</v>
      </c>
      <c r="X10" s="3">
        <f t="shared" si="3"/>
        <v>0</v>
      </c>
      <c r="Y10" s="3">
        <f t="shared" si="4"/>
        <v>0</v>
      </c>
      <c r="AB10" s="2">
        <f t="shared" si="5"/>
        <v>0.90767999835875546</v>
      </c>
      <c r="AC10" s="2">
        <f t="shared" si="6"/>
        <v>0.90047693438378595</v>
      </c>
      <c r="AD10" s="2">
        <f t="shared" si="7"/>
        <v>0.91422302202246275</v>
      </c>
      <c r="AE10" s="2"/>
      <c r="AF10" s="2"/>
      <c r="AH10" s="1"/>
      <c r="AI10" s="7"/>
      <c r="AJ10" s="1"/>
      <c r="AL10" s="3"/>
      <c r="AM10" s="3"/>
      <c r="AN10" s="3"/>
      <c r="AP10" s="2"/>
    </row>
    <row r="11" spans="3:42" x14ac:dyDescent="0.2">
      <c r="C11" s="5">
        <f>Accuracy!F10</f>
        <v>-25</v>
      </c>
      <c r="D11" s="5">
        <f>Accuracy!G10</f>
        <v>130421</v>
      </c>
      <c r="E11" s="6">
        <f>Thermistor!T11</f>
        <v>121592.39276858803</v>
      </c>
      <c r="F11" s="6">
        <f>Thermistor!U11</f>
        <v>139540.91009779647</v>
      </c>
      <c r="G11" s="34"/>
      <c r="H11" s="34">
        <v>6</v>
      </c>
      <c r="I11" s="34">
        <f t="shared" si="0"/>
        <v>-44</v>
      </c>
      <c r="K11">
        <f>Accuracy!$D$12</f>
        <v>18000</v>
      </c>
      <c r="L11" s="3">
        <f>Accuracy!$D$12*(1-Accuracy!$D$14)*(1-Accuracy!$D$16*('Resistor Network'!I11-25))</f>
        <v>17820</v>
      </c>
      <c r="M11" s="3">
        <f>Accuracy!$D$12*(1-Accuracy!$D$14)*(1+Accuracy!$D$16*('Resistor Network'!I11-25))</f>
        <v>17820</v>
      </c>
      <c r="N11" s="3">
        <f>Accuracy!$D$12*(1+Accuracy!$D$14)*(1-Accuracy!$D$16*('Resistor Network'!I11-25))</f>
        <v>18180</v>
      </c>
      <c r="O11" s="3">
        <f>Accuracy!$D$12*(1+Accuracy!$D$14)*(1+Accuracy!$D$16*('Resistor Network'!I11-25))</f>
        <v>18180</v>
      </c>
      <c r="P11" s="3">
        <f t="shared" si="1"/>
        <v>17820</v>
      </c>
      <c r="Q11" s="3">
        <f t="shared" si="2"/>
        <v>18180</v>
      </c>
      <c r="S11">
        <f>Accuracy!$D$19</f>
        <v>0</v>
      </c>
      <c r="T11" s="3">
        <f>Accuracy!$D$19*(1-Accuracy!$D$21)*(1-Accuracy!$D$23*('Resistor Network'!I11-25))</f>
        <v>0</v>
      </c>
      <c r="U11" s="3">
        <f>Accuracy!$D$19*(1-Accuracy!$D$21)*(1+Accuracy!$D$23*('Resistor Network'!I11-25))</f>
        <v>0</v>
      </c>
      <c r="V11" s="3">
        <f>Accuracy!$D$19*(1+Accuracy!$D$21)*(1-Accuracy!$D$23*('Resistor Network'!I11-25))</f>
        <v>0</v>
      </c>
      <c r="W11" s="3">
        <f>Accuracy!$D$19*(1-Accuracy!$D$21)*(1+Accuracy!$D$23*('Resistor Network'!I11-25))</f>
        <v>0</v>
      </c>
      <c r="X11" s="3">
        <f t="shared" si="3"/>
        <v>0</v>
      </c>
      <c r="Y11" s="3">
        <f t="shared" si="4"/>
        <v>0</v>
      </c>
      <c r="AB11" s="2">
        <f t="shared" si="5"/>
        <v>0.87872336124941886</v>
      </c>
      <c r="AC11" s="2">
        <f t="shared" si="6"/>
        <v>0.86993139603684522</v>
      </c>
      <c r="AD11" s="2">
        <f t="shared" si="7"/>
        <v>0.88675713689679825</v>
      </c>
      <c r="AE11" s="2"/>
      <c r="AF11" s="2"/>
      <c r="AH11" s="1"/>
      <c r="AI11" s="7"/>
      <c r="AJ11" s="1"/>
      <c r="AL11" s="3"/>
      <c r="AM11" s="3"/>
      <c r="AN11" s="3"/>
      <c r="AP11" s="2"/>
    </row>
    <row r="12" spans="3:42" x14ac:dyDescent="0.2">
      <c r="C12" s="5">
        <f>Accuracy!F11</f>
        <v>-20</v>
      </c>
      <c r="D12" s="5">
        <f>Accuracy!G11</f>
        <v>97081</v>
      </c>
      <c r="E12" s="6">
        <f>Thermistor!T12</f>
        <v>90776.880233116797</v>
      </c>
      <c r="F12" s="6">
        <f>Thermistor!U12</f>
        <v>103563.36035623986</v>
      </c>
      <c r="G12" s="34"/>
      <c r="H12" s="34">
        <v>7</v>
      </c>
      <c r="I12" s="34">
        <f t="shared" si="0"/>
        <v>-42.166666666666671</v>
      </c>
      <c r="K12">
        <f>Accuracy!$D$12</f>
        <v>18000</v>
      </c>
      <c r="L12" s="3">
        <f>Accuracy!$D$12*(1-Accuracy!$D$14)*(1-Accuracy!$D$16*('Resistor Network'!I12-25))</f>
        <v>17820</v>
      </c>
      <c r="M12" s="3">
        <f>Accuracy!$D$12*(1-Accuracy!$D$14)*(1+Accuracy!$D$16*('Resistor Network'!I12-25))</f>
        <v>17820</v>
      </c>
      <c r="N12" s="3">
        <f>Accuracy!$D$12*(1+Accuracy!$D$14)*(1-Accuracy!$D$16*('Resistor Network'!I12-25))</f>
        <v>18180</v>
      </c>
      <c r="O12" s="3">
        <f>Accuracy!$D$12*(1+Accuracy!$D$14)*(1+Accuracy!$D$16*('Resistor Network'!I12-25))</f>
        <v>18180</v>
      </c>
      <c r="P12" s="3">
        <f t="shared" si="1"/>
        <v>17820</v>
      </c>
      <c r="Q12" s="3">
        <f t="shared" si="2"/>
        <v>18180</v>
      </c>
      <c r="S12">
        <f>Accuracy!$D$19</f>
        <v>0</v>
      </c>
      <c r="T12" s="3">
        <f>Accuracy!$D$19*(1-Accuracy!$D$21)*(1-Accuracy!$D$23*('Resistor Network'!I12-25))</f>
        <v>0</v>
      </c>
      <c r="U12" s="3">
        <f>Accuracy!$D$19*(1-Accuracy!$D$21)*(1+Accuracy!$D$23*('Resistor Network'!I12-25))</f>
        <v>0</v>
      </c>
      <c r="V12" s="3">
        <f>Accuracy!$D$19*(1+Accuracy!$D$21)*(1-Accuracy!$D$23*('Resistor Network'!I12-25))</f>
        <v>0</v>
      </c>
      <c r="W12" s="3">
        <f>Accuracy!$D$19*(1-Accuracy!$D$21)*(1+Accuracy!$D$23*('Resistor Network'!I12-25))</f>
        <v>0</v>
      </c>
      <c r="X12" s="3">
        <f t="shared" si="3"/>
        <v>0</v>
      </c>
      <c r="Y12" s="3">
        <f t="shared" si="4"/>
        <v>0</v>
      </c>
      <c r="AB12" s="2">
        <f t="shared" si="5"/>
        <v>0.8435884290195601</v>
      </c>
      <c r="AC12" s="2">
        <f t="shared" si="6"/>
        <v>0.83314500230638677</v>
      </c>
      <c r="AD12" s="2">
        <f t="shared" si="7"/>
        <v>0.85319239846630313</v>
      </c>
      <c r="AE12" s="2"/>
      <c r="AF12" s="2"/>
      <c r="AH12" s="1"/>
      <c r="AI12" s="7"/>
      <c r="AJ12" s="1"/>
      <c r="AL12" s="3"/>
      <c r="AM12" s="3"/>
      <c r="AN12" s="3"/>
      <c r="AP12" s="2"/>
    </row>
    <row r="13" spans="3:42" x14ac:dyDescent="0.2">
      <c r="C13" s="5">
        <f>Accuracy!F12</f>
        <v>-15</v>
      </c>
      <c r="D13" s="5">
        <f>Accuracy!G12</f>
        <v>72957</v>
      </c>
      <c r="E13" s="6">
        <f>Thermistor!T13</f>
        <v>68414.577937711452</v>
      </c>
      <c r="F13" s="6">
        <f>Thermistor!U13</f>
        <v>77606.516029544146</v>
      </c>
      <c r="G13" s="34"/>
      <c r="H13" s="34">
        <v>8</v>
      </c>
      <c r="I13" s="34">
        <f t="shared" si="0"/>
        <v>-40.333333333333336</v>
      </c>
      <c r="K13">
        <f>Accuracy!$D$12</f>
        <v>18000</v>
      </c>
      <c r="L13" s="3">
        <f>Accuracy!$D$12*(1-Accuracy!$D$14)*(1-Accuracy!$D$16*('Resistor Network'!I13-25))</f>
        <v>17820</v>
      </c>
      <c r="M13" s="3">
        <f>Accuracy!$D$12*(1-Accuracy!$D$14)*(1+Accuracy!$D$16*('Resistor Network'!I13-25))</f>
        <v>17820</v>
      </c>
      <c r="N13" s="3">
        <f>Accuracy!$D$12*(1+Accuracy!$D$14)*(1-Accuracy!$D$16*('Resistor Network'!I13-25))</f>
        <v>18180</v>
      </c>
      <c r="O13" s="3">
        <f>Accuracy!$D$12*(1+Accuracy!$D$14)*(1+Accuracy!$D$16*('Resistor Network'!I13-25))</f>
        <v>18180</v>
      </c>
      <c r="P13" s="3">
        <f t="shared" si="1"/>
        <v>17820</v>
      </c>
      <c r="Q13" s="3">
        <f t="shared" si="2"/>
        <v>18180</v>
      </c>
      <c r="S13">
        <f>Accuracy!$D$19</f>
        <v>0</v>
      </c>
      <c r="T13" s="3">
        <f>Accuracy!$D$19*(1-Accuracy!$D$21)*(1-Accuracy!$D$23*('Resistor Network'!I13-25))</f>
        <v>0</v>
      </c>
      <c r="U13" s="3">
        <f>Accuracy!$D$19*(1-Accuracy!$D$21)*(1+Accuracy!$D$23*('Resistor Network'!I13-25))</f>
        <v>0</v>
      </c>
      <c r="V13" s="3">
        <f>Accuracy!$D$19*(1+Accuracy!$D$21)*(1-Accuracy!$D$23*('Resistor Network'!I13-25))</f>
        <v>0</v>
      </c>
      <c r="W13" s="3">
        <f>Accuracy!$D$19*(1-Accuracy!$D$21)*(1+Accuracy!$D$23*('Resistor Network'!I13-25))</f>
        <v>0</v>
      </c>
      <c r="X13" s="3">
        <f t="shared" si="3"/>
        <v>0</v>
      </c>
      <c r="Y13" s="3">
        <f t="shared" si="4"/>
        <v>0</v>
      </c>
      <c r="AB13" s="2">
        <f t="shared" si="5"/>
        <v>0.80210429103862269</v>
      </c>
      <c r="AC13" s="2">
        <f t="shared" si="6"/>
        <v>0.79005613939157837</v>
      </c>
      <c r="AD13" s="2">
        <f t="shared" si="7"/>
        <v>0.81325945092155616</v>
      </c>
      <c r="AE13" s="2"/>
      <c r="AF13" s="2"/>
      <c r="AH13" s="1"/>
      <c r="AI13" s="7"/>
      <c r="AJ13" s="1"/>
      <c r="AL13" s="3"/>
      <c r="AM13" s="3"/>
      <c r="AN13" s="3"/>
      <c r="AP13" s="2"/>
    </row>
    <row r="14" spans="3:42" x14ac:dyDescent="0.2">
      <c r="C14" s="5">
        <f>Accuracy!F13</f>
        <v>-10</v>
      </c>
      <c r="D14" s="5">
        <f>Accuracy!G13</f>
        <v>55329</v>
      </c>
      <c r="E14" s="6">
        <f>Thermistor!T14</f>
        <v>52027.822156284281</v>
      </c>
      <c r="F14" s="6">
        <f>Thermistor!U14</f>
        <v>58692.539276865718</v>
      </c>
      <c r="G14" s="34"/>
      <c r="H14" s="34">
        <v>9</v>
      </c>
      <c r="I14" s="34">
        <f t="shared" si="0"/>
        <v>-38.5</v>
      </c>
      <c r="K14">
        <f>Accuracy!$D$12</f>
        <v>18000</v>
      </c>
      <c r="L14" s="3">
        <f>Accuracy!$D$12*(1-Accuracy!$D$14)*(1-Accuracy!$D$16*('Resistor Network'!I14-25))</f>
        <v>17820</v>
      </c>
      <c r="M14" s="3">
        <f>Accuracy!$D$12*(1-Accuracy!$D$14)*(1+Accuracy!$D$16*('Resistor Network'!I14-25))</f>
        <v>17820</v>
      </c>
      <c r="N14" s="3">
        <f>Accuracy!$D$12*(1+Accuracy!$D$14)*(1-Accuracy!$D$16*('Resistor Network'!I14-25))</f>
        <v>18180</v>
      </c>
      <c r="O14" s="3">
        <f>Accuracy!$D$12*(1+Accuracy!$D$14)*(1+Accuracy!$D$16*('Resistor Network'!I14-25))</f>
        <v>18180</v>
      </c>
      <c r="P14" s="3">
        <f t="shared" si="1"/>
        <v>17820</v>
      </c>
      <c r="Q14" s="3">
        <f t="shared" si="2"/>
        <v>18180</v>
      </c>
      <c r="S14">
        <f>Accuracy!$D$19</f>
        <v>0</v>
      </c>
      <c r="T14" s="3">
        <f>Accuracy!$D$19*(1-Accuracy!$D$21)*(1-Accuracy!$D$23*('Resistor Network'!I14-25))</f>
        <v>0</v>
      </c>
      <c r="U14" s="3">
        <f>Accuracy!$D$19*(1-Accuracy!$D$21)*(1+Accuracy!$D$23*('Resistor Network'!I14-25))</f>
        <v>0</v>
      </c>
      <c r="V14" s="3">
        <f>Accuracy!$D$19*(1+Accuracy!$D$21)*(1-Accuracy!$D$23*('Resistor Network'!I14-25))</f>
        <v>0</v>
      </c>
      <c r="W14" s="3">
        <f>Accuracy!$D$19*(1-Accuracy!$D$21)*(1+Accuracy!$D$23*('Resistor Network'!I14-25))</f>
        <v>0</v>
      </c>
      <c r="X14" s="3">
        <f t="shared" si="3"/>
        <v>0</v>
      </c>
      <c r="Y14" s="3">
        <f t="shared" si="4"/>
        <v>0</v>
      </c>
      <c r="AB14" s="2">
        <f t="shared" si="5"/>
        <v>0.75453094955611011</v>
      </c>
      <c r="AC14" s="2">
        <f t="shared" si="6"/>
        <v>0.74105449447597327</v>
      </c>
      <c r="AD14" s="2">
        <f t="shared" si="7"/>
        <v>0.76709699915307816</v>
      </c>
      <c r="AE14" s="2"/>
      <c r="AF14" s="2"/>
      <c r="AH14" s="1"/>
      <c r="AI14" s="7"/>
      <c r="AJ14" s="1"/>
      <c r="AL14" s="3"/>
      <c r="AM14" s="3"/>
      <c r="AN14" s="3"/>
      <c r="AP14" s="2"/>
    </row>
    <row r="15" spans="3:42" x14ac:dyDescent="0.2">
      <c r="C15" s="5">
        <f>Accuracy!F14</f>
        <v>-5</v>
      </c>
      <c r="D15" s="5">
        <f>Accuracy!G14</f>
        <v>42327</v>
      </c>
      <c r="E15" s="6">
        <f>Thermistor!T15</f>
        <v>39908.340371777813</v>
      </c>
      <c r="F15" s="6">
        <f>Thermistor!U15</f>
        <v>44780.012775006049</v>
      </c>
      <c r="G15" s="34"/>
      <c r="H15" s="34">
        <v>10</v>
      </c>
      <c r="I15" s="34">
        <f t="shared" si="0"/>
        <v>-36.666666666666671</v>
      </c>
      <c r="K15">
        <f>Accuracy!$D$12</f>
        <v>18000</v>
      </c>
      <c r="L15" s="3">
        <f>Accuracy!$D$12*(1-Accuracy!$D$14)*(1-Accuracy!$D$16*('Resistor Network'!I15-25))</f>
        <v>17820</v>
      </c>
      <c r="M15" s="3">
        <f>Accuracy!$D$12*(1-Accuracy!$D$14)*(1+Accuracy!$D$16*('Resistor Network'!I15-25))</f>
        <v>17820</v>
      </c>
      <c r="N15" s="3">
        <f>Accuracy!$D$12*(1+Accuracy!$D$14)*(1-Accuracy!$D$16*('Resistor Network'!I15-25))</f>
        <v>18180</v>
      </c>
      <c r="O15" s="3">
        <f>Accuracy!$D$12*(1+Accuracy!$D$14)*(1+Accuracy!$D$16*('Resistor Network'!I15-25))</f>
        <v>18180</v>
      </c>
      <c r="P15" s="3">
        <f t="shared" si="1"/>
        <v>17820</v>
      </c>
      <c r="Q15" s="3">
        <f t="shared" si="2"/>
        <v>18180</v>
      </c>
      <c r="S15">
        <f>Accuracy!$D$19</f>
        <v>0</v>
      </c>
      <c r="T15" s="3">
        <f>Accuracy!$D$19*(1-Accuracy!$D$21)*(1-Accuracy!$D$23*('Resistor Network'!I15-25))</f>
        <v>0</v>
      </c>
      <c r="U15" s="3">
        <f>Accuracy!$D$19*(1-Accuracy!$D$21)*(1+Accuracy!$D$23*('Resistor Network'!I15-25))</f>
        <v>0</v>
      </c>
      <c r="V15" s="3">
        <f>Accuracy!$D$19*(1+Accuracy!$D$21)*(1-Accuracy!$D$23*('Resistor Network'!I15-25))</f>
        <v>0</v>
      </c>
      <c r="W15" s="3">
        <f>Accuracy!$D$19*(1-Accuracy!$D$21)*(1+Accuracy!$D$23*('Resistor Network'!I15-25))</f>
        <v>0</v>
      </c>
      <c r="X15" s="3">
        <f t="shared" si="3"/>
        <v>0</v>
      </c>
      <c r="Y15" s="3">
        <f t="shared" si="4"/>
        <v>0</v>
      </c>
      <c r="AB15" s="2">
        <f t="shared" si="5"/>
        <v>0.70162613755035064</v>
      </c>
      <c r="AC15" s="2">
        <f t="shared" si="6"/>
        <v>0.68702841424554206</v>
      </c>
      <c r="AD15" s="2">
        <f t="shared" si="7"/>
        <v>0.71533552135128498</v>
      </c>
      <c r="AE15" s="2"/>
      <c r="AF15" s="2"/>
      <c r="AH15" s="1"/>
      <c r="AI15" s="7"/>
      <c r="AJ15" s="1"/>
      <c r="AL15" s="3"/>
      <c r="AM15" s="3"/>
      <c r="AN15" s="3"/>
      <c r="AP15" s="2"/>
    </row>
    <row r="16" spans="3:42" x14ac:dyDescent="0.2">
      <c r="C16" s="5">
        <f>Accuracy!F15</f>
        <v>0</v>
      </c>
      <c r="D16" s="5">
        <f>Accuracy!G15</f>
        <v>32650</v>
      </c>
      <c r="E16" s="6">
        <f>Thermistor!T16</f>
        <v>30864.319642558028</v>
      </c>
      <c r="F16" s="6">
        <f>Thermistor!U16</f>
        <v>34452.644868405368</v>
      </c>
      <c r="G16" s="34"/>
      <c r="H16" s="34">
        <v>11</v>
      </c>
      <c r="I16" s="34">
        <f t="shared" si="0"/>
        <v>-34.833333333333336</v>
      </c>
      <c r="K16">
        <f>Accuracy!$D$12</f>
        <v>18000</v>
      </c>
      <c r="L16" s="3">
        <f>Accuracy!$D$12*(1-Accuracy!$D$14)*(1-Accuracy!$D$16*('Resistor Network'!I16-25))</f>
        <v>17820</v>
      </c>
      <c r="M16" s="3">
        <f>Accuracy!$D$12*(1-Accuracy!$D$14)*(1+Accuracy!$D$16*('Resistor Network'!I16-25))</f>
        <v>17820</v>
      </c>
      <c r="N16" s="3">
        <f>Accuracy!$D$12*(1+Accuracy!$D$14)*(1-Accuracy!$D$16*('Resistor Network'!I16-25))</f>
        <v>18180</v>
      </c>
      <c r="O16" s="3">
        <f>Accuracy!$D$12*(1+Accuracy!$D$14)*(1+Accuracy!$D$16*('Resistor Network'!I16-25))</f>
        <v>18180</v>
      </c>
      <c r="P16" s="3">
        <f t="shared" si="1"/>
        <v>17820</v>
      </c>
      <c r="Q16" s="3">
        <f t="shared" si="2"/>
        <v>18180</v>
      </c>
      <c r="S16">
        <f>Accuracy!$D$19</f>
        <v>0</v>
      </c>
      <c r="T16" s="3">
        <f>Accuracy!$D$19*(1-Accuracy!$D$21)*(1-Accuracy!$D$23*('Resistor Network'!I16-25))</f>
        <v>0</v>
      </c>
      <c r="U16" s="3">
        <f>Accuracy!$D$19*(1-Accuracy!$D$21)*(1+Accuracy!$D$23*('Resistor Network'!I16-25))</f>
        <v>0</v>
      </c>
      <c r="V16" s="3">
        <f>Accuracy!$D$19*(1+Accuracy!$D$21)*(1-Accuracy!$D$23*('Resistor Network'!I16-25))</f>
        <v>0</v>
      </c>
      <c r="W16" s="3">
        <f>Accuracy!$D$19*(1-Accuracy!$D$21)*(1+Accuracy!$D$23*('Resistor Network'!I16-25))</f>
        <v>0</v>
      </c>
      <c r="X16" s="3">
        <f t="shared" si="3"/>
        <v>0</v>
      </c>
      <c r="Y16" s="3">
        <f t="shared" si="4"/>
        <v>0</v>
      </c>
      <c r="AB16" s="2">
        <f t="shared" si="5"/>
        <v>0.64461994076999007</v>
      </c>
      <c r="AC16" s="2">
        <f t="shared" si="6"/>
        <v>0.62931487005022357</v>
      </c>
      <c r="AD16" s="2">
        <f t="shared" si="7"/>
        <v>0.65909511476105231</v>
      </c>
      <c r="AE16" s="2"/>
      <c r="AF16" s="2"/>
      <c r="AH16" s="1"/>
      <c r="AI16" s="7"/>
      <c r="AJ16" s="1"/>
      <c r="AL16" s="3"/>
      <c r="AM16" s="3"/>
      <c r="AN16" s="3"/>
      <c r="AP16" s="2"/>
    </row>
    <row r="17" spans="3:42" x14ac:dyDescent="0.2">
      <c r="C17" s="5">
        <f>Accuracy!F16</f>
        <v>5</v>
      </c>
      <c r="D17" s="5">
        <f>Accuracy!G16</f>
        <v>25392</v>
      </c>
      <c r="E17" s="6">
        <f>Thermistor!T17</f>
        <v>24063.693903257943</v>
      </c>
      <c r="F17" s="6">
        <f>Thermistor!U17</f>
        <v>26726.643981825502</v>
      </c>
      <c r="G17" s="34"/>
      <c r="H17" s="34">
        <v>12</v>
      </c>
      <c r="I17" s="34">
        <f t="shared" si="0"/>
        <v>-33</v>
      </c>
      <c r="K17">
        <f>Accuracy!$D$12</f>
        <v>18000</v>
      </c>
      <c r="L17" s="3">
        <f>Accuracy!$D$12*(1-Accuracy!$D$14)*(1-Accuracy!$D$16*('Resistor Network'!I17-25))</f>
        <v>17820</v>
      </c>
      <c r="M17" s="3">
        <f>Accuracy!$D$12*(1-Accuracy!$D$14)*(1+Accuracy!$D$16*('Resistor Network'!I17-25))</f>
        <v>17820</v>
      </c>
      <c r="N17" s="3">
        <f>Accuracy!$D$12*(1+Accuracy!$D$14)*(1-Accuracy!$D$16*('Resistor Network'!I17-25))</f>
        <v>18180</v>
      </c>
      <c r="O17" s="3">
        <f>Accuracy!$D$12*(1+Accuracy!$D$14)*(1+Accuracy!$D$16*('Resistor Network'!I17-25))</f>
        <v>18180</v>
      </c>
      <c r="P17" s="3">
        <f t="shared" si="1"/>
        <v>17820</v>
      </c>
      <c r="Q17" s="3">
        <f t="shared" si="2"/>
        <v>18180</v>
      </c>
      <c r="S17">
        <f>Accuracy!$D$19</f>
        <v>0</v>
      </c>
      <c r="T17" s="3">
        <f>Accuracy!$D$19*(1-Accuracy!$D$21)*(1-Accuracy!$D$23*('Resistor Network'!I17-25))</f>
        <v>0</v>
      </c>
      <c r="U17" s="3">
        <f>Accuracy!$D$19*(1-Accuracy!$D$21)*(1+Accuracy!$D$23*('Resistor Network'!I17-25))</f>
        <v>0</v>
      </c>
      <c r="V17" s="3">
        <f>Accuracy!$D$19*(1+Accuracy!$D$21)*(1-Accuracy!$D$23*('Resistor Network'!I17-25))</f>
        <v>0</v>
      </c>
      <c r="W17" s="3">
        <f>Accuracy!$D$19*(1-Accuracy!$D$21)*(1+Accuracy!$D$23*('Resistor Network'!I17-25))</f>
        <v>0</v>
      </c>
      <c r="X17" s="3">
        <f t="shared" si="3"/>
        <v>0</v>
      </c>
      <c r="Y17" s="3">
        <f t="shared" si="4"/>
        <v>0</v>
      </c>
      <c r="AB17" s="2">
        <f t="shared" si="5"/>
        <v>0.58517699115044253</v>
      </c>
      <c r="AC17" s="2">
        <f t="shared" si="6"/>
        <v>0.56963990787278407</v>
      </c>
      <c r="AD17" s="2">
        <f t="shared" si="7"/>
        <v>0.5999698651312465</v>
      </c>
      <c r="AE17" s="2"/>
      <c r="AF17" s="2"/>
      <c r="AH17" s="1"/>
      <c r="AI17" s="7"/>
      <c r="AJ17" s="1"/>
      <c r="AL17" s="3"/>
      <c r="AM17" s="3"/>
      <c r="AN17" s="3"/>
      <c r="AP17" s="2"/>
    </row>
    <row r="18" spans="3:42" x14ac:dyDescent="0.2">
      <c r="C18" s="5">
        <f>Accuracy!F17</f>
        <v>10</v>
      </c>
      <c r="D18" s="5">
        <f>Accuracy!G17</f>
        <v>19901</v>
      </c>
      <c r="E18" s="6">
        <f>Thermistor!T18</f>
        <v>18905.95</v>
      </c>
      <c r="F18" s="6">
        <f>Thermistor!U18</f>
        <v>20896.05</v>
      </c>
      <c r="G18" s="34"/>
      <c r="H18" s="34">
        <v>13</v>
      </c>
      <c r="I18" s="34">
        <f t="shared" si="0"/>
        <v>-31.166666666666668</v>
      </c>
      <c r="K18">
        <f>Accuracy!$D$12</f>
        <v>18000</v>
      </c>
      <c r="L18" s="3">
        <f>Accuracy!$D$12*(1-Accuracy!$D$14)*(1-Accuracy!$D$16*('Resistor Network'!I18-25))</f>
        <v>17820</v>
      </c>
      <c r="M18" s="3">
        <f>Accuracy!$D$12*(1-Accuracy!$D$14)*(1+Accuracy!$D$16*('Resistor Network'!I18-25))</f>
        <v>17820</v>
      </c>
      <c r="N18" s="3">
        <f>Accuracy!$D$12*(1+Accuracy!$D$14)*(1-Accuracy!$D$16*('Resistor Network'!I18-25))</f>
        <v>18180</v>
      </c>
      <c r="O18" s="3">
        <f>Accuracy!$D$12*(1+Accuracy!$D$14)*(1+Accuracy!$D$16*('Resistor Network'!I18-25))</f>
        <v>18180</v>
      </c>
      <c r="P18" s="3">
        <f t="shared" si="1"/>
        <v>17820</v>
      </c>
      <c r="Q18" s="3">
        <f t="shared" si="2"/>
        <v>18180</v>
      </c>
      <c r="S18">
        <f>Accuracy!$D$19</f>
        <v>0</v>
      </c>
      <c r="T18" s="3">
        <f>Accuracy!$D$19*(1-Accuracy!$D$21)*(1-Accuracy!$D$23*('Resistor Network'!I18-25))</f>
        <v>0</v>
      </c>
      <c r="U18" s="3">
        <f>Accuracy!$D$19*(1-Accuracy!$D$21)*(1+Accuracy!$D$23*('Resistor Network'!I18-25))</f>
        <v>0</v>
      </c>
      <c r="V18" s="3">
        <f>Accuracy!$D$19*(1+Accuracy!$D$21)*(1-Accuracy!$D$23*('Resistor Network'!I18-25))</f>
        <v>0</v>
      </c>
      <c r="W18" s="3">
        <f>Accuracy!$D$19*(1-Accuracy!$D$21)*(1+Accuracy!$D$23*('Resistor Network'!I18-25))</f>
        <v>0</v>
      </c>
      <c r="X18" s="3">
        <f t="shared" si="3"/>
        <v>0</v>
      </c>
      <c r="Y18" s="3">
        <f t="shared" si="4"/>
        <v>0</v>
      </c>
      <c r="AB18" s="2">
        <f t="shared" si="5"/>
        <v>0.52507849397113537</v>
      </c>
      <c r="AC18" s="2">
        <f t="shared" si="6"/>
        <v>0.50978739927115257</v>
      </c>
      <c r="AD18" s="2">
        <f t="shared" si="7"/>
        <v>0.53972577264467836</v>
      </c>
      <c r="AE18" s="2"/>
      <c r="AF18" s="2"/>
      <c r="AH18" s="1"/>
      <c r="AI18" s="7"/>
      <c r="AJ18" s="1"/>
      <c r="AL18" s="3"/>
      <c r="AM18" s="3"/>
      <c r="AN18" s="3"/>
      <c r="AP18" s="2"/>
    </row>
    <row r="19" spans="3:42" x14ac:dyDescent="0.2">
      <c r="C19" s="5">
        <f>Accuracy!F18</f>
        <v>15</v>
      </c>
      <c r="D19" s="5">
        <f>Accuracy!G18</f>
        <v>15712</v>
      </c>
      <c r="E19" s="6">
        <f>Thermistor!T19</f>
        <v>14891.163821488311</v>
      </c>
      <c r="F19" s="6">
        <f>Thermistor!U19</f>
        <v>16536.637404032557</v>
      </c>
      <c r="G19" s="34"/>
      <c r="H19" s="34">
        <v>14</v>
      </c>
      <c r="I19" s="34">
        <f t="shared" si="0"/>
        <v>-29.333333333333336</v>
      </c>
      <c r="K19">
        <f>Accuracy!$D$12</f>
        <v>18000</v>
      </c>
      <c r="L19" s="3">
        <f>Accuracy!$D$12*(1-Accuracy!$D$14)*(1-Accuracy!$D$16*('Resistor Network'!I19-25))</f>
        <v>17820</v>
      </c>
      <c r="M19" s="3">
        <f>Accuracy!$D$12*(1-Accuracy!$D$14)*(1+Accuracy!$D$16*('Resistor Network'!I19-25))</f>
        <v>17820</v>
      </c>
      <c r="N19" s="3">
        <f>Accuracy!$D$12*(1+Accuracy!$D$14)*(1-Accuracy!$D$16*('Resistor Network'!I19-25))</f>
        <v>18180</v>
      </c>
      <c r="O19" s="3">
        <f>Accuracy!$D$12*(1+Accuracy!$D$14)*(1+Accuracy!$D$16*('Resistor Network'!I19-25))</f>
        <v>18180</v>
      </c>
      <c r="P19" s="3">
        <f t="shared" si="1"/>
        <v>17820</v>
      </c>
      <c r="Q19" s="3">
        <f t="shared" si="2"/>
        <v>18180</v>
      </c>
      <c r="S19">
        <f>Accuracy!$D$19</f>
        <v>0</v>
      </c>
      <c r="T19" s="3">
        <f>Accuracy!$D$19*(1-Accuracy!$D$21)*(1-Accuracy!$D$23*('Resistor Network'!I19-25))</f>
        <v>0</v>
      </c>
      <c r="U19" s="3">
        <f>Accuracy!$D$19*(1-Accuracy!$D$21)*(1+Accuracy!$D$23*('Resistor Network'!I19-25))</f>
        <v>0</v>
      </c>
      <c r="V19" s="3">
        <f>Accuracy!$D$19*(1+Accuracy!$D$21)*(1-Accuracy!$D$23*('Resistor Network'!I19-25))</f>
        <v>0</v>
      </c>
      <c r="W19" s="3">
        <f>Accuracy!$D$19*(1-Accuracy!$D$21)*(1+Accuracy!$D$23*('Resistor Network'!I19-25))</f>
        <v>0</v>
      </c>
      <c r="X19" s="3">
        <f t="shared" si="3"/>
        <v>0</v>
      </c>
      <c r="Y19" s="3">
        <f t="shared" si="4"/>
        <v>0</v>
      </c>
      <c r="AB19" s="2">
        <f t="shared" si="5"/>
        <v>0.46606549596582819</v>
      </c>
      <c r="AC19" s="2">
        <f t="shared" si="6"/>
        <v>0.45027637678153409</v>
      </c>
      <c r="AD19" s="2">
        <f t="shared" si="7"/>
        <v>0.48132293069203547</v>
      </c>
      <c r="AE19" s="2"/>
      <c r="AF19" s="2"/>
      <c r="AH19" s="1"/>
      <c r="AI19" s="7"/>
      <c r="AJ19" s="1"/>
      <c r="AL19" s="3"/>
      <c r="AM19" s="3"/>
      <c r="AN19" s="3"/>
      <c r="AP19" s="2"/>
    </row>
    <row r="20" spans="3:42" x14ac:dyDescent="0.2">
      <c r="C20" s="5">
        <f>Accuracy!F19</f>
        <v>20</v>
      </c>
      <c r="D20" s="5">
        <f>Accuracy!G19</f>
        <v>12493</v>
      </c>
      <c r="E20" s="6">
        <f>Thermistor!T20</f>
        <v>11813.219229495793</v>
      </c>
      <c r="F20" s="6">
        <f>Thermistor!U20</f>
        <v>13178.868380667887</v>
      </c>
      <c r="G20" s="34"/>
      <c r="H20" s="34">
        <v>15</v>
      </c>
      <c r="I20" s="34">
        <f t="shared" si="0"/>
        <v>-27.5</v>
      </c>
      <c r="K20">
        <f>Accuracy!$D$12</f>
        <v>18000</v>
      </c>
      <c r="L20" s="3">
        <f>Accuracy!$D$12*(1-Accuracy!$D$14)*(1-Accuracy!$D$16*('Resistor Network'!I20-25))</f>
        <v>17820</v>
      </c>
      <c r="M20" s="3">
        <f>Accuracy!$D$12*(1-Accuracy!$D$14)*(1+Accuracy!$D$16*('Resistor Network'!I20-25))</f>
        <v>17820</v>
      </c>
      <c r="N20" s="3">
        <f>Accuracy!$D$12*(1+Accuracy!$D$14)*(1-Accuracy!$D$16*('Resistor Network'!I20-25))</f>
        <v>18180</v>
      </c>
      <c r="O20" s="3">
        <f>Accuracy!$D$12*(1+Accuracy!$D$14)*(1+Accuracy!$D$16*('Resistor Network'!I20-25))</f>
        <v>18180</v>
      </c>
      <c r="P20" s="3">
        <f t="shared" si="1"/>
        <v>17820</v>
      </c>
      <c r="Q20" s="3">
        <f t="shared" si="2"/>
        <v>18180</v>
      </c>
      <c r="S20">
        <f>Accuracy!$D$19</f>
        <v>0</v>
      </c>
      <c r="T20" s="3">
        <f>Accuracy!$D$19*(1-Accuracy!$D$21)*(1-Accuracy!$D$23*('Resistor Network'!I20-25))</f>
        <v>0</v>
      </c>
      <c r="U20" s="3">
        <f>Accuracy!$D$19*(1-Accuracy!$D$21)*(1+Accuracy!$D$23*('Resistor Network'!I20-25))</f>
        <v>0</v>
      </c>
      <c r="V20" s="3">
        <f>Accuracy!$D$19*(1+Accuracy!$D$21)*(1-Accuracy!$D$23*('Resistor Network'!I20-25))</f>
        <v>0</v>
      </c>
      <c r="W20" s="3">
        <f>Accuracy!$D$19*(1-Accuracy!$D$21)*(1+Accuracy!$D$23*('Resistor Network'!I20-25))</f>
        <v>0</v>
      </c>
      <c r="X20" s="3">
        <f t="shared" si="3"/>
        <v>0</v>
      </c>
      <c r="Y20" s="3">
        <f t="shared" si="4"/>
        <v>0</v>
      </c>
      <c r="AB20" s="2">
        <f t="shared" si="5"/>
        <v>0.40970058701997181</v>
      </c>
      <c r="AC20" s="2">
        <f t="shared" si="6"/>
        <v>0.39386299746972447</v>
      </c>
      <c r="AD20" s="2">
        <f t="shared" si="7"/>
        <v>0.4251403057308617</v>
      </c>
      <c r="AE20" s="2"/>
      <c r="AF20" s="2"/>
      <c r="AH20" s="1"/>
      <c r="AI20" s="7"/>
      <c r="AJ20" s="1"/>
      <c r="AL20" s="3"/>
      <c r="AM20" s="3"/>
      <c r="AN20" s="3"/>
      <c r="AP20" s="2"/>
    </row>
    <row r="21" spans="3:42" x14ac:dyDescent="0.2">
      <c r="C21" s="5">
        <f>Accuracy!F20</f>
        <v>25</v>
      </c>
      <c r="D21" s="5">
        <f>Accuracy!G20</f>
        <v>10000</v>
      </c>
      <c r="E21" s="6">
        <f>Thermistor!T21</f>
        <v>9434.8468796715533</v>
      </c>
      <c r="F21" s="6">
        <f>Thermistor!U21</f>
        <v>10572.50862384663</v>
      </c>
      <c r="G21" s="34"/>
      <c r="H21" s="34">
        <v>16</v>
      </c>
      <c r="I21" s="34">
        <f t="shared" si="0"/>
        <v>-25.666666666666668</v>
      </c>
      <c r="K21">
        <f>Accuracy!$D$12</f>
        <v>18000</v>
      </c>
      <c r="L21" s="3">
        <f>Accuracy!$D$12*(1-Accuracy!$D$14)*(1-Accuracy!$D$16*('Resistor Network'!I21-25))</f>
        <v>17820</v>
      </c>
      <c r="M21" s="3">
        <f>Accuracy!$D$12*(1-Accuracy!$D$14)*(1+Accuracy!$D$16*('Resistor Network'!I21-25))</f>
        <v>17820</v>
      </c>
      <c r="N21" s="3">
        <f>Accuracy!$D$12*(1+Accuracy!$D$14)*(1-Accuracy!$D$16*('Resistor Network'!I21-25))</f>
        <v>18180</v>
      </c>
      <c r="O21" s="3">
        <f>Accuracy!$D$12*(1+Accuracy!$D$14)*(1+Accuracy!$D$16*('Resistor Network'!I21-25))</f>
        <v>18180</v>
      </c>
      <c r="P21" s="3">
        <f t="shared" si="1"/>
        <v>17820</v>
      </c>
      <c r="Q21" s="3">
        <f t="shared" si="2"/>
        <v>18180</v>
      </c>
      <c r="S21">
        <f>Accuracy!$D$19</f>
        <v>0</v>
      </c>
      <c r="T21" s="3">
        <f>Accuracy!$D$19*(1-Accuracy!$D$21)*(1-Accuracy!$D$23*('Resistor Network'!I21-25))</f>
        <v>0</v>
      </c>
      <c r="U21" s="3">
        <f>Accuracy!$D$19*(1-Accuracy!$D$21)*(1+Accuracy!$D$23*('Resistor Network'!I21-25))</f>
        <v>0</v>
      </c>
      <c r="V21" s="3">
        <f>Accuracy!$D$19*(1+Accuracy!$D$21)*(1-Accuracy!$D$23*('Resistor Network'!I21-25))</f>
        <v>0</v>
      </c>
      <c r="W21" s="3">
        <f>Accuracy!$D$19*(1-Accuracy!$D$21)*(1+Accuracy!$D$23*('Resistor Network'!I21-25))</f>
        <v>0</v>
      </c>
      <c r="X21" s="3">
        <f t="shared" si="3"/>
        <v>0</v>
      </c>
      <c r="Y21" s="3">
        <f t="shared" si="4"/>
        <v>0</v>
      </c>
      <c r="AB21" s="2">
        <f t="shared" si="5"/>
        <v>0.35714285714285715</v>
      </c>
      <c r="AC21" s="2">
        <f t="shared" si="6"/>
        <v>0.3416584897530951</v>
      </c>
      <c r="AD21" s="2">
        <f t="shared" si="7"/>
        <v>0.3723696544012623</v>
      </c>
      <c r="AE21" s="2"/>
      <c r="AF21" s="2"/>
      <c r="AH21" s="1"/>
      <c r="AI21" s="7"/>
      <c r="AJ21" s="1"/>
      <c r="AL21" s="3"/>
      <c r="AM21" s="3"/>
      <c r="AN21" s="3"/>
      <c r="AP21" s="2"/>
    </row>
    <row r="22" spans="3:42" x14ac:dyDescent="0.2">
      <c r="C22" s="5">
        <f>Accuracy!F21</f>
        <v>30</v>
      </c>
      <c r="D22" s="5">
        <f>Accuracy!G21</f>
        <v>8057</v>
      </c>
      <c r="E22" s="6">
        <f>Thermistor!T22</f>
        <v>7585.2509506732931</v>
      </c>
      <c r="F22" s="6">
        <f>Thermistor!U22</f>
        <v>8536.693287880249</v>
      </c>
      <c r="G22" s="34"/>
      <c r="H22" s="34">
        <v>17</v>
      </c>
      <c r="I22" s="34">
        <f t="shared" si="0"/>
        <v>-23.833333333333336</v>
      </c>
      <c r="K22">
        <f>Accuracy!$D$12</f>
        <v>18000</v>
      </c>
      <c r="L22" s="3">
        <f>Accuracy!$D$12*(1-Accuracy!$D$14)*(1-Accuracy!$D$16*('Resistor Network'!I22-25))</f>
        <v>17820</v>
      </c>
      <c r="M22" s="3">
        <f>Accuracy!$D$12*(1-Accuracy!$D$14)*(1+Accuracy!$D$16*('Resistor Network'!I22-25))</f>
        <v>17820</v>
      </c>
      <c r="N22" s="3">
        <f>Accuracy!$D$12*(1+Accuracy!$D$14)*(1-Accuracy!$D$16*('Resistor Network'!I22-25))</f>
        <v>18180</v>
      </c>
      <c r="O22" s="3">
        <f>Accuracy!$D$12*(1+Accuracy!$D$14)*(1+Accuracy!$D$16*('Resistor Network'!I22-25))</f>
        <v>18180</v>
      </c>
      <c r="P22" s="3">
        <f t="shared" si="1"/>
        <v>17820</v>
      </c>
      <c r="Q22" s="3">
        <f t="shared" si="2"/>
        <v>18180</v>
      </c>
      <c r="S22">
        <f>Accuracy!$D$19</f>
        <v>0</v>
      </c>
      <c r="T22" s="3">
        <f>Accuracy!$D$19*(1-Accuracy!$D$21)*(1-Accuracy!$D$23*('Resistor Network'!I22-25))</f>
        <v>0</v>
      </c>
      <c r="U22" s="3">
        <f>Accuracy!$D$19*(1-Accuracy!$D$21)*(1+Accuracy!$D$23*('Resistor Network'!I22-25))</f>
        <v>0</v>
      </c>
      <c r="V22" s="3">
        <f>Accuracy!$D$19*(1+Accuracy!$D$21)*(1-Accuracy!$D$23*('Resistor Network'!I22-25))</f>
        <v>0</v>
      </c>
      <c r="W22" s="3">
        <f>Accuracy!$D$19*(1-Accuracy!$D$21)*(1+Accuracy!$D$23*('Resistor Network'!I22-25))</f>
        <v>0</v>
      </c>
      <c r="X22" s="3">
        <f t="shared" si="3"/>
        <v>0</v>
      </c>
      <c r="Y22" s="3">
        <f t="shared" si="4"/>
        <v>0</v>
      </c>
      <c r="AB22" s="2">
        <f t="shared" si="5"/>
        <v>0.30920673907203439</v>
      </c>
      <c r="AC22" s="2">
        <f t="shared" si="6"/>
        <v>0.29439848908108834</v>
      </c>
      <c r="AD22" s="2">
        <f t="shared" si="7"/>
        <v>0.32389090674761262</v>
      </c>
      <c r="AE22" s="2"/>
      <c r="AF22" s="2"/>
      <c r="AH22" s="1"/>
      <c r="AI22" s="7"/>
      <c r="AJ22" s="1"/>
      <c r="AL22" s="3"/>
      <c r="AM22" s="3"/>
      <c r="AN22" s="3"/>
      <c r="AP22" s="2"/>
    </row>
    <row r="23" spans="3:42" x14ac:dyDescent="0.2">
      <c r="C23" s="5">
        <f>Accuracy!F22</f>
        <v>35</v>
      </c>
      <c r="D23" s="5">
        <f>Accuracy!G22</f>
        <v>6531</v>
      </c>
      <c r="E23" s="6">
        <f>Thermistor!T23</f>
        <v>6135.7031067597145</v>
      </c>
      <c r="F23" s="6">
        <f>Thermistor!U23</f>
        <v>6934.3847570827747</v>
      </c>
      <c r="G23" s="34"/>
      <c r="H23" s="34">
        <v>18</v>
      </c>
      <c r="I23" s="34">
        <f t="shared" si="0"/>
        <v>-22</v>
      </c>
      <c r="K23">
        <f>Accuracy!$D$12</f>
        <v>18000</v>
      </c>
      <c r="L23" s="3">
        <f>Accuracy!$D$12*(1-Accuracy!$D$14)*(1-Accuracy!$D$16*('Resistor Network'!I23-25))</f>
        <v>17820</v>
      </c>
      <c r="M23" s="3">
        <f>Accuracy!$D$12*(1-Accuracy!$D$14)*(1+Accuracy!$D$16*('Resistor Network'!I23-25))</f>
        <v>17820</v>
      </c>
      <c r="N23" s="3">
        <f>Accuracy!$D$12*(1+Accuracy!$D$14)*(1-Accuracy!$D$16*('Resistor Network'!I23-25))</f>
        <v>18180</v>
      </c>
      <c r="O23" s="3">
        <f>Accuracy!$D$12*(1+Accuracy!$D$14)*(1+Accuracy!$D$16*('Resistor Network'!I23-25))</f>
        <v>18180</v>
      </c>
      <c r="P23" s="3">
        <f t="shared" si="1"/>
        <v>17820</v>
      </c>
      <c r="Q23" s="3">
        <f t="shared" si="2"/>
        <v>18180</v>
      </c>
      <c r="S23">
        <f>Accuracy!$D$19</f>
        <v>0</v>
      </c>
      <c r="T23" s="3">
        <f>Accuracy!$D$19*(1-Accuracy!$D$21)*(1-Accuracy!$D$23*('Resistor Network'!I23-25))</f>
        <v>0</v>
      </c>
      <c r="U23" s="3">
        <f>Accuracy!$D$19*(1-Accuracy!$D$21)*(1+Accuracy!$D$23*('Resistor Network'!I23-25))</f>
        <v>0</v>
      </c>
      <c r="V23" s="3">
        <f>Accuracy!$D$19*(1+Accuracy!$D$21)*(1-Accuracy!$D$23*('Resistor Network'!I23-25))</f>
        <v>0</v>
      </c>
      <c r="W23" s="3">
        <f>Accuracy!$D$19*(1-Accuracy!$D$21)*(1+Accuracy!$D$23*('Resistor Network'!I23-25))</f>
        <v>0</v>
      </c>
      <c r="X23" s="3">
        <f t="shared" si="3"/>
        <v>0</v>
      </c>
      <c r="Y23" s="3">
        <f t="shared" si="4"/>
        <v>0</v>
      </c>
      <c r="AB23" s="2">
        <f t="shared" si="5"/>
        <v>0.26623456035220738</v>
      </c>
      <c r="AC23" s="2">
        <f t="shared" si="6"/>
        <v>0.25233500671646225</v>
      </c>
      <c r="AD23" s="2">
        <f t="shared" si="7"/>
        <v>0.28012753397551898</v>
      </c>
      <c r="AE23" s="2"/>
      <c r="AF23" s="2"/>
      <c r="AH23" s="1"/>
      <c r="AI23" s="7"/>
      <c r="AJ23" s="1"/>
      <c r="AL23" s="3"/>
      <c r="AM23" s="3"/>
      <c r="AN23" s="3"/>
      <c r="AP23" s="2"/>
    </row>
    <row r="24" spans="3:42" x14ac:dyDescent="0.2">
      <c r="C24" s="5">
        <f>Accuracy!F23</f>
        <v>40</v>
      </c>
      <c r="D24" s="5">
        <f>Accuracy!G23</f>
        <v>5326</v>
      </c>
      <c r="E24" s="6">
        <f>Thermistor!T24</f>
        <v>4993.4422323293757</v>
      </c>
      <c r="F24" s="6">
        <f>Thermistor!U24</f>
        <v>5666.5039853280896</v>
      </c>
      <c r="G24" s="34"/>
      <c r="H24" s="34">
        <v>19</v>
      </c>
      <c r="I24" s="34">
        <f t="shared" si="0"/>
        <v>-20.166666666666671</v>
      </c>
      <c r="K24">
        <f>Accuracy!$D$12</f>
        <v>18000</v>
      </c>
      <c r="L24" s="3">
        <f>Accuracy!$D$12*(1-Accuracy!$D$14)*(1-Accuracy!$D$16*('Resistor Network'!I24-25))</f>
        <v>17820</v>
      </c>
      <c r="M24" s="3">
        <f>Accuracy!$D$12*(1-Accuracy!$D$14)*(1+Accuracy!$D$16*('Resistor Network'!I24-25))</f>
        <v>17820</v>
      </c>
      <c r="N24" s="3">
        <f>Accuracy!$D$12*(1+Accuracy!$D$14)*(1-Accuracy!$D$16*('Resistor Network'!I24-25))</f>
        <v>18180</v>
      </c>
      <c r="O24" s="3">
        <f>Accuracy!$D$12*(1+Accuracy!$D$14)*(1+Accuracy!$D$16*('Resistor Network'!I24-25))</f>
        <v>18180</v>
      </c>
      <c r="P24" s="3">
        <f t="shared" si="1"/>
        <v>17820</v>
      </c>
      <c r="Q24" s="3">
        <f t="shared" si="2"/>
        <v>18180</v>
      </c>
      <c r="S24">
        <f>Accuracy!$D$19</f>
        <v>0</v>
      </c>
      <c r="T24" s="3">
        <f>Accuracy!$D$19*(1-Accuracy!$D$21)*(1-Accuracy!$D$23*('Resistor Network'!I24-25))</f>
        <v>0</v>
      </c>
      <c r="U24" s="3">
        <f>Accuracy!$D$19*(1-Accuracy!$D$21)*(1+Accuracy!$D$23*('Resistor Network'!I24-25))</f>
        <v>0</v>
      </c>
      <c r="V24" s="3">
        <f>Accuracy!$D$19*(1+Accuracy!$D$21)*(1-Accuracy!$D$23*('Resistor Network'!I24-25))</f>
        <v>0</v>
      </c>
      <c r="W24" s="3">
        <f>Accuracy!$D$19*(1-Accuracy!$D$21)*(1+Accuracy!$D$23*('Resistor Network'!I24-25))</f>
        <v>0</v>
      </c>
      <c r="X24" s="3">
        <f t="shared" si="3"/>
        <v>0</v>
      </c>
      <c r="Y24" s="3">
        <f t="shared" si="4"/>
        <v>0</v>
      </c>
      <c r="AB24" s="2">
        <f t="shared" si="5"/>
        <v>0.22832890336963046</v>
      </c>
      <c r="AC24" s="2">
        <f t="shared" si="6"/>
        <v>0.21548124712188857</v>
      </c>
      <c r="AD24" s="2">
        <f t="shared" si="7"/>
        <v>0.24126638808687442</v>
      </c>
      <c r="AE24" s="2"/>
      <c r="AF24" s="2"/>
      <c r="AH24" s="1"/>
      <c r="AI24" s="7"/>
      <c r="AJ24" s="1"/>
      <c r="AL24" s="3"/>
      <c r="AM24" s="3"/>
      <c r="AN24" s="3"/>
      <c r="AP24" s="2"/>
    </row>
    <row r="25" spans="3:42" x14ac:dyDescent="0.2">
      <c r="C25" s="5">
        <f>Accuracy!F24</f>
        <v>45</v>
      </c>
      <c r="D25" s="5">
        <f>Accuracy!G24</f>
        <v>4368</v>
      </c>
      <c r="E25" s="6">
        <f>Thermistor!T25</f>
        <v>4087.1475108298455</v>
      </c>
      <c r="F25" s="6">
        <f>Thermistor!U25</f>
        <v>4656.481174112515</v>
      </c>
      <c r="G25" s="34"/>
      <c r="H25" s="34">
        <v>20</v>
      </c>
      <c r="I25" s="34">
        <f t="shared" si="0"/>
        <v>-18.333333333333336</v>
      </c>
      <c r="K25">
        <f>Accuracy!$D$12</f>
        <v>18000</v>
      </c>
      <c r="L25" s="3">
        <f>Accuracy!$D$12*(1-Accuracy!$D$14)*(1-Accuracy!$D$16*('Resistor Network'!I25-25))</f>
        <v>17820</v>
      </c>
      <c r="M25" s="3">
        <f>Accuracy!$D$12*(1-Accuracy!$D$14)*(1+Accuracy!$D$16*('Resistor Network'!I25-25))</f>
        <v>17820</v>
      </c>
      <c r="N25" s="3">
        <f>Accuracy!$D$12*(1+Accuracy!$D$14)*(1-Accuracy!$D$16*('Resistor Network'!I25-25))</f>
        <v>18180</v>
      </c>
      <c r="O25" s="3">
        <f>Accuracy!$D$12*(1+Accuracy!$D$14)*(1+Accuracy!$D$16*('Resistor Network'!I25-25))</f>
        <v>18180</v>
      </c>
      <c r="P25" s="3">
        <f t="shared" si="1"/>
        <v>17820</v>
      </c>
      <c r="Q25" s="3">
        <f t="shared" si="2"/>
        <v>18180</v>
      </c>
      <c r="S25">
        <f>Accuracy!$D$19</f>
        <v>0</v>
      </c>
      <c r="T25" s="3">
        <f>Accuracy!$D$19*(1-Accuracy!$D$21)*(1-Accuracy!$D$23*('Resistor Network'!I25-25))</f>
        <v>0</v>
      </c>
      <c r="U25" s="3">
        <f>Accuracy!$D$19*(1-Accuracy!$D$21)*(1+Accuracy!$D$23*('Resistor Network'!I25-25))</f>
        <v>0</v>
      </c>
      <c r="V25" s="3">
        <f>Accuracy!$D$19*(1+Accuracy!$D$21)*(1-Accuracy!$D$23*('Resistor Network'!I25-25))</f>
        <v>0</v>
      </c>
      <c r="W25" s="3">
        <f>Accuracy!$D$19*(1-Accuracy!$D$21)*(1+Accuracy!$D$23*('Resistor Network'!I25-25))</f>
        <v>0</v>
      </c>
      <c r="X25" s="3">
        <f t="shared" si="3"/>
        <v>0</v>
      </c>
      <c r="Y25" s="3">
        <f t="shared" si="4"/>
        <v>0</v>
      </c>
      <c r="AB25" s="2">
        <f t="shared" si="5"/>
        <v>0.19527896995708155</v>
      </c>
      <c r="AC25" s="2">
        <f t="shared" si="6"/>
        <v>0.18355056519215229</v>
      </c>
      <c r="AD25" s="2">
        <f t="shared" si="7"/>
        <v>0.2071712710740353</v>
      </c>
      <c r="AE25" s="2"/>
      <c r="AF25" s="2"/>
      <c r="AH25" s="1"/>
      <c r="AI25" s="7"/>
      <c r="AJ25" s="1"/>
      <c r="AL25" s="3"/>
      <c r="AM25" s="3"/>
      <c r="AN25" s="3"/>
      <c r="AP25" s="2"/>
    </row>
    <row r="26" spans="3:42" x14ac:dyDescent="0.2">
      <c r="C26" s="5">
        <f>Accuracy!F25</f>
        <v>50</v>
      </c>
      <c r="D26" s="5">
        <f>Accuracy!G25</f>
        <v>3602</v>
      </c>
      <c r="E26" s="6">
        <f>Thermistor!T26</f>
        <v>3363.907164656137</v>
      </c>
      <c r="F26" s="6">
        <f>Thermistor!U26</f>
        <v>3847.3023649340043</v>
      </c>
      <c r="G26" s="34"/>
      <c r="H26" s="34">
        <v>21</v>
      </c>
      <c r="I26" s="34">
        <f t="shared" si="0"/>
        <v>-16.5</v>
      </c>
      <c r="K26">
        <f>Accuracy!$D$12</f>
        <v>18000</v>
      </c>
      <c r="L26" s="3">
        <f>Accuracy!$D$12*(1-Accuracy!$D$14)*(1-Accuracy!$D$16*('Resistor Network'!I26-25))</f>
        <v>17820</v>
      </c>
      <c r="M26" s="3">
        <f>Accuracy!$D$12*(1-Accuracy!$D$14)*(1+Accuracy!$D$16*('Resistor Network'!I26-25))</f>
        <v>17820</v>
      </c>
      <c r="N26" s="3">
        <f>Accuracy!$D$12*(1+Accuracy!$D$14)*(1-Accuracy!$D$16*('Resistor Network'!I26-25))</f>
        <v>18180</v>
      </c>
      <c r="O26" s="3">
        <f>Accuracy!$D$12*(1+Accuracy!$D$14)*(1+Accuracy!$D$16*('Resistor Network'!I26-25))</f>
        <v>18180</v>
      </c>
      <c r="P26" s="3">
        <f t="shared" si="1"/>
        <v>17820</v>
      </c>
      <c r="Q26" s="3">
        <f t="shared" si="2"/>
        <v>18180</v>
      </c>
      <c r="S26">
        <f>Accuracy!$D$19</f>
        <v>0</v>
      </c>
      <c r="T26" s="3">
        <f>Accuracy!$D$19*(1-Accuracy!$D$21)*(1-Accuracy!$D$23*('Resistor Network'!I26-25))</f>
        <v>0</v>
      </c>
      <c r="U26" s="3">
        <f>Accuracy!$D$19*(1-Accuracy!$D$21)*(1+Accuracy!$D$23*('Resistor Network'!I26-25))</f>
        <v>0</v>
      </c>
      <c r="V26" s="3">
        <f>Accuracy!$D$19*(1+Accuracy!$D$21)*(1-Accuracy!$D$23*('Resistor Network'!I26-25))</f>
        <v>0</v>
      </c>
      <c r="W26" s="3">
        <f>Accuracy!$D$19*(1-Accuracy!$D$21)*(1+Accuracy!$D$23*('Resistor Network'!I26-25))</f>
        <v>0</v>
      </c>
      <c r="X26" s="3">
        <f t="shared" si="3"/>
        <v>0</v>
      </c>
      <c r="Y26" s="3">
        <f t="shared" si="4"/>
        <v>0</v>
      </c>
      <c r="AB26" s="2">
        <f t="shared" si="5"/>
        <v>0.16674382001666513</v>
      </c>
      <c r="AC26" s="2">
        <f t="shared" si="6"/>
        <v>0.15614192629713872</v>
      </c>
      <c r="AD26" s="2">
        <f t="shared" si="7"/>
        <v>0.17756259178624903</v>
      </c>
      <c r="AE26" s="2"/>
      <c r="AF26" s="2"/>
      <c r="AH26" s="1"/>
      <c r="AI26" s="7"/>
      <c r="AJ26" s="1"/>
      <c r="AL26" s="3"/>
      <c r="AM26" s="3"/>
      <c r="AN26" s="3"/>
      <c r="AP26" s="2"/>
    </row>
    <row r="27" spans="3:42" x14ac:dyDescent="0.2">
      <c r="C27" s="5">
        <f>Accuracy!F26</f>
        <v>55</v>
      </c>
      <c r="D27" s="5">
        <f>Accuracy!G26</f>
        <v>2985.9999999999995</v>
      </c>
      <c r="E27" s="6">
        <f>Thermistor!T27</f>
        <v>2783.3995822110242</v>
      </c>
      <c r="F27" s="6">
        <f>Thermistor!U27</f>
        <v>3195.3390978578163</v>
      </c>
      <c r="G27" s="34"/>
      <c r="H27" s="34">
        <v>22</v>
      </c>
      <c r="I27" s="34">
        <f t="shared" si="0"/>
        <v>-14.666666666666671</v>
      </c>
      <c r="K27">
        <f>Accuracy!$D$12</f>
        <v>18000</v>
      </c>
      <c r="L27" s="3">
        <f>Accuracy!$D$12*(1-Accuracy!$D$14)*(1-Accuracy!$D$16*('Resistor Network'!I27-25))</f>
        <v>17820</v>
      </c>
      <c r="M27" s="3">
        <f>Accuracy!$D$12*(1-Accuracy!$D$14)*(1+Accuracy!$D$16*('Resistor Network'!I27-25))</f>
        <v>17820</v>
      </c>
      <c r="N27" s="3">
        <f>Accuracy!$D$12*(1+Accuracy!$D$14)*(1-Accuracy!$D$16*('Resistor Network'!I27-25))</f>
        <v>18180</v>
      </c>
      <c r="O27" s="3">
        <f>Accuracy!$D$12*(1+Accuracy!$D$14)*(1+Accuracy!$D$16*('Resistor Network'!I27-25))</f>
        <v>18180</v>
      </c>
      <c r="P27" s="3">
        <f t="shared" si="1"/>
        <v>17820</v>
      </c>
      <c r="Q27" s="3">
        <f t="shared" si="2"/>
        <v>18180</v>
      </c>
      <c r="S27">
        <f>Accuracy!$D$19</f>
        <v>0</v>
      </c>
      <c r="T27" s="3">
        <f>Accuracy!$D$19*(1-Accuracy!$D$21)*(1-Accuracy!$D$23*('Resistor Network'!I27-25))</f>
        <v>0</v>
      </c>
      <c r="U27" s="3">
        <f>Accuracy!$D$19*(1-Accuracy!$D$21)*(1+Accuracy!$D$23*('Resistor Network'!I27-25))</f>
        <v>0</v>
      </c>
      <c r="V27" s="3">
        <f>Accuracy!$D$19*(1+Accuracy!$D$21)*(1-Accuracy!$D$23*('Resistor Network'!I27-25))</f>
        <v>0</v>
      </c>
      <c r="W27" s="3">
        <f>Accuracy!$D$19*(1-Accuracy!$D$21)*(1+Accuracy!$D$23*('Resistor Network'!I27-25))</f>
        <v>0</v>
      </c>
      <c r="X27" s="3">
        <f t="shared" si="3"/>
        <v>0</v>
      </c>
      <c r="Y27" s="3">
        <f t="shared" si="4"/>
        <v>0</v>
      </c>
      <c r="AB27" s="2">
        <f t="shared" si="5"/>
        <v>0.14228533307919564</v>
      </c>
      <c r="AC27" s="2">
        <f t="shared" si="6"/>
        <v>0.13277424643343355</v>
      </c>
      <c r="AD27" s="2">
        <f t="shared" si="7"/>
        <v>0.15204794378899794</v>
      </c>
      <c r="AE27" s="2"/>
      <c r="AF27" s="2"/>
      <c r="AH27" s="1"/>
      <c r="AI27" s="7"/>
      <c r="AJ27" s="1"/>
      <c r="AL27" s="3"/>
      <c r="AM27" s="3"/>
      <c r="AN27" s="3"/>
      <c r="AP27" s="2"/>
    </row>
    <row r="28" spans="3:42" x14ac:dyDescent="0.2">
      <c r="C28" s="5">
        <f>Accuracy!F27</f>
        <v>60</v>
      </c>
      <c r="D28" s="5">
        <f>Accuracy!G27</f>
        <v>2488</v>
      </c>
      <c r="E28" s="6">
        <f>Thermistor!T28</f>
        <v>2314.9613048268775</v>
      </c>
      <c r="F28" s="6">
        <f>Thermistor!U28</f>
        <v>2667.2880566622543</v>
      </c>
      <c r="G28" s="34"/>
      <c r="H28" s="34">
        <v>23</v>
      </c>
      <c r="I28" s="34">
        <f t="shared" si="0"/>
        <v>-12.833333333333336</v>
      </c>
      <c r="K28">
        <f>Accuracy!$D$12</f>
        <v>18000</v>
      </c>
      <c r="L28" s="3">
        <f>Accuracy!$D$12*(1-Accuracy!$D$14)*(1-Accuracy!$D$16*('Resistor Network'!I28-25))</f>
        <v>17820</v>
      </c>
      <c r="M28" s="3">
        <f>Accuracy!$D$12*(1-Accuracy!$D$14)*(1+Accuracy!$D$16*('Resistor Network'!I28-25))</f>
        <v>17820</v>
      </c>
      <c r="N28" s="3">
        <f>Accuracy!$D$12*(1+Accuracy!$D$14)*(1-Accuracy!$D$16*('Resistor Network'!I28-25))</f>
        <v>18180</v>
      </c>
      <c r="O28" s="3">
        <f>Accuracy!$D$12*(1+Accuracy!$D$14)*(1+Accuracy!$D$16*('Resistor Network'!I28-25))</f>
        <v>18180</v>
      </c>
      <c r="P28" s="3">
        <f t="shared" si="1"/>
        <v>17820</v>
      </c>
      <c r="Q28" s="3">
        <f t="shared" si="2"/>
        <v>18180</v>
      </c>
      <c r="S28">
        <f>Accuracy!$D$19</f>
        <v>0</v>
      </c>
      <c r="T28" s="3">
        <f>Accuracy!$D$19*(1-Accuracy!$D$21)*(1-Accuracy!$D$23*('Resistor Network'!I28-25))</f>
        <v>0</v>
      </c>
      <c r="U28" s="3">
        <f>Accuracy!$D$19*(1-Accuracy!$D$21)*(1+Accuracy!$D$23*('Resistor Network'!I28-25))</f>
        <v>0</v>
      </c>
      <c r="V28" s="3">
        <f>Accuracy!$D$19*(1+Accuracy!$D$21)*(1-Accuracy!$D$23*('Resistor Network'!I28-25))</f>
        <v>0</v>
      </c>
      <c r="W28" s="3">
        <f>Accuracy!$D$19*(1-Accuracy!$D$21)*(1+Accuracy!$D$23*('Resistor Network'!I28-25))</f>
        <v>0</v>
      </c>
      <c r="X28" s="3">
        <f t="shared" si="3"/>
        <v>0</v>
      </c>
      <c r="Y28" s="3">
        <f t="shared" si="4"/>
        <v>0</v>
      </c>
      <c r="AB28" s="2">
        <f t="shared" si="5"/>
        <v>0.12143693869582195</v>
      </c>
      <c r="AC28" s="2">
        <f t="shared" si="6"/>
        <v>0.11295270434502692</v>
      </c>
      <c r="AD28" s="2">
        <f t="shared" si="7"/>
        <v>0.13019234411530031</v>
      </c>
      <c r="AE28" s="2"/>
      <c r="AF28" s="2"/>
      <c r="AH28" s="1"/>
      <c r="AI28" s="7"/>
      <c r="AJ28" s="1"/>
      <c r="AL28" s="3"/>
      <c r="AM28" s="3"/>
      <c r="AN28" s="3"/>
      <c r="AP28" s="2"/>
    </row>
    <row r="29" spans="3:42" x14ac:dyDescent="0.2">
      <c r="C29" s="5">
        <f>Accuracy!F28</f>
        <v>65</v>
      </c>
      <c r="D29" s="5">
        <f>Accuracy!G28</f>
        <v>2083</v>
      </c>
      <c r="E29" s="6">
        <f>Thermistor!T29</f>
        <v>1934.6883608692206</v>
      </c>
      <c r="F29" s="6">
        <f>Thermistor!U29</f>
        <v>2237.0743862621298</v>
      </c>
      <c r="G29" s="34"/>
      <c r="H29" s="34">
        <v>24</v>
      </c>
      <c r="I29" s="34">
        <f t="shared" si="0"/>
        <v>-11</v>
      </c>
      <c r="K29">
        <f>Accuracy!$D$12</f>
        <v>18000</v>
      </c>
      <c r="L29" s="3">
        <f>Accuracy!$D$12*(1-Accuracy!$D$14)*(1-Accuracy!$D$16*('Resistor Network'!I29-25))</f>
        <v>17820</v>
      </c>
      <c r="M29" s="3">
        <f>Accuracy!$D$12*(1-Accuracy!$D$14)*(1+Accuracy!$D$16*('Resistor Network'!I29-25))</f>
        <v>17820</v>
      </c>
      <c r="N29" s="3">
        <f>Accuracy!$D$12*(1+Accuracy!$D$14)*(1-Accuracy!$D$16*('Resistor Network'!I29-25))</f>
        <v>18180</v>
      </c>
      <c r="O29" s="3">
        <f>Accuracy!$D$12*(1+Accuracy!$D$14)*(1+Accuracy!$D$16*('Resistor Network'!I29-25))</f>
        <v>18180</v>
      </c>
      <c r="P29" s="3">
        <f t="shared" si="1"/>
        <v>17820</v>
      </c>
      <c r="Q29" s="3">
        <f t="shared" si="2"/>
        <v>18180</v>
      </c>
      <c r="S29">
        <f>Accuracy!$D$19</f>
        <v>0</v>
      </c>
      <c r="T29" s="3">
        <f>Accuracy!$D$19*(1-Accuracy!$D$21)*(1-Accuracy!$D$23*('Resistor Network'!I29-25))</f>
        <v>0</v>
      </c>
      <c r="U29" s="3">
        <f>Accuracy!$D$19*(1-Accuracy!$D$21)*(1+Accuracy!$D$23*('Resistor Network'!I29-25))</f>
        <v>0</v>
      </c>
      <c r="V29" s="3">
        <f>Accuracy!$D$19*(1+Accuracy!$D$21)*(1-Accuracy!$D$23*('Resistor Network'!I29-25))</f>
        <v>0</v>
      </c>
      <c r="W29" s="3">
        <f>Accuracy!$D$19*(1-Accuracy!$D$21)*(1+Accuracy!$D$23*('Resistor Network'!I29-25))</f>
        <v>0</v>
      </c>
      <c r="X29" s="3">
        <f t="shared" si="3"/>
        <v>0</v>
      </c>
      <c r="Y29" s="3">
        <f t="shared" si="4"/>
        <v>0</v>
      </c>
      <c r="AB29" s="2">
        <f t="shared" si="5"/>
        <v>0.10371956381018772</v>
      </c>
      <c r="AC29" s="2">
        <f t="shared" si="6"/>
        <v>9.6182865285297223E-2</v>
      </c>
      <c r="AD29" s="2">
        <f t="shared" si="7"/>
        <v>0.11153542850668136</v>
      </c>
      <c r="AE29" s="2"/>
      <c r="AF29" s="2"/>
      <c r="AH29" s="1"/>
      <c r="AI29" s="7"/>
      <c r="AJ29" s="1"/>
      <c r="AL29" s="3"/>
      <c r="AM29" s="3"/>
      <c r="AN29" s="3"/>
      <c r="AP29" s="2"/>
    </row>
    <row r="30" spans="3:42" x14ac:dyDescent="0.2">
      <c r="C30" s="5">
        <f>Accuracy!F29</f>
        <v>70</v>
      </c>
      <c r="D30" s="5">
        <f>Accuracy!G29</f>
        <v>1752</v>
      </c>
      <c r="E30" s="6">
        <f>Thermistor!T30</f>
        <v>1624.4423346971894</v>
      </c>
      <c r="F30" s="6">
        <f>Thermistor!U30</f>
        <v>1884.8500649121233</v>
      </c>
      <c r="G30" s="34"/>
      <c r="H30" s="34">
        <v>25</v>
      </c>
      <c r="I30" s="34">
        <f t="shared" si="0"/>
        <v>-9.1666666666666714</v>
      </c>
      <c r="K30">
        <f>Accuracy!$D$12</f>
        <v>18000</v>
      </c>
      <c r="L30" s="3">
        <f>Accuracy!$D$12*(1-Accuracy!$D$14)*(1-Accuracy!$D$16*('Resistor Network'!I30-25))</f>
        <v>17820</v>
      </c>
      <c r="M30" s="3">
        <f>Accuracy!$D$12*(1-Accuracy!$D$14)*(1+Accuracy!$D$16*('Resistor Network'!I30-25))</f>
        <v>17820</v>
      </c>
      <c r="N30" s="3">
        <f>Accuracy!$D$12*(1+Accuracy!$D$14)*(1-Accuracy!$D$16*('Resistor Network'!I30-25))</f>
        <v>18180</v>
      </c>
      <c r="O30" s="3">
        <f>Accuracy!$D$12*(1+Accuracy!$D$14)*(1+Accuracy!$D$16*('Resistor Network'!I30-25))</f>
        <v>18180</v>
      </c>
      <c r="P30" s="3">
        <f t="shared" si="1"/>
        <v>17820</v>
      </c>
      <c r="Q30" s="3">
        <f t="shared" si="2"/>
        <v>18180</v>
      </c>
      <c r="S30">
        <f>Accuracy!$D$19</f>
        <v>0</v>
      </c>
      <c r="T30" s="3">
        <f>Accuracy!$D$19*(1-Accuracy!$D$21)*(1-Accuracy!$D$23*('Resistor Network'!I30-25))</f>
        <v>0</v>
      </c>
      <c r="U30" s="3">
        <f>Accuracy!$D$19*(1-Accuracy!$D$21)*(1+Accuracy!$D$23*('Resistor Network'!I30-25))</f>
        <v>0</v>
      </c>
      <c r="V30" s="3">
        <f>Accuracy!$D$19*(1+Accuracy!$D$21)*(1-Accuracy!$D$23*('Resistor Network'!I30-25))</f>
        <v>0</v>
      </c>
      <c r="W30" s="3">
        <f>Accuracy!$D$19*(1-Accuracy!$D$21)*(1+Accuracy!$D$23*('Resistor Network'!I30-25))</f>
        <v>0</v>
      </c>
      <c r="X30" s="3">
        <f t="shared" si="3"/>
        <v>0</v>
      </c>
      <c r="Y30" s="3">
        <f t="shared" si="4"/>
        <v>0</v>
      </c>
      <c r="AB30" s="2">
        <f t="shared" si="5"/>
        <v>8.8699878493317133E-2</v>
      </c>
      <c r="AC30" s="2">
        <f t="shared" si="6"/>
        <v>8.2024139192810402E-2</v>
      </c>
      <c r="AD30" s="2">
        <f t="shared" si="7"/>
        <v>9.5654118590246126E-2</v>
      </c>
      <c r="AE30" s="2"/>
      <c r="AF30" s="2"/>
      <c r="AH30" s="1"/>
      <c r="AI30" s="7"/>
      <c r="AJ30" s="1"/>
      <c r="AL30" s="3"/>
      <c r="AM30" s="3"/>
      <c r="AN30" s="3"/>
      <c r="AP30" s="2"/>
    </row>
    <row r="31" spans="3:42" x14ac:dyDescent="0.2">
      <c r="C31" s="5">
        <f>Accuracy!F30</f>
        <v>75</v>
      </c>
      <c r="D31" s="5">
        <f>Accuracy!G30</f>
        <v>1480</v>
      </c>
      <c r="E31" s="6">
        <f>Thermistor!T31</f>
        <v>1369.932562874096</v>
      </c>
      <c r="F31" s="6">
        <f>Thermistor!U31</f>
        <v>1594.9135448069546</v>
      </c>
      <c r="G31" s="34"/>
      <c r="H31" s="34">
        <v>26</v>
      </c>
      <c r="I31" s="34">
        <f t="shared" si="0"/>
        <v>-7.3333333333333357</v>
      </c>
      <c r="K31">
        <f>Accuracy!$D$12</f>
        <v>18000</v>
      </c>
      <c r="L31" s="3">
        <f>Accuracy!$D$12*(1-Accuracy!$D$14)*(1-Accuracy!$D$16*('Resistor Network'!I31-25))</f>
        <v>17820</v>
      </c>
      <c r="M31" s="3">
        <f>Accuracy!$D$12*(1-Accuracy!$D$14)*(1+Accuracy!$D$16*('Resistor Network'!I31-25))</f>
        <v>17820</v>
      </c>
      <c r="N31" s="3">
        <f>Accuracy!$D$12*(1+Accuracy!$D$14)*(1-Accuracy!$D$16*('Resistor Network'!I31-25))</f>
        <v>18180</v>
      </c>
      <c r="O31" s="3">
        <f>Accuracy!$D$12*(1+Accuracy!$D$14)*(1+Accuracy!$D$16*('Resistor Network'!I31-25))</f>
        <v>18180</v>
      </c>
      <c r="P31" s="3">
        <f t="shared" si="1"/>
        <v>17820</v>
      </c>
      <c r="Q31" s="3">
        <f t="shared" si="2"/>
        <v>18180</v>
      </c>
      <c r="S31">
        <f>Accuracy!$D$19</f>
        <v>0</v>
      </c>
      <c r="T31" s="3">
        <f>Accuracy!$D$19*(1-Accuracy!$D$21)*(1-Accuracy!$D$23*('Resistor Network'!I31-25))</f>
        <v>0</v>
      </c>
      <c r="U31" s="3">
        <f>Accuracy!$D$19*(1-Accuracy!$D$21)*(1+Accuracy!$D$23*('Resistor Network'!I31-25))</f>
        <v>0</v>
      </c>
      <c r="V31" s="3">
        <f>Accuracy!$D$19*(1+Accuracy!$D$21)*(1-Accuracy!$D$23*('Resistor Network'!I31-25))</f>
        <v>0</v>
      </c>
      <c r="W31" s="3">
        <f>Accuracy!$D$19*(1-Accuracy!$D$21)*(1+Accuracy!$D$23*('Resistor Network'!I31-25))</f>
        <v>0</v>
      </c>
      <c r="X31" s="3">
        <f t="shared" si="3"/>
        <v>0</v>
      </c>
      <c r="Y31" s="3">
        <f t="shared" si="4"/>
        <v>0</v>
      </c>
      <c r="AB31" s="2">
        <f t="shared" si="5"/>
        <v>7.5975359342915813E-2</v>
      </c>
      <c r="AC31" s="2">
        <f t="shared" si="6"/>
        <v>7.0073518589810313E-2</v>
      </c>
      <c r="AD31" s="2">
        <f t="shared" si="7"/>
        <v>8.2148887303881798E-2</v>
      </c>
      <c r="AE31" s="2"/>
      <c r="AF31" s="2"/>
      <c r="AH31" s="1"/>
      <c r="AI31" s="7"/>
      <c r="AJ31" s="1"/>
      <c r="AL31" s="3"/>
      <c r="AM31" s="3"/>
      <c r="AN31" s="3"/>
      <c r="AP31" s="2"/>
    </row>
    <row r="32" spans="3:42" x14ac:dyDescent="0.2">
      <c r="C32" s="5">
        <f>Accuracy!F31</f>
        <v>80</v>
      </c>
      <c r="D32" s="5">
        <f>Accuracy!G31</f>
        <v>1255</v>
      </c>
      <c r="E32" s="6">
        <f>Thermistor!T32</f>
        <v>1159.7517042017773</v>
      </c>
      <c r="F32" s="6">
        <f>Thermistor!U32</f>
        <v>1354.6756877424318</v>
      </c>
      <c r="G32" s="34"/>
      <c r="H32" s="34">
        <v>27</v>
      </c>
      <c r="I32" s="34">
        <f t="shared" si="0"/>
        <v>-5.5</v>
      </c>
      <c r="K32">
        <f>Accuracy!$D$12</f>
        <v>18000</v>
      </c>
      <c r="L32" s="3">
        <f>Accuracy!$D$12*(1-Accuracy!$D$14)*(1-Accuracy!$D$16*('Resistor Network'!I32-25))</f>
        <v>17820</v>
      </c>
      <c r="M32" s="3">
        <f>Accuracy!$D$12*(1-Accuracy!$D$14)*(1+Accuracy!$D$16*('Resistor Network'!I32-25))</f>
        <v>17820</v>
      </c>
      <c r="N32" s="3">
        <f>Accuracy!$D$12*(1+Accuracy!$D$14)*(1-Accuracy!$D$16*('Resistor Network'!I32-25))</f>
        <v>18180</v>
      </c>
      <c r="O32" s="3">
        <f>Accuracy!$D$12*(1+Accuracy!$D$14)*(1+Accuracy!$D$16*('Resistor Network'!I32-25))</f>
        <v>18180</v>
      </c>
      <c r="P32" s="3">
        <f t="shared" si="1"/>
        <v>17820</v>
      </c>
      <c r="Q32" s="3">
        <f t="shared" si="2"/>
        <v>18180</v>
      </c>
      <c r="S32">
        <f>Accuracy!$D$19</f>
        <v>0</v>
      </c>
      <c r="T32" s="3">
        <f>Accuracy!$D$19*(1-Accuracy!$D$21)*(1-Accuracy!$D$23*('Resistor Network'!I32-25))</f>
        <v>0</v>
      </c>
      <c r="U32" s="3">
        <f>Accuracy!$D$19*(1-Accuracy!$D$21)*(1+Accuracy!$D$23*('Resistor Network'!I32-25))</f>
        <v>0</v>
      </c>
      <c r="V32" s="3">
        <f>Accuracy!$D$19*(1+Accuracy!$D$21)*(1-Accuracy!$D$23*('Resistor Network'!I32-25))</f>
        <v>0</v>
      </c>
      <c r="W32" s="3">
        <f>Accuracy!$D$19*(1-Accuracy!$D$21)*(1+Accuracy!$D$23*('Resistor Network'!I32-25))</f>
        <v>0</v>
      </c>
      <c r="X32" s="3">
        <f t="shared" si="3"/>
        <v>0</v>
      </c>
      <c r="Y32" s="3">
        <f t="shared" si="4"/>
        <v>0</v>
      </c>
      <c r="AB32" s="2">
        <f t="shared" si="5"/>
        <v>6.5177875876395744E-2</v>
      </c>
      <c r="AC32" s="2">
        <f t="shared" si="6"/>
        <v>5.9967248904742053E-2</v>
      </c>
      <c r="AD32" s="2">
        <f t="shared" si="7"/>
        <v>7.0649209916411757E-2</v>
      </c>
      <c r="AE32" s="2"/>
      <c r="AF32" s="2"/>
      <c r="AH32" s="1"/>
      <c r="AI32" s="7"/>
      <c r="AJ32" s="1"/>
      <c r="AL32" s="3"/>
      <c r="AM32" s="3"/>
      <c r="AN32" s="3"/>
      <c r="AP32" s="2"/>
    </row>
    <row r="33" spans="3:45" x14ac:dyDescent="0.2">
      <c r="C33" s="5">
        <f>Accuracy!F32</f>
        <v>85</v>
      </c>
      <c r="D33" s="5">
        <f>Accuracy!G32</f>
        <v>1070</v>
      </c>
      <c r="E33" s="6">
        <f>Thermistor!T33</f>
        <v>987.21665083291043</v>
      </c>
      <c r="F33" s="6">
        <f>Thermistor!U33</f>
        <v>1156.8258588795763</v>
      </c>
      <c r="G33" s="34"/>
      <c r="H33" s="34">
        <v>28</v>
      </c>
      <c r="I33" s="34">
        <f t="shared" si="0"/>
        <v>-3.6666666666666714</v>
      </c>
      <c r="K33">
        <f>Accuracy!$D$12</f>
        <v>18000</v>
      </c>
      <c r="L33" s="3">
        <f>Accuracy!$D$12*(1-Accuracy!$D$14)*(1-Accuracy!$D$16*('Resistor Network'!I33-25))</f>
        <v>17820</v>
      </c>
      <c r="M33" s="3">
        <f>Accuracy!$D$12*(1-Accuracy!$D$14)*(1+Accuracy!$D$16*('Resistor Network'!I33-25))</f>
        <v>17820</v>
      </c>
      <c r="N33" s="3">
        <f>Accuracy!$D$12*(1+Accuracy!$D$14)*(1-Accuracy!$D$16*('Resistor Network'!I33-25))</f>
        <v>18180</v>
      </c>
      <c r="O33" s="3">
        <f>Accuracy!$D$12*(1+Accuracy!$D$14)*(1+Accuracy!$D$16*('Resistor Network'!I33-25))</f>
        <v>18180</v>
      </c>
      <c r="P33" s="3">
        <f t="shared" si="1"/>
        <v>17820</v>
      </c>
      <c r="Q33" s="3">
        <f t="shared" si="2"/>
        <v>18180</v>
      </c>
      <c r="S33">
        <f>Accuracy!$D$19</f>
        <v>0</v>
      </c>
      <c r="T33" s="3">
        <f>Accuracy!$D$19*(1-Accuracy!$D$21)*(1-Accuracy!$D$23*('Resistor Network'!I33-25))</f>
        <v>0</v>
      </c>
      <c r="U33" s="3">
        <f>Accuracy!$D$19*(1-Accuracy!$D$21)*(1+Accuracy!$D$23*('Resistor Network'!I33-25))</f>
        <v>0</v>
      </c>
      <c r="V33" s="3">
        <f>Accuracy!$D$19*(1+Accuracy!$D$21)*(1-Accuracy!$D$23*('Resistor Network'!I33-25))</f>
        <v>0</v>
      </c>
      <c r="W33" s="3">
        <f>Accuracy!$D$19*(1-Accuracy!$D$21)*(1+Accuracy!$D$23*('Resistor Network'!I33-25))</f>
        <v>0</v>
      </c>
      <c r="X33" s="3">
        <f t="shared" si="3"/>
        <v>0</v>
      </c>
      <c r="Y33" s="3">
        <f t="shared" si="4"/>
        <v>0</v>
      </c>
      <c r="AB33" s="2">
        <f t="shared" si="5"/>
        <v>5.6109071840587312E-2</v>
      </c>
      <c r="AC33" s="2">
        <f t="shared" si="6"/>
        <v>5.1505477754904543E-2</v>
      </c>
      <c r="AD33" s="2">
        <f t="shared" si="7"/>
        <v>6.0959923829320382E-2</v>
      </c>
      <c r="AE33" s="2"/>
      <c r="AF33" s="2"/>
      <c r="AH33" s="1"/>
      <c r="AI33" s="7"/>
      <c r="AJ33" s="1"/>
      <c r="AL33" s="3"/>
      <c r="AM33" s="3"/>
      <c r="AN33" s="3"/>
      <c r="AP33" s="2"/>
    </row>
    <row r="34" spans="3:45" x14ac:dyDescent="0.2">
      <c r="C34" s="5">
        <f>Accuracy!F33</f>
        <v>90</v>
      </c>
      <c r="D34" s="5">
        <f>Accuracy!G33</f>
        <v>915.50000000000011</v>
      </c>
      <c r="E34" s="6">
        <f>Thermistor!T34</f>
        <v>843.35376561428996</v>
      </c>
      <c r="F34" s="6">
        <f>Thermistor!U34</f>
        <v>991.33357016083733</v>
      </c>
      <c r="G34" s="34"/>
      <c r="H34" s="34">
        <v>29</v>
      </c>
      <c r="I34" s="34">
        <f t="shared" si="0"/>
        <v>-1.8333333333333357</v>
      </c>
      <c r="K34">
        <f>Accuracy!$D$12</f>
        <v>18000</v>
      </c>
      <c r="L34" s="3">
        <f>Accuracy!$D$12*(1-Accuracy!$D$14)*(1-Accuracy!$D$16*('Resistor Network'!I34-25))</f>
        <v>17820</v>
      </c>
      <c r="M34" s="3">
        <f>Accuracy!$D$12*(1-Accuracy!$D$14)*(1+Accuracy!$D$16*('Resistor Network'!I34-25))</f>
        <v>17820</v>
      </c>
      <c r="N34" s="3">
        <f>Accuracy!$D$12*(1+Accuracy!$D$14)*(1-Accuracy!$D$16*('Resistor Network'!I34-25))</f>
        <v>18180</v>
      </c>
      <c r="O34" s="3">
        <f>Accuracy!$D$12*(1+Accuracy!$D$14)*(1+Accuracy!$D$16*('Resistor Network'!I34-25))</f>
        <v>18180</v>
      </c>
      <c r="P34" s="3">
        <f t="shared" si="1"/>
        <v>17820</v>
      </c>
      <c r="Q34" s="3">
        <f t="shared" si="2"/>
        <v>18180</v>
      </c>
      <c r="S34">
        <f>Accuracy!$D$19</f>
        <v>0</v>
      </c>
      <c r="T34" s="3">
        <f>Accuracy!$D$19*(1-Accuracy!$D$21)*(1-Accuracy!$D$23*('Resistor Network'!I34-25))</f>
        <v>0</v>
      </c>
      <c r="U34" s="3">
        <f>Accuracy!$D$19*(1-Accuracy!$D$21)*(1+Accuracy!$D$23*('Resistor Network'!I34-25))</f>
        <v>0</v>
      </c>
      <c r="V34" s="3">
        <f>Accuracy!$D$19*(1+Accuracy!$D$21)*(1-Accuracy!$D$23*('Resistor Network'!I34-25))</f>
        <v>0</v>
      </c>
      <c r="W34" s="3">
        <f>Accuracy!$D$19*(1-Accuracy!$D$21)*(1+Accuracy!$D$23*('Resistor Network'!I34-25))</f>
        <v>0</v>
      </c>
      <c r="X34" s="3">
        <f t="shared" si="3"/>
        <v>0</v>
      </c>
      <c r="Y34" s="3">
        <f t="shared" si="4"/>
        <v>0</v>
      </c>
      <c r="AB34" s="2">
        <f t="shared" si="5"/>
        <v>4.8399460759694438E-2</v>
      </c>
      <c r="AC34" s="2">
        <f t="shared" si="6"/>
        <v>4.4332549139610496E-2</v>
      </c>
      <c r="AD34" s="2">
        <f t="shared" si="7"/>
        <v>5.2698739643494683E-2</v>
      </c>
      <c r="AE34" s="2"/>
      <c r="AF34" s="2"/>
      <c r="AH34" s="1"/>
      <c r="AI34" s="7"/>
      <c r="AJ34" s="1"/>
      <c r="AL34" s="3"/>
      <c r="AM34" s="3"/>
      <c r="AN34" s="3"/>
      <c r="AP34" s="2"/>
    </row>
    <row r="35" spans="3:45" x14ac:dyDescent="0.2">
      <c r="C35" s="5">
        <f>Accuracy!F34</f>
        <v>95</v>
      </c>
      <c r="D35" s="5">
        <f>Accuracy!G34</f>
        <v>786.6</v>
      </c>
      <c r="E35" s="6">
        <f>Thermistor!T35</f>
        <v>723.51299817882443</v>
      </c>
      <c r="F35" s="6">
        <f>Thermistor!U35</f>
        <v>853.04992813336344</v>
      </c>
      <c r="G35" s="34"/>
      <c r="H35" s="34">
        <v>30</v>
      </c>
      <c r="I35" s="34">
        <f t="shared" si="0"/>
        <v>0</v>
      </c>
      <c r="K35">
        <f>Accuracy!$D$12</f>
        <v>18000</v>
      </c>
      <c r="L35" s="3">
        <f>Accuracy!$D$12*(1-Accuracy!$D$14)*(1-Accuracy!$D$16*('Resistor Network'!I35-25))</f>
        <v>17820</v>
      </c>
      <c r="M35" s="3">
        <f>Accuracy!$D$12*(1-Accuracy!$D$14)*(1+Accuracy!$D$16*('Resistor Network'!I35-25))</f>
        <v>17820</v>
      </c>
      <c r="N35" s="3">
        <f>Accuracy!$D$12*(1+Accuracy!$D$14)*(1-Accuracy!$D$16*('Resistor Network'!I35-25))</f>
        <v>18180</v>
      </c>
      <c r="O35" s="3">
        <f>Accuracy!$D$12*(1+Accuracy!$D$14)*(1+Accuracy!$D$16*('Resistor Network'!I35-25))</f>
        <v>18180</v>
      </c>
      <c r="P35" s="3">
        <f t="shared" si="1"/>
        <v>17820</v>
      </c>
      <c r="Q35" s="3">
        <f t="shared" si="2"/>
        <v>18180</v>
      </c>
      <c r="S35">
        <f>Accuracy!$D$19</f>
        <v>0</v>
      </c>
      <c r="T35" s="3">
        <f>Accuracy!$D$19*(1-Accuracy!$D$21)*(1-Accuracy!$D$23*('Resistor Network'!I35-25))</f>
        <v>0</v>
      </c>
      <c r="U35" s="3">
        <f>Accuracy!$D$19*(1-Accuracy!$D$21)*(1+Accuracy!$D$23*('Resistor Network'!I35-25))</f>
        <v>0</v>
      </c>
      <c r="V35" s="3">
        <f>Accuracy!$D$19*(1+Accuracy!$D$21)*(1-Accuracy!$D$23*('Resistor Network'!I35-25))</f>
        <v>0</v>
      </c>
      <c r="W35" s="3">
        <f>Accuracy!$D$19*(1-Accuracy!$D$21)*(1+Accuracy!$D$23*('Resistor Network'!I35-25))</f>
        <v>0</v>
      </c>
      <c r="X35" s="3">
        <f t="shared" si="3"/>
        <v>0</v>
      </c>
      <c r="Y35" s="3">
        <f t="shared" si="4"/>
        <v>0</v>
      </c>
      <c r="AB35" s="2">
        <f t="shared" ref="AB35:AB40" si="8">(D35+S35)/(D35+S35+K35)</f>
        <v>4.1870269234454346E-2</v>
      </c>
      <c r="AC35" s="2">
        <f t="shared" si="6"/>
        <v>3.82739969152045E-2</v>
      </c>
      <c r="AD35" s="2">
        <f t="shared" si="7"/>
        <v>4.5683481349671401E-2</v>
      </c>
      <c r="AE35" s="2"/>
      <c r="AF35" s="2"/>
      <c r="AH35" s="1"/>
      <c r="AI35" s="7"/>
      <c r="AJ35" s="1"/>
      <c r="AL35" s="3"/>
      <c r="AM35" s="3"/>
      <c r="AN35" s="3"/>
      <c r="AP35" s="2"/>
    </row>
    <row r="36" spans="3:45" x14ac:dyDescent="0.2">
      <c r="C36" s="5">
        <f>Accuracy!F35</f>
        <v>100</v>
      </c>
      <c r="D36" s="5">
        <f>Accuracy!G35</f>
        <v>678.6</v>
      </c>
      <c r="E36" s="6">
        <f>Thermistor!T36</f>
        <v>623.25367810536511</v>
      </c>
      <c r="F36" s="6">
        <f>Thermistor!U36</f>
        <v>737.01404618480967</v>
      </c>
      <c r="G36" s="34"/>
      <c r="H36" s="34">
        <v>31</v>
      </c>
      <c r="I36" s="34">
        <f t="shared" si="0"/>
        <v>1.8333333333333286</v>
      </c>
      <c r="K36">
        <f>Accuracy!$D$12</f>
        <v>18000</v>
      </c>
      <c r="L36" s="3">
        <f>Accuracy!$D$12*(1-Accuracy!$D$14)*(1-Accuracy!$D$16*('Resistor Network'!I36-25))</f>
        <v>17820</v>
      </c>
      <c r="M36" s="3">
        <f>Accuracy!$D$12*(1-Accuracy!$D$14)*(1+Accuracy!$D$16*('Resistor Network'!I36-25))</f>
        <v>17820</v>
      </c>
      <c r="N36" s="3">
        <f>Accuracy!$D$12*(1+Accuracy!$D$14)*(1-Accuracy!$D$16*('Resistor Network'!I36-25))</f>
        <v>18180</v>
      </c>
      <c r="O36" s="3">
        <f>Accuracy!$D$12*(1+Accuracy!$D$14)*(1+Accuracy!$D$16*('Resistor Network'!I36-25))</f>
        <v>18180</v>
      </c>
      <c r="P36" s="3">
        <f t="shared" si="1"/>
        <v>17820</v>
      </c>
      <c r="Q36" s="3">
        <f t="shared" si="2"/>
        <v>18180</v>
      </c>
      <c r="S36">
        <f>Accuracy!$D$19</f>
        <v>0</v>
      </c>
      <c r="T36" s="3">
        <f>Accuracy!$D$19*(1-Accuracy!$D$21)*(1-Accuracy!$D$23*('Resistor Network'!I36-25))</f>
        <v>0</v>
      </c>
      <c r="U36" s="3">
        <f>Accuracy!$D$19*(1-Accuracy!$D$21)*(1+Accuracy!$D$23*('Resistor Network'!I36-25))</f>
        <v>0</v>
      </c>
      <c r="V36" s="3">
        <f>Accuracy!$D$19*(1+Accuracy!$D$21)*(1-Accuracy!$D$23*('Resistor Network'!I36-25))</f>
        <v>0</v>
      </c>
      <c r="W36" s="3">
        <f>Accuracy!$D$19*(1-Accuracy!$D$21)*(1+Accuracy!$D$23*('Resistor Network'!I36-25))</f>
        <v>0</v>
      </c>
      <c r="X36" s="3">
        <f>MINA(T36:W36)</f>
        <v>0</v>
      </c>
      <c r="Y36" s="3">
        <f>MAX(T36:W36)</f>
        <v>0</v>
      </c>
      <c r="AB36" s="2">
        <f t="shared" si="8"/>
        <v>3.6330345957405807E-2</v>
      </c>
      <c r="AC36" s="2">
        <f>(E36+X36)/(E36+X36+Q36)</f>
        <v>3.3146054867678881E-2</v>
      </c>
      <c r="AD36" s="2">
        <f>(F36+Y36)/(F36+Y36+P36)</f>
        <v>3.971619810981037E-2</v>
      </c>
      <c r="AE36" s="2"/>
      <c r="AF36" s="2"/>
      <c r="AH36" s="1"/>
      <c r="AI36" s="7"/>
      <c r="AJ36" s="1"/>
      <c r="AL36" s="3"/>
      <c r="AM36" s="3"/>
      <c r="AN36" s="3"/>
      <c r="AP36" s="2"/>
    </row>
    <row r="37" spans="3:45" x14ac:dyDescent="0.2">
      <c r="C37" s="5">
        <f>Accuracy!F36</f>
        <v>105</v>
      </c>
      <c r="D37" s="5">
        <f>Accuracy!G36</f>
        <v>587.6</v>
      </c>
      <c r="E37" s="6">
        <f>Thermistor!T37</f>
        <v>538.89910370692974</v>
      </c>
      <c r="F37" s="6">
        <f>Thermistor!U37</f>
        <v>639.10029397135816</v>
      </c>
      <c r="G37" s="34"/>
      <c r="H37" s="34">
        <v>32</v>
      </c>
      <c r="I37" s="34">
        <f t="shared" si="0"/>
        <v>3.6666666666666643</v>
      </c>
      <c r="K37">
        <f>Accuracy!$D$12</f>
        <v>18000</v>
      </c>
      <c r="L37" s="3">
        <f>Accuracy!$D$12*(1-Accuracy!$D$14)*(1-Accuracy!$D$16*('Resistor Network'!I37-25))</f>
        <v>17820</v>
      </c>
      <c r="M37" s="3">
        <f>Accuracy!$D$12*(1-Accuracy!$D$14)*(1+Accuracy!$D$16*('Resistor Network'!I37-25))</f>
        <v>17820</v>
      </c>
      <c r="N37" s="3">
        <f>Accuracy!$D$12*(1+Accuracy!$D$14)*(1-Accuracy!$D$16*('Resistor Network'!I37-25))</f>
        <v>18180</v>
      </c>
      <c r="O37" s="3">
        <f>Accuracy!$D$12*(1+Accuracy!$D$14)*(1+Accuracy!$D$16*('Resistor Network'!I37-25))</f>
        <v>18180</v>
      </c>
      <c r="P37" s="3">
        <f t="shared" si="1"/>
        <v>17820</v>
      </c>
      <c r="Q37" s="3">
        <f t="shared" si="2"/>
        <v>18180</v>
      </c>
      <c r="S37">
        <f>Accuracy!$D$19</f>
        <v>0</v>
      </c>
      <c r="T37" s="3">
        <f>Accuracy!$D$19*(1-Accuracy!$D$21)*(1-Accuracy!$D$23*('Resistor Network'!I37-25))</f>
        <v>0</v>
      </c>
      <c r="U37" s="3">
        <f>Accuracy!$D$19*(1-Accuracy!$D$21)*(1+Accuracy!$D$23*('Resistor Network'!I37-25))</f>
        <v>0</v>
      </c>
      <c r="V37" s="3">
        <f>Accuracy!$D$19*(1+Accuracy!$D$21)*(1-Accuracy!$D$23*('Resistor Network'!I37-25))</f>
        <v>0</v>
      </c>
      <c r="W37" s="3">
        <f>Accuracy!$D$19*(1-Accuracy!$D$21)*(1+Accuracy!$D$23*('Resistor Network'!I37-25))</f>
        <v>0</v>
      </c>
      <c r="X37" s="3">
        <f>MINA(T37:W37)</f>
        <v>0</v>
      </c>
      <c r="Y37" s="3">
        <f>MAX(T37:W37)</f>
        <v>0</v>
      </c>
      <c r="AB37" s="2">
        <f t="shared" si="8"/>
        <v>3.1612472831349936E-2</v>
      </c>
      <c r="AC37" s="2">
        <f>(E37+X37)/(E37+X37+Q37)</f>
        <v>2.8789038325454239E-2</v>
      </c>
      <c r="AD37" s="2">
        <f>(F37+Y37)/(F37+Y37+P37)</f>
        <v>3.4622505094686812E-2</v>
      </c>
      <c r="AE37" s="2"/>
      <c r="AF37" s="2"/>
      <c r="AH37" s="1"/>
      <c r="AI37" s="7"/>
      <c r="AJ37" s="1"/>
      <c r="AL37" s="3"/>
      <c r="AM37" s="3"/>
      <c r="AN37" s="3"/>
      <c r="AP37" s="2"/>
    </row>
    <row r="38" spans="3:45" x14ac:dyDescent="0.2">
      <c r="C38" s="5">
        <f>Accuracy!F37</f>
        <v>0</v>
      </c>
      <c r="D38" s="5">
        <f>Accuracy!G37</f>
        <v>0</v>
      </c>
      <c r="E38" s="6" t="e">
        <f>Thermistor!T38</f>
        <v>#NUM!</v>
      </c>
      <c r="F38" s="6" t="e">
        <f>Thermistor!U38</f>
        <v>#NUM!</v>
      </c>
      <c r="G38" s="34"/>
      <c r="H38" s="34">
        <v>33</v>
      </c>
      <c r="I38" s="34">
        <f t="shared" si="0"/>
        <v>5.5</v>
      </c>
      <c r="K38">
        <f>Accuracy!$D$12</f>
        <v>18000</v>
      </c>
      <c r="L38" s="3">
        <f>Accuracy!$D$12*(1-Accuracy!$D$14)*(1-Accuracy!$D$16*('Resistor Network'!I38-25))</f>
        <v>17820</v>
      </c>
      <c r="M38" s="3">
        <f>Accuracy!$D$12*(1-Accuracy!$D$14)*(1+Accuracy!$D$16*('Resistor Network'!I38-25))</f>
        <v>17820</v>
      </c>
      <c r="N38" s="3">
        <f>Accuracy!$D$12*(1+Accuracy!$D$14)*(1-Accuracy!$D$16*('Resistor Network'!I38-25))</f>
        <v>18180</v>
      </c>
      <c r="O38" s="3">
        <f>Accuracy!$D$12*(1+Accuracy!$D$14)*(1+Accuracy!$D$16*('Resistor Network'!I38-25))</f>
        <v>18180</v>
      </c>
      <c r="P38" s="3">
        <f t="shared" si="1"/>
        <v>17820</v>
      </c>
      <c r="Q38" s="3">
        <f t="shared" si="2"/>
        <v>18180</v>
      </c>
      <c r="S38">
        <f>Accuracy!$D$19</f>
        <v>0</v>
      </c>
      <c r="T38" s="3">
        <f>Accuracy!$D$19*(1-Accuracy!$D$21)*(1-Accuracy!$D$23*('Resistor Network'!I38-25))</f>
        <v>0</v>
      </c>
      <c r="U38" s="3">
        <f>Accuracy!$D$19*(1-Accuracy!$D$21)*(1+Accuracy!$D$23*('Resistor Network'!I38-25))</f>
        <v>0</v>
      </c>
      <c r="V38" s="3">
        <f>Accuracy!$D$19*(1+Accuracy!$D$21)*(1-Accuracy!$D$23*('Resistor Network'!I38-25))</f>
        <v>0</v>
      </c>
      <c r="W38" s="3">
        <f>Accuracy!$D$19*(1-Accuracy!$D$21)*(1+Accuracy!$D$23*('Resistor Network'!I38-25))</f>
        <v>0</v>
      </c>
      <c r="X38" s="3">
        <f>MINA(T38:W38)</f>
        <v>0</v>
      </c>
      <c r="Y38" s="3">
        <f>MAX(T38:W38)</f>
        <v>0</v>
      </c>
      <c r="AB38" s="2">
        <f t="shared" si="8"/>
        <v>0</v>
      </c>
      <c r="AC38" s="2" t="e">
        <f>(E38+X38)/(E38+X38+Q38)</f>
        <v>#NUM!</v>
      </c>
      <c r="AD38" s="2" t="e">
        <f>(F38+Y38)/(F38+Y38+P38)</f>
        <v>#NUM!</v>
      </c>
      <c r="AE38" s="2"/>
      <c r="AF38" s="2"/>
      <c r="AH38" s="1"/>
      <c r="AI38" s="7"/>
      <c r="AJ38" s="1"/>
      <c r="AL38" s="3"/>
      <c r="AM38" s="3"/>
      <c r="AN38" s="3"/>
      <c r="AP38" s="2"/>
    </row>
    <row r="39" spans="3:45" x14ac:dyDescent="0.2">
      <c r="C39" s="5">
        <f>Accuracy!F38</f>
        <v>0</v>
      </c>
      <c r="D39" s="5">
        <f>Accuracy!G38</f>
        <v>0</v>
      </c>
      <c r="E39" s="6" t="e">
        <f>Thermistor!T39</f>
        <v>#NUM!</v>
      </c>
      <c r="F39" s="6" t="e">
        <f>Thermistor!U39</f>
        <v>#NUM!</v>
      </c>
      <c r="G39" s="34"/>
      <c r="H39" s="34">
        <v>34</v>
      </c>
      <c r="I39" s="34">
        <f t="shared" si="0"/>
        <v>7.3333333333333286</v>
      </c>
      <c r="K39">
        <f>Accuracy!$D$12</f>
        <v>18000</v>
      </c>
      <c r="L39" s="3">
        <f>Accuracy!$D$12*(1-Accuracy!$D$14)*(1-Accuracy!$D$16*('Resistor Network'!I39-25))</f>
        <v>17820</v>
      </c>
      <c r="M39" s="3">
        <f>Accuracy!$D$12*(1-Accuracy!$D$14)*(1+Accuracy!$D$16*('Resistor Network'!I39-25))</f>
        <v>17820</v>
      </c>
      <c r="N39" s="3">
        <f>Accuracy!$D$12*(1+Accuracy!$D$14)*(1-Accuracy!$D$16*('Resistor Network'!I39-25))</f>
        <v>18180</v>
      </c>
      <c r="O39" s="3">
        <f>Accuracy!$D$12*(1+Accuracy!$D$14)*(1+Accuracy!$D$16*('Resistor Network'!I39-25))</f>
        <v>18180</v>
      </c>
      <c r="P39" s="3">
        <f t="shared" si="1"/>
        <v>17820</v>
      </c>
      <c r="Q39" s="3">
        <f t="shared" si="2"/>
        <v>18180</v>
      </c>
      <c r="S39">
        <f>Accuracy!$D$19</f>
        <v>0</v>
      </c>
      <c r="T39" s="3">
        <f>Accuracy!$D$19*(1-Accuracy!$D$21)*(1-Accuracy!$D$23*('Resistor Network'!I39-25))</f>
        <v>0</v>
      </c>
      <c r="U39" s="3">
        <f>Accuracy!$D$19*(1-Accuracy!$D$21)*(1+Accuracy!$D$23*('Resistor Network'!I39-25))</f>
        <v>0</v>
      </c>
      <c r="V39" s="3">
        <f>Accuracy!$D$19*(1+Accuracy!$D$21)*(1-Accuracy!$D$23*('Resistor Network'!I39-25))</f>
        <v>0</v>
      </c>
      <c r="W39" s="3">
        <f>Accuracy!$D$19*(1-Accuracy!$D$21)*(1+Accuracy!$D$23*('Resistor Network'!I39-25))</f>
        <v>0</v>
      </c>
      <c r="X39" s="3">
        <f>MINA(T39:W39)</f>
        <v>0</v>
      </c>
      <c r="Y39" s="3">
        <f>MAX(T39:W39)</f>
        <v>0</v>
      </c>
      <c r="AB39" s="2">
        <f t="shared" si="8"/>
        <v>0</v>
      </c>
      <c r="AC39" s="2" t="e">
        <f>(E39+X39)/(E39+X39+Q39)</f>
        <v>#NUM!</v>
      </c>
      <c r="AD39" s="2" t="e">
        <f>(F39+Y39)/(F39+Y39+P39)</f>
        <v>#NUM!</v>
      </c>
      <c r="AE39" s="2"/>
      <c r="AF39" s="2"/>
      <c r="AH39" s="1"/>
      <c r="AI39" s="7"/>
      <c r="AJ39" s="1"/>
      <c r="AL39" s="3"/>
      <c r="AM39" s="3"/>
      <c r="AN39" s="3"/>
      <c r="AP39" s="2"/>
    </row>
    <row r="40" spans="3:45" x14ac:dyDescent="0.2">
      <c r="C40" s="5">
        <f>Accuracy!F39</f>
        <v>0</v>
      </c>
      <c r="D40" s="5">
        <f>Accuracy!G39</f>
        <v>0</v>
      </c>
      <c r="E40" s="6" t="e">
        <f>Thermistor!T40</f>
        <v>#NUM!</v>
      </c>
      <c r="F40" s="6" t="e">
        <f>Thermistor!U40</f>
        <v>#NUM!</v>
      </c>
      <c r="G40" s="34"/>
      <c r="H40" s="34">
        <v>35</v>
      </c>
      <c r="I40" s="34">
        <f t="shared" si="0"/>
        <v>9.1666666666666572</v>
      </c>
      <c r="K40">
        <f>Accuracy!$D$12</f>
        <v>18000</v>
      </c>
      <c r="L40" s="3">
        <f>Accuracy!$D$12*(1-Accuracy!$D$14)*(1-Accuracy!$D$16*('Resistor Network'!I40-25))</f>
        <v>17820</v>
      </c>
      <c r="M40" s="3">
        <f>Accuracy!$D$12*(1-Accuracy!$D$14)*(1+Accuracy!$D$16*('Resistor Network'!I40-25))</f>
        <v>17820</v>
      </c>
      <c r="N40" s="3">
        <f>Accuracy!$D$12*(1+Accuracy!$D$14)*(1-Accuracy!$D$16*('Resistor Network'!I40-25))</f>
        <v>18180</v>
      </c>
      <c r="O40" s="3">
        <f>Accuracy!$D$12*(1+Accuracy!$D$14)*(1+Accuracy!$D$16*('Resistor Network'!I40-25))</f>
        <v>18180</v>
      </c>
      <c r="P40" s="3">
        <f t="shared" si="1"/>
        <v>17820</v>
      </c>
      <c r="Q40" s="3">
        <f t="shared" si="2"/>
        <v>18180</v>
      </c>
      <c r="S40">
        <f>Accuracy!$D$19</f>
        <v>0</v>
      </c>
      <c r="T40" s="3">
        <f>Accuracy!$D$19*(1-Accuracy!$D$21)*(1-Accuracy!$D$23*('Resistor Network'!I40-25))</f>
        <v>0</v>
      </c>
      <c r="U40" s="3">
        <f>Accuracy!$D$19*(1-Accuracy!$D$21)*(1+Accuracy!$D$23*('Resistor Network'!I40-25))</f>
        <v>0</v>
      </c>
      <c r="V40" s="3">
        <f>Accuracy!$D$19*(1+Accuracy!$D$21)*(1-Accuracy!$D$23*('Resistor Network'!I40-25))</f>
        <v>0</v>
      </c>
      <c r="W40" s="3">
        <f>Accuracy!$D$19*(1-Accuracy!$D$21)*(1+Accuracy!$D$23*('Resistor Network'!I40-25))</f>
        <v>0</v>
      </c>
      <c r="X40" s="3">
        <f>MINA(T40:W40)</f>
        <v>0</v>
      </c>
      <c r="Y40" s="3">
        <f>MAX(T40:W40)</f>
        <v>0</v>
      </c>
      <c r="AB40" s="2">
        <f t="shared" si="8"/>
        <v>0</v>
      </c>
      <c r="AC40" s="2" t="e">
        <f>(E40+X40)/(E40+X40+Q40)</f>
        <v>#NUM!</v>
      </c>
      <c r="AD40" s="2" t="e">
        <f>(F40+Y40)/(F40+Y40+P40)</f>
        <v>#NUM!</v>
      </c>
      <c r="AE40" s="2"/>
      <c r="AF40" s="2"/>
      <c r="AH40" s="1"/>
      <c r="AI40" s="7"/>
      <c r="AJ40" s="1"/>
      <c r="AL40" s="3"/>
      <c r="AM40" s="3"/>
      <c r="AN40" s="3"/>
      <c r="AP40" s="2"/>
    </row>
    <row r="41" spans="3:45" x14ac:dyDescent="0.2">
      <c r="H41" s="34"/>
      <c r="I41" s="34"/>
    </row>
    <row r="42" spans="3:45" x14ac:dyDescent="0.2">
      <c r="G42" t="s">
        <v>68</v>
      </c>
      <c r="I42">
        <f>C5</f>
        <v>-55</v>
      </c>
    </row>
    <row r="43" spans="3:45" x14ac:dyDescent="0.2">
      <c r="G43" t="s">
        <v>66</v>
      </c>
      <c r="I43" s="8">
        <f>C40</f>
        <v>0</v>
      </c>
      <c r="AA43" t="s">
        <v>20</v>
      </c>
      <c r="AB43" t="s">
        <v>21</v>
      </c>
      <c r="AC43" t="s">
        <v>41</v>
      </c>
      <c r="AS43" s="8"/>
    </row>
    <row r="44" spans="3:45" x14ac:dyDescent="0.2">
      <c r="G44" t="s">
        <v>69</v>
      </c>
      <c r="I44">
        <f>(I43-I42)/30</f>
        <v>1.8333333333333333</v>
      </c>
      <c r="AA44" s="5">
        <f>Accuracy!D3</f>
        <v>-55</v>
      </c>
      <c r="AB44">
        <f>LOOKUP(AA44,C5:C40,AB5:AB40)</f>
        <v>0.98166724211156708</v>
      </c>
      <c r="AC44" t="s">
        <v>42</v>
      </c>
      <c r="AD44">
        <f>(AB45-AB44)/(AA45-AA44)</f>
        <v>-6.1354202631972946E-3</v>
      </c>
      <c r="AS44" s="8"/>
    </row>
    <row r="45" spans="3:45" x14ac:dyDescent="0.2">
      <c r="AA45" s="5">
        <f>Accuracy!D4</f>
        <v>105</v>
      </c>
      <c r="AB45">
        <f>LOOKUP(AA45,C5:C40,AB5:AB40)</f>
        <v>0</v>
      </c>
      <c r="AC45" t="s">
        <v>43</v>
      </c>
      <c r="AD45">
        <f>AB44-AD44*AA44</f>
        <v>0.64421912763571587</v>
      </c>
    </row>
    <row r="50" spans="29:35" x14ac:dyDescent="0.2">
      <c r="AC50" s="9"/>
      <c r="AD50" s="10"/>
      <c r="AE50" s="10"/>
    </row>
    <row r="51" spans="29:35" x14ac:dyDescent="0.2">
      <c r="AC51" s="10"/>
      <c r="AD51" s="10"/>
      <c r="AE51" s="10"/>
    </row>
    <row r="52" spans="29:35" x14ac:dyDescent="0.2">
      <c r="AC52" s="10"/>
      <c r="AD52" s="11"/>
      <c r="AE52" s="11"/>
    </row>
    <row r="53" spans="29:35" x14ac:dyDescent="0.2">
      <c r="AC53" s="10"/>
      <c r="AD53" s="11"/>
      <c r="AE53" s="11"/>
    </row>
    <row r="54" spans="29:35" x14ac:dyDescent="0.2">
      <c r="AC54" s="10"/>
      <c r="AD54" s="11"/>
      <c r="AE54" s="11"/>
    </row>
    <row r="55" spans="29:35" x14ac:dyDescent="0.2">
      <c r="AC55" s="10"/>
      <c r="AD55" s="11"/>
      <c r="AE55" s="11"/>
    </row>
    <row r="56" spans="29:35" x14ac:dyDescent="0.2">
      <c r="AC56" s="12"/>
      <c r="AD56" s="10"/>
      <c r="AE56" s="10"/>
    </row>
    <row r="57" spans="29:35" x14ac:dyDescent="0.2">
      <c r="AC57" s="12"/>
      <c r="AD57" s="11"/>
      <c r="AE57" s="8"/>
    </row>
    <row r="61" spans="29:35" x14ac:dyDescent="0.2">
      <c r="AG61" s="9"/>
      <c r="AH61" s="13"/>
      <c r="AI61" s="13"/>
    </row>
    <row r="62" spans="29:35" x14ac:dyDescent="0.2">
      <c r="AG62" s="13"/>
      <c r="AH62" s="13"/>
      <c r="AI62" s="13"/>
    </row>
    <row r="63" spans="29:35" x14ac:dyDescent="0.2">
      <c r="AG63" s="13"/>
      <c r="AH63" s="14"/>
      <c r="AI63" s="14"/>
    </row>
    <row r="64" spans="29:35" x14ac:dyDescent="0.2">
      <c r="AG64" s="13"/>
      <c r="AH64" s="14"/>
      <c r="AI64" s="14"/>
    </row>
  </sheetData>
  <phoneticPr fontId="1" type="noConversion"/>
  <pageMargins left="0.75" right="0.75" top="1" bottom="1" header="0.5" footer="0.5"/>
  <pageSetup orientation="portrait" r:id="rId1"/>
  <headerFooter alignWithMargins="0"/>
  <ignoredErrors>
    <ignoredError sqref="V5:V6 V7:V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AX47"/>
  <sheetViews>
    <sheetView zoomScale="75" workbookViewId="0">
      <selection activeCell="H33" sqref="H33"/>
    </sheetView>
  </sheetViews>
  <sheetFormatPr defaultRowHeight="12.75" x14ac:dyDescent="0.2"/>
  <cols>
    <col min="16" max="17" width="8.28515625" customWidth="1"/>
    <col min="18" max="18" width="13.140625" bestFit="1" customWidth="1"/>
    <col min="28" max="28" width="10.5703125" bestFit="1" customWidth="1"/>
    <col min="30" max="30" width="9.5703125" customWidth="1"/>
  </cols>
  <sheetData>
    <row r="1" spans="2:50" x14ac:dyDescent="0.2">
      <c r="J1" t="s">
        <v>49</v>
      </c>
      <c r="K1" t="s">
        <v>48</v>
      </c>
      <c r="L1" t="s">
        <v>50</v>
      </c>
    </row>
    <row r="2" spans="2:50" x14ac:dyDescent="0.2">
      <c r="J2" s="78">
        <v>2.5</v>
      </c>
      <c r="K2" s="78">
        <v>15</v>
      </c>
      <c r="L2">
        <f>J2/2^K2</f>
        <v>7.62939453125E-5</v>
      </c>
    </row>
    <row r="3" spans="2:50" x14ac:dyDescent="0.2">
      <c r="J3" t="s">
        <v>47</v>
      </c>
    </row>
    <row r="4" spans="2:50" x14ac:dyDescent="0.2">
      <c r="B4" s="5" t="s">
        <v>122</v>
      </c>
      <c r="C4" s="5" t="s">
        <v>4</v>
      </c>
      <c r="D4" s="5" t="str">
        <f>'Resistor Network'!AB4</f>
        <v>Vout/Vin</v>
      </c>
      <c r="E4" s="5" t="str">
        <f>'Resistor Network'!AC4</f>
        <v>Vout/Vin min</v>
      </c>
      <c r="F4" s="5" t="str">
        <f>'Resistor Network'!AD4</f>
        <v>Vout/Vin max</v>
      </c>
      <c r="G4" s="8"/>
      <c r="H4" s="8" t="s">
        <v>121</v>
      </c>
      <c r="J4" t="s">
        <v>44</v>
      </c>
      <c r="K4" t="s">
        <v>45</v>
      </c>
      <c r="L4" t="s">
        <v>46</v>
      </c>
      <c r="AD4" t="s">
        <v>104</v>
      </c>
      <c r="AH4" t="s">
        <v>105</v>
      </c>
      <c r="AK4" t="s">
        <v>106</v>
      </c>
      <c r="AL4" t="s">
        <v>107</v>
      </c>
      <c r="AN4" t="s">
        <v>108</v>
      </c>
      <c r="AR4" t="s">
        <v>105</v>
      </c>
      <c r="AU4" t="s">
        <v>106</v>
      </c>
      <c r="AV4" t="s">
        <v>107</v>
      </c>
    </row>
    <row r="5" spans="2:50" x14ac:dyDescent="0.2">
      <c r="B5" s="5">
        <f>Accuracy!D26</f>
        <v>25</v>
      </c>
      <c r="C5" s="5">
        <f>Accuracy!F4</f>
        <v>-55</v>
      </c>
      <c r="D5" s="5">
        <f>'Resistor Network'!AB5</f>
        <v>0.98166724211156708</v>
      </c>
      <c r="E5" s="5">
        <f>'Resistor Network'!AC5</f>
        <v>0.97977726133298371</v>
      </c>
      <c r="F5" s="5">
        <f>'Resistor Network'!AD5</f>
        <v>0.98334427083216436</v>
      </c>
      <c r="G5" s="8"/>
      <c r="H5" t="str">
        <f>ADDRESS(MATCH($B$5,$C$5:$C$40,0)+4,3)</f>
        <v>$C$21</v>
      </c>
      <c r="J5">
        <f>ROUND(D5*2^$K$2,0)</f>
        <v>32167</v>
      </c>
      <c r="K5">
        <f>ROUND(E5*2^$K$2,0)</f>
        <v>32105</v>
      </c>
      <c r="L5">
        <f>ROUND(F5*2^$K$2,0)</f>
        <v>32222</v>
      </c>
      <c r="N5" s="4">
        <f>J5/2^15</f>
        <v>0.981658935546875</v>
      </c>
      <c r="O5" s="4">
        <f>K5/2^15</f>
        <v>0.979766845703125</v>
      </c>
      <c r="P5" s="4">
        <f>L5/2^15</f>
        <v>0.98333740234375</v>
      </c>
      <c r="Q5" s="4"/>
      <c r="R5" s="4">
        <f ca="1">N5/($R$42*N5^4+$R$43*N5^3+$R$44*N5^2+$R$45*N5+$R$46)*2^14</f>
        <v>0.84927208817692379</v>
      </c>
      <c r="S5" s="4">
        <f ca="1">O5/($R$42*O5^4+$R$43*O5^3+$R$44*O5^2+$R$45*O5+$R$46)*2^14</f>
        <v>0.84759554092807576</v>
      </c>
      <c r="T5" s="4">
        <f ca="1">P5/($R$42*P5^4+$R$43*P5^3+$R$44*P5^2+$R$45*P5+$R$46)*2^14</f>
        <v>0.85077399781469243</v>
      </c>
      <c r="V5" s="4">
        <f ca="1">R5</f>
        <v>0.84927208817692379</v>
      </c>
      <c r="W5" s="4">
        <f ca="1">S5</f>
        <v>0.84759554092807576</v>
      </c>
      <c r="X5" s="4">
        <f ca="1">T5</f>
        <v>0.85077399781469243</v>
      </c>
      <c r="Z5">
        <f ca="1">$Z$43*V5^3+$Z$44*V5^2+$Z$45*V5+$Z$46</f>
        <v>2210.2287785355293</v>
      </c>
      <c r="AA5">
        <f ca="1">$Z$43*W5^3+$Z$44*W5^2+$Z$45*W5+$Z$46</f>
        <v>2216.8772660454761</v>
      </c>
      <c r="AB5">
        <f ca="1">$Z$43*X5^3+$Z$44*X5^2+$Z$45*X5+$Z$46</f>
        <v>2204.2596977658704</v>
      </c>
      <c r="AC5" s="4"/>
      <c r="AD5" s="3">
        <f ca="1">ROUND(Z5/10-273.15,1)</f>
        <v>-52.1</v>
      </c>
      <c r="AE5" s="3">
        <f ca="1">ROUND(AA5/10-273.15,1)</f>
        <v>-51.5</v>
      </c>
      <c r="AF5" s="3">
        <f ca="1">ROUND(AB5/10-273.15,1)</f>
        <v>-52.7</v>
      </c>
      <c r="AG5" s="1"/>
      <c r="AH5" s="3">
        <f ca="1">AD5-$C5</f>
        <v>2.8999999999999986</v>
      </c>
      <c r="AI5" s="3">
        <f ca="1">AE5-$C5</f>
        <v>3.5</v>
      </c>
      <c r="AJ5" s="3">
        <f ca="1">AF5-$C5</f>
        <v>2.2999999999999972</v>
      </c>
      <c r="AK5" s="4">
        <f ca="1">MINA(AI5:AJ5)</f>
        <v>2.2999999999999972</v>
      </c>
      <c r="AL5" s="4">
        <f ca="1">MAX(AI5:AJ5)</f>
        <v>3.5</v>
      </c>
      <c r="AN5" s="4">
        <f ca="1">AD5-($AD$18-$B$5)</f>
        <v>-36.799999999999997</v>
      </c>
      <c r="AO5" s="4">
        <f ca="1">AE5-($AE$18-$B$5)</f>
        <v>-37.299999999999997</v>
      </c>
      <c r="AP5" s="4">
        <f ca="1">AF5-($AF$18-$B$5)</f>
        <v>-36.5</v>
      </c>
      <c r="AQ5" s="4"/>
      <c r="AR5" s="3">
        <f ca="1">AN5-$C5</f>
        <v>18.200000000000003</v>
      </c>
      <c r="AS5" s="3">
        <f t="shared" ref="AS5:AS35" ca="1" si="0">AO5-$C5</f>
        <v>17.700000000000003</v>
      </c>
      <c r="AT5" s="3">
        <f t="shared" ref="AT5:AT35" ca="1" si="1">AP5-$C5</f>
        <v>18.5</v>
      </c>
      <c r="AU5" s="4">
        <f ca="1">MINA(AS5:AT5)</f>
        <v>17.700000000000003</v>
      </c>
      <c r="AV5" s="4">
        <f ca="1">MAX(AS5:AT5)</f>
        <v>18.5</v>
      </c>
      <c r="AW5" s="4"/>
      <c r="AX5" s="4"/>
    </row>
    <row r="6" spans="2:50" x14ac:dyDescent="0.2">
      <c r="C6" s="5">
        <f>Accuracy!F5</f>
        <v>-50</v>
      </c>
      <c r="D6" s="5">
        <f>'Resistor Network'!AB6</f>
        <v>0.9738435203134127</v>
      </c>
      <c r="E6" s="5">
        <f>'Resistor Network'!AC6</f>
        <v>0.97127222906407362</v>
      </c>
      <c r="F6" s="5">
        <f>'Resistor Network'!AD6</f>
        <v>0.97613438950143971</v>
      </c>
      <c r="G6" s="8"/>
      <c r="H6" s="8"/>
      <c r="J6">
        <f t="shared" ref="J6:J35" si="2">ROUND(D6*2^$K$2,0)</f>
        <v>31911</v>
      </c>
      <c r="K6">
        <f t="shared" ref="K6:K35" si="3">ROUND(E6*2^$K$2,0)</f>
        <v>31827</v>
      </c>
      <c r="L6">
        <f t="shared" ref="L6:L35" si="4">ROUND(F6*2^$K$2,0)</f>
        <v>31986</v>
      </c>
      <c r="N6" s="4">
        <f t="shared" ref="N6:N35" si="5">J6/2^15</f>
        <v>0.973846435546875</v>
      </c>
      <c r="O6" s="4">
        <f t="shared" ref="O6:O35" si="6">K6/2^15</f>
        <v>0.971282958984375</v>
      </c>
      <c r="P6" s="4">
        <f t="shared" ref="P6:P35" si="7">L6/2^15</f>
        <v>0.97613525390625</v>
      </c>
      <c r="Q6" s="4"/>
      <c r="R6" s="4">
        <f t="shared" ref="R6:R35" ca="1" si="8">N6/($R$42*N6^4+$R$43*N6^3+$R$44*N6^2+$R$45*N6+$R$46)*2^14</f>
        <v>0.84246030019616436</v>
      </c>
      <c r="S6" s="4">
        <f t="shared" ref="S6:S34" ca="1" si="9">O6/($R$42*O6^4+$R$43*O6^3+$R$44*O6^2+$R$45*O6+$R$46)*2^14</f>
        <v>0.84028768786259245</v>
      </c>
      <c r="T6" s="4">
        <f t="shared" ref="T6:T34" ca="1" si="10">P6/($R$42*P6^4+$R$43*P6^3+$R$44*P6^2+$R$45*P6+$R$46)*2^14</f>
        <v>0.84442591536768907</v>
      </c>
      <c r="V6" s="4">
        <f t="shared" ref="V6:V35" ca="1" si="11">R6</f>
        <v>0.84246030019616436</v>
      </c>
      <c r="W6" s="4">
        <f t="shared" ref="W6:W35" ca="1" si="12">S6</f>
        <v>0.84028768786259245</v>
      </c>
      <c r="X6" s="4">
        <f t="shared" ref="X6:X35" ca="1" si="13">T6</f>
        <v>0.84442591536768907</v>
      </c>
      <c r="Z6">
        <f t="shared" ref="Z6:Z35" ca="1" si="14">$Z$43*V6^3+$Z$44*V6^2+$Z$45*V6+$Z$46</f>
        <v>2237.1466384958203</v>
      </c>
      <c r="AA6">
        <f t="shared" ref="AA6:AA35" ca="1" si="15">$Z$43*W6^3+$Z$44*W6^2+$Z$45*W6+$Z$46</f>
        <v>2245.6798100217475</v>
      </c>
      <c r="AB6">
        <f t="shared" ref="AB6:AB35" ca="1" si="16">$Z$43*X6^3+$Z$44*X6^2+$Z$45*X6+$Z$46</f>
        <v>2229.4048846980213</v>
      </c>
      <c r="AC6" s="4"/>
      <c r="AD6" s="3">
        <f t="shared" ref="AD6:AD35" ca="1" si="17">ROUND(Z6/10-273.15,1)</f>
        <v>-49.4</v>
      </c>
      <c r="AE6" s="3">
        <f t="shared" ref="AE6:AE35" ca="1" si="18">ROUND(AA6/10-273.15,1)</f>
        <v>-48.6</v>
      </c>
      <c r="AF6" s="3">
        <f t="shared" ref="AF6:AF35" ca="1" si="19">ROUND(AB6/10-273.15,1)</f>
        <v>-50.2</v>
      </c>
      <c r="AG6" s="1"/>
      <c r="AH6" s="3">
        <f t="shared" ref="AH6:AH35" ca="1" si="20">AD6-$C6</f>
        <v>0.60000000000000142</v>
      </c>
      <c r="AI6" s="3">
        <f t="shared" ref="AI6:AI35" ca="1" si="21">AE6-$C6</f>
        <v>1.3999999999999986</v>
      </c>
      <c r="AJ6" s="3">
        <f t="shared" ref="AJ6:AJ35" ca="1" si="22">AF6-$C6</f>
        <v>-0.20000000000000284</v>
      </c>
      <c r="AK6" s="4">
        <f t="shared" ref="AK6:AK35" ca="1" si="23">MINA(AI6:AJ6)</f>
        <v>-0.20000000000000284</v>
      </c>
      <c r="AL6" s="4">
        <f t="shared" ref="AL6:AL35" ca="1" si="24">MAX(AI6:AJ6)</f>
        <v>1.3999999999999986</v>
      </c>
      <c r="AN6" s="4">
        <f t="shared" ref="AN6:AN35" ca="1" si="25">AD6-($AD$18-$B$5)</f>
        <v>-34.099999999999994</v>
      </c>
      <c r="AO6" s="4">
        <f t="shared" ref="AO6:AO35" ca="1" si="26">AE6-($AE$18-$B$5)</f>
        <v>-34.400000000000006</v>
      </c>
      <c r="AP6" s="4">
        <f t="shared" ref="AP6:AP35" ca="1" si="27">AF6-($AF$18-$B$5)</f>
        <v>-34</v>
      </c>
      <c r="AQ6" s="4"/>
      <c r="AR6" s="3">
        <f t="shared" ref="AR6:AR35" ca="1" si="28">AN6-$C6</f>
        <v>15.900000000000006</v>
      </c>
      <c r="AS6" s="3">
        <f t="shared" ca="1" si="0"/>
        <v>15.599999999999994</v>
      </c>
      <c r="AT6" s="3">
        <f t="shared" ca="1" si="1"/>
        <v>16</v>
      </c>
      <c r="AU6" s="4">
        <f t="shared" ref="AU6:AU35" ca="1" si="29">MINA(AS6:AT6)</f>
        <v>15.599999999999994</v>
      </c>
      <c r="AV6" s="4">
        <f t="shared" ref="AV6:AV35" ca="1" si="30">MAX(AS6:AT6)</f>
        <v>16</v>
      </c>
      <c r="AW6" s="4"/>
      <c r="AX6" s="4"/>
    </row>
    <row r="7" spans="2:50" x14ac:dyDescent="0.2">
      <c r="C7" s="5">
        <f>Accuracy!F6</f>
        <v>-45</v>
      </c>
      <c r="D7" s="5">
        <f>'Resistor Network'!AB7</f>
        <v>0.96326418155657823</v>
      </c>
      <c r="E7" s="5">
        <f>'Resistor Network'!AC7</f>
        <v>0.95983132296271023</v>
      </c>
      <c r="F7" s="5">
        <f>'Resistor Network'!AD7</f>
        <v>0.96633584180516552</v>
      </c>
      <c r="G7" s="8"/>
      <c r="H7" s="8"/>
      <c r="J7">
        <f t="shared" si="2"/>
        <v>31564</v>
      </c>
      <c r="K7">
        <f t="shared" si="3"/>
        <v>31452</v>
      </c>
      <c r="L7">
        <f t="shared" si="4"/>
        <v>31665</v>
      </c>
      <c r="N7" s="4">
        <f t="shared" si="5"/>
        <v>0.9632568359375</v>
      </c>
      <c r="O7" s="4">
        <f t="shared" si="6"/>
        <v>0.9598388671875</v>
      </c>
      <c r="P7" s="4">
        <f t="shared" si="7"/>
        <v>0.966339111328125</v>
      </c>
      <c r="Q7" s="4"/>
      <c r="R7" s="4">
        <f t="shared" ca="1" si="8"/>
        <v>0.8336772253639877</v>
      </c>
      <c r="S7" s="4">
        <f t="shared" ca="1" si="9"/>
        <v>0.83094780174167571</v>
      </c>
      <c r="T7" s="4">
        <f t="shared" ca="1" si="10"/>
        <v>0.83618199796340542</v>
      </c>
      <c r="V7" s="4">
        <f t="shared" ca="1" si="11"/>
        <v>0.8336772253639877</v>
      </c>
      <c r="W7" s="4">
        <f t="shared" ca="1" si="12"/>
        <v>0.83094780174167571</v>
      </c>
      <c r="X7" s="4">
        <f t="shared" ca="1" si="13"/>
        <v>0.83618199796340542</v>
      </c>
      <c r="Z7">
        <f t="shared" ca="1" si="14"/>
        <v>2271.4920118697137</v>
      </c>
      <c r="AA7">
        <f t="shared" ca="1" si="15"/>
        <v>2282.0847765157096</v>
      </c>
      <c r="AB7">
        <f t="shared" ca="1" si="16"/>
        <v>2261.7379595566099</v>
      </c>
      <c r="AC7" s="4"/>
      <c r="AD7" s="3">
        <f t="shared" ca="1" si="17"/>
        <v>-46</v>
      </c>
      <c r="AE7" s="3">
        <f t="shared" ca="1" si="18"/>
        <v>-44.9</v>
      </c>
      <c r="AF7" s="3">
        <f t="shared" ca="1" si="19"/>
        <v>-47</v>
      </c>
      <c r="AG7" s="1"/>
      <c r="AH7" s="3">
        <f t="shared" ca="1" si="20"/>
        <v>-1</v>
      </c>
      <c r="AI7" s="3">
        <f t="shared" ca="1" si="21"/>
        <v>0.10000000000000142</v>
      </c>
      <c r="AJ7" s="3">
        <f t="shared" ca="1" si="22"/>
        <v>-2</v>
      </c>
      <c r="AK7" s="4">
        <f t="shared" ca="1" si="23"/>
        <v>-2</v>
      </c>
      <c r="AL7" s="4">
        <f t="shared" ca="1" si="24"/>
        <v>0.10000000000000142</v>
      </c>
      <c r="AN7" s="4">
        <f t="shared" ca="1" si="25"/>
        <v>-30.7</v>
      </c>
      <c r="AO7" s="4">
        <f t="shared" ca="1" si="26"/>
        <v>-30.7</v>
      </c>
      <c r="AP7" s="4">
        <f t="shared" ca="1" si="27"/>
        <v>-30.8</v>
      </c>
      <c r="AQ7" s="4"/>
      <c r="AR7" s="3">
        <f t="shared" ca="1" si="28"/>
        <v>14.3</v>
      </c>
      <c r="AS7" s="3">
        <f t="shared" ca="1" si="0"/>
        <v>14.3</v>
      </c>
      <c r="AT7" s="3">
        <f t="shared" ca="1" si="1"/>
        <v>14.2</v>
      </c>
      <c r="AU7" s="4">
        <f t="shared" ca="1" si="29"/>
        <v>14.2</v>
      </c>
      <c r="AV7" s="4">
        <f t="shared" ca="1" si="30"/>
        <v>14.3</v>
      </c>
      <c r="AW7" s="4"/>
      <c r="AX7" s="4"/>
    </row>
    <row r="8" spans="2:50" x14ac:dyDescent="0.2">
      <c r="C8" s="5">
        <f>Accuracy!F7</f>
        <v>-40</v>
      </c>
      <c r="D8" s="5">
        <f>'Resistor Network'!AB8</f>
        <v>0.94922125147046787</v>
      </c>
      <c r="E8" s="5">
        <f>'Resistor Network'!AC8</f>
        <v>0.94472863156636733</v>
      </c>
      <c r="F8" s="5">
        <f>'Resistor Network'!AD8</f>
        <v>0.95325976740772034</v>
      </c>
      <c r="G8" s="8"/>
      <c r="H8" s="8"/>
      <c r="J8">
        <f t="shared" si="2"/>
        <v>31104</v>
      </c>
      <c r="K8">
        <f t="shared" si="3"/>
        <v>30957</v>
      </c>
      <c r="L8">
        <f t="shared" si="4"/>
        <v>31236</v>
      </c>
      <c r="N8" s="4">
        <f t="shared" si="5"/>
        <v>0.94921875</v>
      </c>
      <c r="O8" s="4">
        <f t="shared" si="6"/>
        <v>0.944732666015625</v>
      </c>
      <c r="P8" s="4">
        <f t="shared" si="7"/>
        <v>0.9532470703125</v>
      </c>
      <c r="Q8" s="4"/>
      <c r="R8" s="4">
        <f t="shared" ca="1" si="8"/>
        <v>0.82277861400851271</v>
      </c>
      <c r="S8" s="4">
        <f t="shared" ca="1" si="9"/>
        <v>0.81946399344143095</v>
      </c>
      <c r="T8" s="4">
        <f t="shared" ca="1" si="10"/>
        <v>0.82582295826252672</v>
      </c>
      <c r="V8" s="4">
        <f t="shared" ca="1" si="11"/>
        <v>0.82277861400851271</v>
      </c>
      <c r="W8" s="4">
        <f t="shared" ca="1" si="12"/>
        <v>0.81946399344143095</v>
      </c>
      <c r="X8" s="4">
        <f t="shared" ca="1" si="13"/>
        <v>0.82582295826252672</v>
      </c>
      <c r="Z8">
        <f t="shared" ca="1" si="14"/>
        <v>2313.5695813241255</v>
      </c>
      <c r="AA8">
        <f t="shared" ca="1" si="15"/>
        <v>2326.2531961807435</v>
      </c>
      <c r="AB8">
        <f t="shared" ca="1" si="16"/>
        <v>2301.874266018136</v>
      </c>
      <c r="AC8" s="4"/>
      <c r="AD8" s="3">
        <f t="shared" ca="1" si="17"/>
        <v>-41.8</v>
      </c>
      <c r="AE8" s="3">
        <f t="shared" ca="1" si="18"/>
        <v>-40.5</v>
      </c>
      <c r="AF8" s="3">
        <f t="shared" ca="1" si="19"/>
        <v>-43</v>
      </c>
      <c r="AG8" s="1"/>
      <c r="AH8" s="3">
        <f t="shared" ca="1" si="20"/>
        <v>-1.7999999999999972</v>
      </c>
      <c r="AI8" s="3">
        <f t="shared" ca="1" si="21"/>
        <v>-0.5</v>
      </c>
      <c r="AJ8" s="3">
        <f t="shared" ca="1" si="22"/>
        <v>-3</v>
      </c>
      <c r="AK8" s="4">
        <f t="shared" ca="1" si="23"/>
        <v>-3</v>
      </c>
      <c r="AL8" s="4">
        <f t="shared" ca="1" si="24"/>
        <v>-0.5</v>
      </c>
      <c r="AN8" s="4">
        <f t="shared" ca="1" si="25"/>
        <v>-26.499999999999996</v>
      </c>
      <c r="AO8" s="4">
        <f t="shared" ca="1" si="26"/>
        <v>-26.3</v>
      </c>
      <c r="AP8" s="4">
        <f t="shared" ca="1" si="27"/>
        <v>-26.8</v>
      </c>
      <c r="AQ8" s="4"/>
      <c r="AR8" s="3">
        <f t="shared" ca="1" si="28"/>
        <v>13.500000000000004</v>
      </c>
      <c r="AS8" s="3">
        <f t="shared" ca="1" si="0"/>
        <v>13.7</v>
      </c>
      <c r="AT8" s="3">
        <f t="shared" ca="1" si="1"/>
        <v>13.2</v>
      </c>
      <c r="AU8" s="4">
        <f t="shared" ca="1" si="29"/>
        <v>13.2</v>
      </c>
      <c r="AV8" s="4">
        <f t="shared" ca="1" si="30"/>
        <v>13.7</v>
      </c>
      <c r="AW8" s="4"/>
      <c r="AX8" s="4"/>
    </row>
    <row r="9" spans="2:50" x14ac:dyDescent="0.2">
      <c r="C9" s="5">
        <f>Accuracy!F8</f>
        <v>-35</v>
      </c>
      <c r="D9" s="5">
        <f>'Resistor Network'!AB9</f>
        <v>0.93095008842224791</v>
      </c>
      <c r="E9" s="5">
        <f>'Resistor Network'!AC9</f>
        <v>0.92519519819569684</v>
      </c>
      <c r="F9" s="5">
        <f>'Resistor Network'!AD9</f>
        <v>0.93614923529926752</v>
      </c>
      <c r="G9" s="8"/>
      <c r="H9" s="8"/>
      <c r="J9">
        <f t="shared" si="2"/>
        <v>30505</v>
      </c>
      <c r="K9">
        <f t="shared" si="3"/>
        <v>30317</v>
      </c>
      <c r="L9">
        <f t="shared" si="4"/>
        <v>30676</v>
      </c>
      <c r="N9" s="4">
        <f t="shared" si="5"/>
        <v>0.930938720703125</v>
      </c>
      <c r="O9" s="4">
        <f t="shared" si="6"/>
        <v>0.925201416015625</v>
      </c>
      <c r="P9" s="4">
        <f t="shared" si="7"/>
        <v>0.9361572265625</v>
      </c>
      <c r="Q9" s="4"/>
      <c r="R9" s="4">
        <f t="shared" ca="1" si="8"/>
        <v>0.80974899650858467</v>
      </c>
      <c r="S9" s="4">
        <f t="shared" ca="1" si="9"/>
        <v>0.80590989337485874</v>
      </c>
      <c r="T9" s="4">
        <f t="shared" ca="1" si="10"/>
        <v>0.81334200196887585</v>
      </c>
      <c r="V9" s="4">
        <f t="shared" ca="1" si="11"/>
        <v>0.80974899650858467</v>
      </c>
      <c r="W9" s="4">
        <f t="shared" ca="1" si="12"/>
        <v>0.80590989337485874</v>
      </c>
      <c r="X9" s="4">
        <f t="shared" ca="1" si="13"/>
        <v>0.81334200196887585</v>
      </c>
      <c r="Z9">
        <f t="shared" ca="1" si="14"/>
        <v>2363.1376250058984</v>
      </c>
      <c r="AA9">
        <f t="shared" ca="1" si="15"/>
        <v>2377.5980456797952</v>
      </c>
      <c r="AB9">
        <f t="shared" ca="1" si="16"/>
        <v>2349.5457650367844</v>
      </c>
      <c r="AC9" s="4"/>
      <c r="AD9" s="3">
        <f t="shared" ca="1" si="17"/>
        <v>-36.799999999999997</v>
      </c>
      <c r="AE9" s="3">
        <f t="shared" ca="1" si="18"/>
        <v>-35.4</v>
      </c>
      <c r="AF9" s="3">
        <f t="shared" ca="1" si="19"/>
        <v>-38.200000000000003</v>
      </c>
      <c r="AG9" s="1"/>
      <c r="AH9" s="3">
        <f t="shared" ca="1" si="20"/>
        <v>-1.7999999999999972</v>
      </c>
      <c r="AI9" s="3">
        <f t="shared" ca="1" si="21"/>
        <v>-0.39999999999999858</v>
      </c>
      <c r="AJ9" s="3">
        <f t="shared" ca="1" si="22"/>
        <v>-3.2000000000000028</v>
      </c>
      <c r="AK9" s="4">
        <f t="shared" ca="1" si="23"/>
        <v>-3.2000000000000028</v>
      </c>
      <c r="AL9" s="4">
        <f t="shared" ca="1" si="24"/>
        <v>-0.39999999999999858</v>
      </c>
      <c r="AN9" s="4">
        <f t="shared" ca="1" si="25"/>
        <v>-21.499999999999996</v>
      </c>
      <c r="AO9" s="4">
        <f t="shared" ca="1" si="26"/>
        <v>-21.2</v>
      </c>
      <c r="AP9" s="4">
        <f t="shared" ca="1" si="27"/>
        <v>-22.000000000000004</v>
      </c>
      <c r="AQ9" s="4"/>
      <c r="AR9" s="3">
        <f t="shared" ca="1" si="28"/>
        <v>13.500000000000004</v>
      </c>
      <c r="AS9" s="3">
        <f t="shared" ca="1" si="0"/>
        <v>13.8</v>
      </c>
      <c r="AT9" s="3">
        <f t="shared" ca="1" si="1"/>
        <v>12.999999999999996</v>
      </c>
      <c r="AU9" s="4">
        <f t="shared" ca="1" si="29"/>
        <v>12.999999999999996</v>
      </c>
      <c r="AV9" s="4">
        <f t="shared" ca="1" si="30"/>
        <v>13.8</v>
      </c>
      <c r="AW9" s="4"/>
      <c r="AX9" s="4"/>
    </row>
    <row r="10" spans="2:50" x14ac:dyDescent="0.2">
      <c r="C10" s="5">
        <f>Accuracy!F9</f>
        <v>-30</v>
      </c>
      <c r="D10" s="5">
        <f>'Resistor Network'!AB10</f>
        <v>0.90767999835875546</v>
      </c>
      <c r="E10" s="5">
        <f>'Resistor Network'!AC10</f>
        <v>0.90047693438378595</v>
      </c>
      <c r="F10" s="5">
        <f>'Resistor Network'!AD10</f>
        <v>0.91422302202246275</v>
      </c>
      <c r="G10" s="8"/>
      <c r="H10" s="8"/>
      <c r="J10">
        <f t="shared" si="2"/>
        <v>29743</v>
      </c>
      <c r="K10">
        <f t="shared" si="3"/>
        <v>29507</v>
      </c>
      <c r="L10">
        <f t="shared" si="4"/>
        <v>29957</v>
      </c>
      <c r="N10" s="4">
        <f t="shared" si="5"/>
        <v>0.907684326171875</v>
      </c>
      <c r="O10" s="4">
        <f t="shared" si="6"/>
        <v>0.900482177734375</v>
      </c>
      <c r="P10" s="4">
        <f t="shared" si="7"/>
        <v>0.914215087890625</v>
      </c>
      <c r="Q10" s="4"/>
      <c r="R10" s="4">
        <f t="shared" ca="1" si="8"/>
        <v>0.79486792083431701</v>
      </c>
      <c r="S10" s="4">
        <f t="shared" ca="1" si="9"/>
        <v>0.79060724523030446</v>
      </c>
      <c r="T10" s="4">
        <f t="shared" ca="1" si="10"/>
        <v>0.79886894679634179</v>
      </c>
      <c r="V10" s="4">
        <f t="shared" ca="1" si="11"/>
        <v>0.79486792083431701</v>
      </c>
      <c r="W10" s="4">
        <f t="shared" ca="1" si="12"/>
        <v>0.79060724523030446</v>
      </c>
      <c r="X10" s="4">
        <f t="shared" ca="1" si="13"/>
        <v>0.79886894679634179</v>
      </c>
      <c r="Z10">
        <f t="shared" ca="1" si="14"/>
        <v>2418.8440172803766</v>
      </c>
      <c r="AA10">
        <f t="shared" ca="1" si="15"/>
        <v>2434.6283538694984</v>
      </c>
      <c r="AB10">
        <f t="shared" ca="1" si="16"/>
        <v>2403.9563313747485</v>
      </c>
      <c r="AC10" s="4"/>
      <c r="AD10" s="3">
        <f t="shared" ca="1" si="17"/>
        <v>-31.3</v>
      </c>
      <c r="AE10" s="3">
        <f t="shared" ca="1" si="18"/>
        <v>-29.7</v>
      </c>
      <c r="AF10" s="3">
        <f t="shared" ca="1" si="19"/>
        <v>-32.799999999999997</v>
      </c>
      <c r="AG10" s="1"/>
      <c r="AH10" s="3">
        <f t="shared" ca="1" si="20"/>
        <v>-1.3000000000000007</v>
      </c>
      <c r="AI10" s="3">
        <f t="shared" ca="1" si="21"/>
        <v>0.30000000000000071</v>
      </c>
      <c r="AJ10" s="3">
        <f t="shared" ca="1" si="22"/>
        <v>-2.7999999999999972</v>
      </c>
      <c r="AK10" s="4">
        <f t="shared" ca="1" si="23"/>
        <v>-2.7999999999999972</v>
      </c>
      <c r="AL10" s="4">
        <f t="shared" ca="1" si="24"/>
        <v>0.30000000000000071</v>
      </c>
      <c r="AN10" s="4">
        <f t="shared" ca="1" si="25"/>
        <v>-16</v>
      </c>
      <c r="AO10" s="4">
        <f t="shared" ca="1" si="26"/>
        <v>-15.5</v>
      </c>
      <c r="AP10" s="4">
        <f t="shared" ca="1" si="27"/>
        <v>-16.599999999999998</v>
      </c>
      <c r="AQ10" s="4"/>
      <c r="AR10" s="3">
        <f t="shared" ca="1" si="28"/>
        <v>14</v>
      </c>
      <c r="AS10" s="3">
        <f t="shared" ca="1" si="0"/>
        <v>14.5</v>
      </c>
      <c r="AT10" s="3">
        <f t="shared" ca="1" si="1"/>
        <v>13.400000000000002</v>
      </c>
      <c r="AU10" s="4">
        <f t="shared" ca="1" si="29"/>
        <v>13.400000000000002</v>
      </c>
      <c r="AV10" s="4">
        <f t="shared" ca="1" si="30"/>
        <v>14.5</v>
      </c>
      <c r="AW10" s="4"/>
      <c r="AX10" s="4"/>
    </row>
    <row r="11" spans="2:50" x14ac:dyDescent="0.2">
      <c r="C11" s="5">
        <f>Accuracy!F10</f>
        <v>-25</v>
      </c>
      <c r="D11" s="5">
        <f>'Resistor Network'!AB11</f>
        <v>0.87872336124941886</v>
      </c>
      <c r="E11" s="5">
        <f>'Resistor Network'!AC11</f>
        <v>0.86993139603684522</v>
      </c>
      <c r="F11" s="5">
        <f>'Resistor Network'!AD11</f>
        <v>0.88675713689679825</v>
      </c>
      <c r="G11" s="8"/>
      <c r="H11" s="8"/>
      <c r="J11">
        <f t="shared" si="2"/>
        <v>28794</v>
      </c>
      <c r="K11">
        <f t="shared" si="3"/>
        <v>28506</v>
      </c>
      <c r="L11">
        <f t="shared" si="4"/>
        <v>29057</v>
      </c>
      <c r="N11" s="4">
        <f t="shared" si="5"/>
        <v>0.87872314453125</v>
      </c>
      <c r="O11" s="4">
        <f t="shared" si="6"/>
        <v>0.86993408203125</v>
      </c>
      <c r="P11" s="4">
        <f t="shared" si="7"/>
        <v>0.886749267578125</v>
      </c>
      <c r="Q11" s="4"/>
      <c r="R11" s="4">
        <f t="shared" ca="1" si="8"/>
        <v>0.77863548729450438</v>
      </c>
      <c r="S11" s="4">
        <f t="shared" ca="1" si="9"/>
        <v>0.77415570142274404</v>
      </c>
      <c r="T11" s="4">
        <f t="shared" ca="1" si="10"/>
        <v>0.78290041284444067</v>
      </c>
      <c r="V11" s="4">
        <f t="shared" ca="1" si="11"/>
        <v>0.77863548729450438</v>
      </c>
      <c r="W11" s="4">
        <f t="shared" ca="1" si="12"/>
        <v>0.77415570142274404</v>
      </c>
      <c r="X11" s="4">
        <f t="shared" ca="1" si="13"/>
        <v>0.78290041284444067</v>
      </c>
      <c r="Z11">
        <f t="shared" ca="1" si="14"/>
        <v>2478.6146287140996</v>
      </c>
      <c r="AA11">
        <f t="shared" ca="1" si="15"/>
        <v>2494.942972454106</v>
      </c>
      <c r="AB11">
        <f t="shared" ca="1" si="16"/>
        <v>2463.0044261876906</v>
      </c>
      <c r="AC11" s="4"/>
      <c r="AD11" s="3">
        <f t="shared" ca="1" si="17"/>
        <v>-25.3</v>
      </c>
      <c r="AE11" s="3">
        <f t="shared" ca="1" si="18"/>
        <v>-23.7</v>
      </c>
      <c r="AF11" s="3">
        <f t="shared" ca="1" si="19"/>
        <v>-26.8</v>
      </c>
      <c r="AG11" s="1"/>
      <c r="AH11" s="3">
        <f t="shared" ca="1" si="20"/>
        <v>-0.30000000000000071</v>
      </c>
      <c r="AI11" s="3">
        <f t="shared" ca="1" si="21"/>
        <v>1.3000000000000007</v>
      </c>
      <c r="AJ11" s="3">
        <f t="shared" ca="1" si="22"/>
        <v>-1.8000000000000007</v>
      </c>
      <c r="AK11" s="4">
        <f t="shared" ca="1" si="23"/>
        <v>-1.8000000000000007</v>
      </c>
      <c r="AL11" s="4">
        <f t="shared" ca="1" si="24"/>
        <v>1.3000000000000007</v>
      </c>
      <c r="AN11" s="4">
        <f t="shared" ca="1" si="25"/>
        <v>-10</v>
      </c>
      <c r="AO11" s="4">
        <f t="shared" ca="1" si="26"/>
        <v>-9.5</v>
      </c>
      <c r="AP11" s="4">
        <f t="shared" ca="1" si="27"/>
        <v>-10.600000000000001</v>
      </c>
      <c r="AQ11" s="4"/>
      <c r="AR11" s="3">
        <f t="shared" ca="1" si="28"/>
        <v>15</v>
      </c>
      <c r="AS11" s="3">
        <f t="shared" ca="1" si="0"/>
        <v>15.5</v>
      </c>
      <c r="AT11" s="3">
        <f t="shared" ca="1" si="1"/>
        <v>14.399999999999999</v>
      </c>
      <c r="AU11" s="4">
        <f t="shared" ca="1" si="29"/>
        <v>14.399999999999999</v>
      </c>
      <c r="AV11" s="4">
        <f t="shared" ca="1" si="30"/>
        <v>15.5</v>
      </c>
      <c r="AW11" s="4"/>
      <c r="AX11" s="4"/>
    </row>
    <row r="12" spans="2:50" x14ac:dyDescent="0.2">
      <c r="C12" s="5">
        <f>Accuracy!F11</f>
        <v>-20</v>
      </c>
      <c r="D12" s="5">
        <f>'Resistor Network'!AB12</f>
        <v>0.8435884290195601</v>
      </c>
      <c r="E12" s="5">
        <f>'Resistor Network'!AC12</f>
        <v>0.83314500230638677</v>
      </c>
      <c r="F12" s="5">
        <f>'Resistor Network'!AD12</f>
        <v>0.85319239846630313</v>
      </c>
      <c r="G12" s="8"/>
      <c r="H12" s="8"/>
      <c r="J12">
        <f t="shared" si="2"/>
        <v>27643</v>
      </c>
      <c r="K12">
        <f t="shared" si="3"/>
        <v>27300</v>
      </c>
      <c r="L12">
        <f t="shared" si="4"/>
        <v>27957</v>
      </c>
      <c r="N12" s="4">
        <f t="shared" si="5"/>
        <v>0.843597412109375</v>
      </c>
      <c r="O12" s="4">
        <f t="shared" si="6"/>
        <v>0.8331298828125</v>
      </c>
      <c r="P12" s="4">
        <f t="shared" si="7"/>
        <v>0.853179931640625</v>
      </c>
      <c r="Q12" s="4"/>
      <c r="R12" s="4">
        <f t="shared" ca="1" si="8"/>
        <v>0.76182781205201422</v>
      </c>
      <c r="S12" s="4">
        <f t="shared" ca="1" si="9"/>
        <v>0.75734507392017147</v>
      </c>
      <c r="T12" s="4">
        <f t="shared" ca="1" si="10"/>
        <v>0.76613254739955339</v>
      </c>
      <c r="V12" s="4">
        <f t="shared" ca="1" si="11"/>
        <v>0.76182781205201422</v>
      </c>
      <c r="W12" s="4">
        <f t="shared" ca="1" si="12"/>
        <v>0.75734507392017147</v>
      </c>
      <c r="X12" s="4">
        <f t="shared" ca="1" si="13"/>
        <v>0.76613254739955339</v>
      </c>
      <c r="Z12">
        <f t="shared" ca="1" si="14"/>
        <v>2539.5364592266706</v>
      </c>
      <c r="AA12">
        <f t="shared" ca="1" si="15"/>
        <v>2555.6356461483515</v>
      </c>
      <c r="AB12">
        <f t="shared" ca="1" si="16"/>
        <v>2524.0196841942998</v>
      </c>
      <c r="AC12" s="4"/>
      <c r="AD12" s="3">
        <f t="shared" ca="1" si="17"/>
        <v>-19.2</v>
      </c>
      <c r="AE12" s="3">
        <f t="shared" ca="1" si="18"/>
        <v>-17.600000000000001</v>
      </c>
      <c r="AF12" s="3">
        <f t="shared" ca="1" si="19"/>
        <v>-20.7</v>
      </c>
      <c r="AG12" s="1"/>
      <c r="AH12" s="3">
        <f t="shared" ca="1" si="20"/>
        <v>0.80000000000000071</v>
      </c>
      <c r="AI12" s="3">
        <f t="shared" ca="1" si="21"/>
        <v>2.3999999999999986</v>
      </c>
      <c r="AJ12" s="3">
        <f t="shared" ca="1" si="22"/>
        <v>-0.69999999999999929</v>
      </c>
      <c r="AK12" s="4">
        <f t="shared" ca="1" si="23"/>
        <v>-0.69999999999999929</v>
      </c>
      <c r="AL12" s="4">
        <f t="shared" ca="1" si="24"/>
        <v>2.3999999999999986</v>
      </c>
      <c r="AN12" s="4">
        <f t="shared" ca="1" si="25"/>
        <v>-3.8999999999999986</v>
      </c>
      <c r="AO12" s="4">
        <f t="shared" ca="1" si="26"/>
        <v>-3.4000000000000021</v>
      </c>
      <c r="AP12" s="4">
        <f t="shared" ca="1" si="27"/>
        <v>-4.5</v>
      </c>
      <c r="AQ12" s="4"/>
      <c r="AR12" s="3">
        <f t="shared" ca="1" si="28"/>
        <v>16.100000000000001</v>
      </c>
      <c r="AS12" s="3">
        <f t="shared" ca="1" si="0"/>
        <v>16.599999999999998</v>
      </c>
      <c r="AT12" s="3">
        <f t="shared" ca="1" si="1"/>
        <v>15.5</v>
      </c>
      <c r="AU12" s="4">
        <f t="shared" ca="1" si="29"/>
        <v>15.5</v>
      </c>
      <c r="AV12" s="4">
        <f t="shared" ca="1" si="30"/>
        <v>16.599999999999998</v>
      </c>
      <c r="AW12" s="4"/>
      <c r="AX12" s="4"/>
    </row>
    <row r="13" spans="2:50" x14ac:dyDescent="0.2">
      <c r="C13" s="5">
        <f>Accuracy!F12</f>
        <v>-15</v>
      </c>
      <c r="D13" s="5">
        <f>'Resistor Network'!AB13</f>
        <v>0.80210429103862269</v>
      </c>
      <c r="E13" s="5">
        <f>'Resistor Network'!AC13</f>
        <v>0.79005613939157837</v>
      </c>
      <c r="F13" s="5">
        <f>'Resistor Network'!AD13</f>
        <v>0.81325945092155616</v>
      </c>
      <c r="G13" s="8"/>
      <c r="H13" s="8"/>
      <c r="J13">
        <f t="shared" si="2"/>
        <v>26283</v>
      </c>
      <c r="K13">
        <f t="shared" si="3"/>
        <v>25889</v>
      </c>
      <c r="L13">
        <f t="shared" si="4"/>
        <v>26649</v>
      </c>
      <c r="N13" s="4">
        <f t="shared" si="5"/>
        <v>0.802093505859375</v>
      </c>
      <c r="O13" s="4">
        <f t="shared" si="6"/>
        <v>0.790069580078125</v>
      </c>
      <c r="P13" s="4">
        <f t="shared" si="7"/>
        <v>0.813262939453125</v>
      </c>
      <c r="Q13" s="4"/>
      <c r="R13" s="4">
        <f t="shared" ca="1" si="8"/>
        <v>0.74527157265395183</v>
      </c>
      <c r="S13" s="4">
        <f t="shared" ca="1" si="9"/>
        <v>0.74103322868301524</v>
      </c>
      <c r="T13" s="4">
        <f t="shared" ca="1" si="10"/>
        <v>0.74941940370615301</v>
      </c>
      <c r="V13" s="4">
        <f t="shared" ca="1" si="11"/>
        <v>0.74527157265395183</v>
      </c>
      <c r="W13" s="4">
        <f t="shared" ca="1" si="12"/>
        <v>0.74103322868301524</v>
      </c>
      <c r="X13" s="4">
        <f t="shared" ca="1" si="13"/>
        <v>0.74941940370615301</v>
      </c>
      <c r="Z13">
        <f t="shared" ca="1" si="14"/>
        <v>2598.7154580971164</v>
      </c>
      <c r="AA13">
        <f t="shared" ca="1" si="15"/>
        <v>2613.7481924305671</v>
      </c>
      <c r="AB13">
        <f t="shared" ca="1" si="16"/>
        <v>2583.9596750309938</v>
      </c>
      <c r="AC13" s="4"/>
      <c r="AD13" s="3">
        <f t="shared" ca="1" si="17"/>
        <v>-13.3</v>
      </c>
      <c r="AE13" s="3">
        <f t="shared" ca="1" si="18"/>
        <v>-11.8</v>
      </c>
      <c r="AF13" s="3">
        <f t="shared" ca="1" si="19"/>
        <v>-14.8</v>
      </c>
      <c r="AG13" s="1"/>
      <c r="AH13" s="3">
        <f t="shared" ca="1" si="20"/>
        <v>1.6999999999999993</v>
      </c>
      <c r="AI13" s="3">
        <f t="shared" ca="1" si="21"/>
        <v>3.1999999999999993</v>
      </c>
      <c r="AJ13" s="3">
        <f t="shared" ca="1" si="22"/>
        <v>0.19999999999999929</v>
      </c>
      <c r="AK13" s="4">
        <f t="shared" ca="1" si="23"/>
        <v>0.19999999999999929</v>
      </c>
      <c r="AL13" s="4">
        <f t="shared" ca="1" si="24"/>
        <v>3.1999999999999993</v>
      </c>
      <c r="AN13" s="4">
        <f t="shared" ca="1" si="25"/>
        <v>2</v>
      </c>
      <c r="AO13" s="4">
        <f t="shared" ca="1" si="26"/>
        <v>2.3999999999999986</v>
      </c>
      <c r="AP13" s="4">
        <f t="shared" ca="1" si="27"/>
        <v>1.3999999999999986</v>
      </c>
      <c r="AQ13" s="4"/>
      <c r="AR13" s="3">
        <f t="shared" ca="1" si="28"/>
        <v>17</v>
      </c>
      <c r="AS13" s="3">
        <f t="shared" ca="1" si="0"/>
        <v>17.399999999999999</v>
      </c>
      <c r="AT13" s="3">
        <f t="shared" ca="1" si="1"/>
        <v>16.399999999999999</v>
      </c>
      <c r="AU13" s="4">
        <f t="shared" ca="1" si="29"/>
        <v>16.399999999999999</v>
      </c>
      <c r="AV13" s="4">
        <f t="shared" ca="1" si="30"/>
        <v>17.399999999999999</v>
      </c>
      <c r="AW13" s="4"/>
      <c r="AX13" s="4"/>
    </row>
    <row r="14" spans="2:50" x14ac:dyDescent="0.2">
      <c r="C14" s="5">
        <f>Accuracy!F13</f>
        <v>-10</v>
      </c>
      <c r="D14" s="5">
        <f>'Resistor Network'!AB14</f>
        <v>0.75453094955611011</v>
      </c>
      <c r="E14" s="5">
        <f>'Resistor Network'!AC14</f>
        <v>0.74105449447597327</v>
      </c>
      <c r="F14" s="5">
        <f>'Resistor Network'!AD14</f>
        <v>0.76709699915307816</v>
      </c>
      <c r="G14" s="8"/>
      <c r="H14" s="8"/>
      <c r="J14">
        <f t="shared" si="2"/>
        <v>24724</v>
      </c>
      <c r="K14">
        <f t="shared" si="3"/>
        <v>24283</v>
      </c>
      <c r="L14">
        <f t="shared" si="4"/>
        <v>25136</v>
      </c>
      <c r="N14" s="4">
        <f t="shared" si="5"/>
        <v>0.7545166015625</v>
      </c>
      <c r="O14" s="4">
        <f t="shared" si="6"/>
        <v>0.741058349609375</v>
      </c>
      <c r="P14" s="4">
        <f t="shared" si="7"/>
        <v>0.76708984375</v>
      </c>
      <c r="Q14" s="4"/>
      <c r="R14" s="4">
        <f t="shared" ca="1" si="8"/>
        <v>0.72971772854062922</v>
      </c>
      <c r="S14" s="4">
        <f t="shared" ca="1" si="9"/>
        <v>0.72584910491471877</v>
      </c>
      <c r="T14" s="4">
        <f t="shared" ca="1" si="10"/>
        <v>0.73352700184711839</v>
      </c>
      <c r="V14" s="4">
        <f t="shared" ca="1" si="11"/>
        <v>0.72971772854062922</v>
      </c>
      <c r="W14" s="4">
        <f t="shared" ca="1" si="12"/>
        <v>0.72584910491471877</v>
      </c>
      <c r="X14" s="4">
        <f t="shared" ca="1" si="13"/>
        <v>0.73352700184711839</v>
      </c>
      <c r="Z14">
        <f t="shared" ca="1" si="14"/>
        <v>2653.6759216342116</v>
      </c>
      <c r="AA14">
        <f t="shared" ca="1" si="15"/>
        <v>2667.2631844850093</v>
      </c>
      <c r="AB14">
        <f t="shared" ca="1" si="16"/>
        <v>2640.266528657155</v>
      </c>
      <c r="AC14" s="4"/>
      <c r="AD14" s="3">
        <f t="shared" ca="1" si="17"/>
        <v>-7.8</v>
      </c>
      <c r="AE14" s="3">
        <f t="shared" ca="1" si="18"/>
        <v>-6.4</v>
      </c>
      <c r="AF14" s="3">
        <f t="shared" ca="1" si="19"/>
        <v>-9.1</v>
      </c>
      <c r="AG14" s="1"/>
      <c r="AH14" s="3">
        <f t="shared" ca="1" si="20"/>
        <v>2.2000000000000002</v>
      </c>
      <c r="AI14" s="3">
        <f t="shared" ca="1" si="21"/>
        <v>3.5999999999999996</v>
      </c>
      <c r="AJ14" s="3">
        <f t="shared" ca="1" si="22"/>
        <v>0.90000000000000036</v>
      </c>
      <c r="AK14" s="4">
        <f t="shared" ca="1" si="23"/>
        <v>0.90000000000000036</v>
      </c>
      <c r="AL14" s="4">
        <f t="shared" ca="1" si="24"/>
        <v>3.5999999999999996</v>
      </c>
      <c r="AN14" s="4">
        <f t="shared" ca="1" si="25"/>
        <v>7.5000000000000009</v>
      </c>
      <c r="AO14" s="4">
        <f t="shared" ca="1" si="26"/>
        <v>7.7999999999999989</v>
      </c>
      <c r="AP14" s="4">
        <f t="shared" ca="1" si="27"/>
        <v>7.1</v>
      </c>
      <c r="AQ14" s="4"/>
      <c r="AR14" s="3">
        <f t="shared" ca="1" si="28"/>
        <v>17.5</v>
      </c>
      <c r="AS14" s="3">
        <f t="shared" ca="1" si="0"/>
        <v>17.799999999999997</v>
      </c>
      <c r="AT14" s="3">
        <f t="shared" ca="1" si="1"/>
        <v>17.100000000000001</v>
      </c>
      <c r="AU14" s="4">
        <f t="shared" ca="1" si="29"/>
        <v>17.100000000000001</v>
      </c>
      <c r="AV14" s="4">
        <f t="shared" ca="1" si="30"/>
        <v>17.799999999999997</v>
      </c>
      <c r="AW14" s="4"/>
      <c r="AX14" s="4"/>
    </row>
    <row r="15" spans="2:50" x14ac:dyDescent="0.2">
      <c r="C15" s="5">
        <f>Accuracy!F14</f>
        <v>-5</v>
      </c>
      <c r="D15" s="5">
        <f>'Resistor Network'!AB15</f>
        <v>0.70162613755035064</v>
      </c>
      <c r="E15" s="5">
        <f>'Resistor Network'!AC15</f>
        <v>0.68702841424554206</v>
      </c>
      <c r="F15" s="5">
        <f>'Resistor Network'!AD15</f>
        <v>0.71533552135128498</v>
      </c>
      <c r="G15" s="8"/>
      <c r="H15" s="8"/>
      <c r="J15">
        <f t="shared" si="2"/>
        <v>22991</v>
      </c>
      <c r="K15">
        <f t="shared" si="3"/>
        <v>22513</v>
      </c>
      <c r="L15">
        <f t="shared" si="4"/>
        <v>23440</v>
      </c>
      <c r="N15" s="4">
        <f t="shared" si="5"/>
        <v>0.701629638671875</v>
      </c>
      <c r="O15" s="4">
        <f t="shared" si="6"/>
        <v>0.687042236328125</v>
      </c>
      <c r="P15" s="4">
        <f t="shared" si="7"/>
        <v>0.71533203125</v>
      </c>
      <c r="Q15" s="4"/>
      <c r="R15" s="4">
        <f t="shared" ca="1" si="8"/>
        <v>0.71557795775068334</v>
      </c>
      <c r="S15" s="4">
        <f t="shared" ca="1" si="9"/>
        <v>0.71211399793344055</v>
      </c>
      <c r="T15" s="4">
        <f t="shared" ca="1" si="10"/>
        <v>0.71898516679812785</v>
      </c>
      <c r="V15" s="4">
        <f t="shared" ca="1" si="11"/>
        <v>0.71557795775068334</v>
      </c>
      <c r="W15" s="4">
        <f t="shared" ca="1" si="12"/>
        <v>0.71211399793344055</v>
      </c>
      <c r="X15" s="4">
        <f t="shared" ca="1" si="13"/>
        <v>0.71898516679812785</v>
      </c>
      <c r="Z15">
        <f t="shared" ca="1" si="14"/>
        <v>2703.1977546748876</v>
      </c>
      <c r="AA15">
        <f t="shared" ca="1" si="15"/>
        <v>2715.2750454871821</v>
      </c>
      <c r="AB15">
        <f t="shared" ca="1" si="16"/>
        <v>2691.2985753164548</v>
      </c>
      <c r="AC15" s="4"/>
      <c r="AD15" s="3">
        <f t="shared" ca="1" si="17"/>
        <v>-2.8</v>
      </c>
      <c r="AE15" s="3">
        <f t="shared" ca="1" si="18"/>
        <v>-1.6</v>
      </c>
      <c r="AF15" s="3">
        <f t="shared" ca="1" si="19"/>
        <v>-4</v>
      </c>
      <c r="AG15" s="1"/>
      <c r="AH15" s="3">
        <f t="shared" ca="1" si="20"/>
        <v>2.2000000000000002</v>
      </c>
      <c r="AI15" s="3">
        <f t="shared" ca="1" si="21"/>
        <v>3.4</v>
      </c>
      <c r="AJ15" s="3">
        <f t="shared" ca="1" si="22"/>
        <v>1</v>
      </c>
      <c r="AK15" s="4">
        <f t="shared" ca="1" si="23"/>
        <v>1</v>
      </c>
      <c r="AL15" s="4">
        <f t="shared" ca="1" si="24"/>
        <v>3.4</v>
      </c>
      <c r="AN15" s="4">
        <f t="shared" ca="1" si="25"/>
        <v>12.5</v>
      </c>
      <c r="AO15" s="4">
        <f t="shared" ca="1" si="26"/>
        <v>12.6</v>
      </c>
      <c r="AP15" s="4">
        <f t="shared" ca="1" si="27"/>
        <v>12.2</v>
      </c>
      <c r="AQ15" s="4"/>
      <c r="AR15" s="3">
        <f t="shared" ca="1" si="28"/>
        <v>17.5</v>
      </c>
      <c r="AS15" s="3">
        <f t="shared" ca="1" si="0"/>
        <v>17.600000000000001</v>
      </c>
      <c r="AT15" s="3">
        <f t="shared" ca="1" si="1"/>
        <v>17.2</v>
      </c>
      <c r="AU15" s="4">
        <f t="shared" ca="1" si="29"/>
        <v>17.2</v>
      </c>
      <c r="AV15" s="4">
        <f t="shared" ca="1" si="30"/>
        <v>17.600000000000001</v>
      </c>
      <c r="AW15" s="4"/>
      <c r="AX15" s="4"/>
    </row>
    <row r="16" spans="2:50" x14ac:dyDescent="0.2">
      <c r="C16" s="5">
        <f>Accuracy!F15</f>
        <v>0</v>
      </c>
      <c r="D16" s="5">
        <f>'Resistor Network'!AB16</f>
        <v>0.64461994076999007</v>
      </c>
      <c r="E16" s="5">
        <f>'Resistor Network'!AC16</f>
        <v>0.62931487005022357</v>
      </c>
      <c r="F16" s="5">
        <f>'Resistor Network'!AD16</f>
        <v>0.65909511476105231</v>
      </c>
      <c r="G16" s="8"/>
      <c r="H16" s="8"/>
      <c r="J16">
        <f t="shared" si="2"/>
        <v>21123</v>
      </c>
      <c r="K16">
        <f t="shared" si="3"/>
        <v>20621</v>
      </c>
      <c r="L16">
        <f t="shared" si="4"/>
        <v>21597</v>
      </c>
      <c r="N16" s="4">
        <f t="shared" si="5"/>
        <v>0.644622802734375</v>
      </c>
      <c r="O16" s="4">
        <f t="shared" si="6"/>
        <v>0.629302978515625</v>
      </c>
      <c r="P16" s="4">
        <f t="shared" si="7"/>
        <v>0.659088134765625</v>
      </c>
      <c r="Q16" s="4"/>
      <c r="R16" s="4">
        <f t="shared" ca="1" si="8"/>
        <v>0.7028071245683345</v>
      </c>
      <c r="S16" s="4">
        <f t="shared" ca="1" si="9"/>
        <v>0.69965854558726037</v>
      </c>
      <c r="T16" s="4">
        <f t="shared" ca="1" si="10"/>
        <v>0.70587123075356506</v>
      </c>
      <c r="V16" s="4">
        <f t="shared" ca="1" si="11"/>
        <v>0.7028071245683345</v>
      </c>
      <c r="W16" s="4">
        <f t="shared" ca="1" si="12"/>
        <v>0.69965854558726037</v>
      </c>
      <c r="X16" s="4">
        <f t="shared" ca="1" si="13"/>
        <v>0.70587123075356506</v>
      </c>
      <c r="Z16">
        <f t="shared" ca="1" si="14"/>
        <v>2747.6328458539497</v>
      </c>
      <c r="AA16">
        <f t="shared" ca="1" si="15"/>
        <v>2758.5526101573414</v>
      </c>
      <c r="AB16">
        <f t="shared" ca="1" si="16"/>
        <v>2736.9934565776753</v>
      </c>
      <c r="AC16" s="4"/>
      <c r="AD16" s="3">
        <f t="shared" ca="1" si="17"/>
        <v>1.6</v>
      </c>
      <c r="AE16" s="3">
        <f t="shared" ca="1" si="18"/>
        <v>2.7</v>
      </c>
      <c r="AF16" s="3">
        <f t="shared" ca="1" si="19"/>
        <v>0.5</v>
      </c>
      <c r="AG16" s="1"/>
      <c r="AH16" s="3">
        <f t="shared" ca="1" si="20"/>
        <v>1.6</v>
      </c>
      <c r="AI16" s="3">
        <f t="shared" ca="1" si="21"/>
        <v>2.7</v>
      </c>
      <c r="AJ16" s="3">
        <f t="shared" ca="1" si="22"/>
        <v>0.5</v>
      </c>
      <c r="AK16" s="4">
        <f t="shared" ca="1" si="23"/>
        <v>0.5</v>
      </c>
      <c r="AL16" s="4">
        <f t="shared" ca="1" si="24"/>
        <v>2.7</v>
      </c>
      <c r="AN16" s="4">
        <f t="shared" ca="1" si="25"/>
        <v>16.900000000000002</v>
      </c>
      <c r="AO16" s="4">
        <f t="shared" ca="1" si="26"/>
        <v>16.899999999999999</v>
      </c>
      <c r="AP16" s="4">
        <f t="shared" ca="1" si="27"/>
        <v>16.7</v>
      </c>
      <c r="AQ16" s="4"/>
      <c r="AR16" s="3">
        <f t="shared" ca="1" si="28"/>
        <v>16.900000000000002</v>
      </c>
      <c r="AS16" s="3">
        <f t="shared" ca="1" si="0"/>
        <v>16.899999999999999</v>
      </c>
      <c r="AT16" s="3">
        <f t="shared" ca="1" si="1"/>
        <v>16.7</v>
      </c>
      <c r="AU16" s="4">
        <f t="shared" ca="1" si="29"/>
        <v>16.7</v>
      </c>
      <c r="AV16" s="4">
        <f t="shared" ca="1" si="30"/>
        <v>16.899999999999999</v>
      </c>
      <c r="AW16" s="4"/>
      <c r="AX16" s="4"/>
    </row>
    <row r="17" spans="3:50" x14ac:dyDescent="0.2">
      <c r="C17" s="5">
        <f>Accuracy!F16</f>
        <v>5</v>
      </c>
      <c r="D17" s="5">
        <f>'Resistor Network'!AB17</f>
        <v>0.58517699115044253</v>
      </c>
      <c r="E17" s="5">
        <f>'Resistor Network'!AC17</f>
        <v>0.56963990787278407</v>
      </c>
      <c r="F17" s="5">
        <f>'Resistor Network'!AD17</f>
        <v>0.5999698651312465</v>
      </c>
      <c r="G17" s="8"/>
      <c r="H17" s="8"/>
      <c r="J17">
        <f t="shared" si="2"/>
        <v>19175</v>
      </c>
      <c r="K17">
        <f t="shared" si="3"/>
        <v>18666</v>
      </c>
      <c r="L17">
        <f t="shared" si="4"/>
        <v>19660</v>
      </c>
      <c r="N17" s="4">
        <f t="shared" si="5"/>
        <v>0.585174560546875</v>
      </c>
      <c r="O17" s="4">
        <f t="shared" si="6"/>
        <v>0.56964111328125</v>
      </c>
      <c r="P17" s="4">
        <f t="shared" si="7"/>
        <v>0.5999755859375</v>
      </c>
      <c r="Q17" s="4"/>
      <c r="R17" s="4">
        <f t="shared" ca="1" si="8"/>
        <v>0.6909547987516772</v>
      </c>
      <c r="S17" s="4">
        <f t="shared" ca="1" si="9"/>
        <v>0.68795524408047293</v>
      </c>
      <c r="T17" s="4">
        <f t="shared" ca="1" si="10"/>
        <v>0.69383197327293544</v>
      </c>
      <c r="V17" s="4">
        <f t="shared" ca="1" si="11"/>
        <v>0.6909547987516772</v>
      </c>
      <c r="W17" s="4">
        <f t="shared" ca="1" si="12"/>
        <v>0.68795524408047293</v>
      </c>
      <c r="X17" s="4">
        <f t="shared" ca="1" si="13"/>
        <v>0.69383197327293544</v>
      </c>
      <c r="Z17">
        <f t="shared" ca="1" si="14"/>
        <v>2788.677659762393</v>
      </c>
      <c r="AA17">
        <f t="shared" ca="1" si="15"/>
        <v>2799.0413489975758</v>
      </c>
      <c r="AB17">
        <f t="shared" ca="1" si="16"/>
        <v>2778.728483749519</v>
      </c>
      <c r="AC17" s="4"/>
      <c r="AD17" s="3">
        <f t="shared" ca="1" si="17"/>
        <v>5.7</v>
      </c>
      <c r="AE17" s="3">
        <f t="shared" ca="1" si="18"/>
        <v>6.8</v>
      </c>
      <c r="AF17" s="3">
        <f t="shared" ca="1" si="19"/>
        <v>4.7</v>
      </c>
      <c r="AG17" s="1"/>
      <c r="AH17" s="3">
        <f t="shared" ca="1" si="20"/>
        <v>0.70000000000000018</v>
      </c>
      <c r="AI17" s="3">
        <f t="shared" ca="1" si="21"/>
        <v>1.7999999999999998</v>
      </c>
      <c r="AJ17" s="3">
        <f t="shared" ca="1" si="22"/>
        <v>-0.29999999999999982</v>
      </c>
      <c r="AK17" s="4">
        <f t="shared" ca="1" si="23"/>
        <v>-0.29999999999999982</v>
      </c>
      <c r="AL17" s="4">
        <f t="shared" ca="1" si="24"/>
        <v>1.7999999999999998</v>
      </c>
      <c r="AN17" s="4">
        <f t="shared" ca="1" si="25"/>
        <v>21</v>
      </c>
      <c r="AO17" s="4">
        <f t="shared" ca="1" si="26"/>
        <v>21</v>
      </c>
      <c r="AP17" s="4">
        <f t="shared" ca="1" si="27"/>
        <v>20.9</v>
      </c>
      <c r="AQ17" s="4"/>
      <c r="AR17" s="3">
        <f t="shared" ca="1" si="28"/>
        <v>16</v>
      </c>
      <c r="AS17" s="3">
        <f t="shared" ca="1" si="0"/>
        <v>16</v>
      </c>
      <c r="AT17" s="3">
        <f t="shared" ca="1" si="1"/>
        <v>15.899999999999999</v>
      </c>
      <c r="AU17" s="4">
        <f t="shared" ca="1" si="29"/>
        <v>15.899999999999999</v>
      </c>
      <c r="AV17" s="4">
        <f t="shared" ca="1" si="30"/>
        <v>16</v>
      </c>
      <c r="AW17" s="4"/>
      <c r="AX17" s="4"/>
    </row>
    <row r="18" spans="3:50" x14ac:dyDescent="0.2">
      <c r="C18" s="5">
        <f>Accuracy!F17</f>
        <v>10</v>
      </c>
      <c r="D18" s="5">
        <f>'Resistor Network'!AB18</f>
        <v>0.52507849397113537</v>
      </c>
      <c r="E18" s="5">
        <f>'Resistor Network'!AC18</f>
        <v>0.50978739927115257</v>
      </c>
      <c r="F18" s="5">
        <f>'Resistor Network'!AD18</f>
        <v>0.53972577264467836</v>
      </c>
      <c r="G18" s="8"/>
      <c r="H18" s="8"/>
      <c r="J18">
        <f>ROUND(D18*2^$K$2,0)</f>
        <v>17206</v>
      </c>
      <c r="K18">
        <f t="shared" si="3"/>
        <v>16705</v>
      </c>
      <c r="L18">
        <f t="shared" si="4"/>
        <v>17686</v>
      </c>
      <c r="N18" s="4">
        <f t="shared" si="5"/>
        <v>0.52508544921875</v>
      </c>
      <c r="O18" s="4">
        <f t="shared" si="6"/>
        <v>0.509796142578125</v>
      </c>
      <c r="P18" s="4">
        <f t="shared" si="7"/>
        <v>0.53973388671875</v>
      </c>
      <c r="Q18" s="4"/>
      <c r="R18" s="4">
        <f t="shared" ca="1" si="8"/>
        <v>0.67928960872688304</v>
      </c>
      <c r="S18" s="4">
        <f t="shared" ca="1" si="9"/>
        <v>0.67623678890212291</v>
      </c>
      <c r="T18" s="4">
        <f t="shared" ca="1" si="10"/>
        <v>0.6821656728638773</v>
      </c>
      <c r="V18" s="4">
        <f t="shared" ca="1" si="11"/>
        <v>0.67928960872688304</v>
      </c>
      <c r="W18" s="4">
        <f t="shared" ca="1" si="12"/>
        <v>0.67623678890212291</v>
      </c>
      <c r="X18" s="4">
        <f t="shared" ca="1" si="13"/>
        <v>0.6821656728638773</v>
      </c>
      <c r="Z18">
        <f t="shared" ca="1" si="14"/>
        <v>2828.9390324705982</v>
      </c>
      <c r="AA18">
        <f t="shared" ca="1" si="15"/>
        <v>2839.4590755425916</v>
      </c>
      <c r="AB18">
        <f t="shared" ca="1" si="16"/>
        <v>2819.0225440143799</v>
      </c>
      <c r="AC18" s="4"/>
      <c r="AD18" s="3">
        <f t="shared" ca="1" si="17"/>
        <v>9.6999999999999993</v>
      </c>
      <c r="AE18" s="3">
        <f t="shared" ca="1" si="18"/>
        <v>10.8</v>
      </c>
      <c r="AF18" s="3">
        <f t="shared" ca="1" si="19"/>
        <v>8.8000000000000007</v>
      </c>
      <c r="AG18" s="1"/>
      <c r="AH18" s="3">
        <f t="shared" ca="1" si="20"/>
        <v>-0.30000000000000071</v>
      </c>
      <c r="AI18" s="3">
        <f t="shared" ca="1" si="21"/>
        <v>0.80000000000000071</v>
      </c>
      <c r="AJ18" s="3">
        <f t="shared" ca="1" si="22"/>
        <v>-1.1999999999999993</v>
      </c>
      <c r="AK18" s="4">
        <f t="shared" ca="1" si="23"/>
        <v>-1.1999999999999993</v>
      </c>
      <c r="AL18" s="4">
        <f t="shared" ca="1" si="24"/>
        <v>0.80000000000000071</v>
      </c>
      <c r="AN18" s="4">
        <f t="shared" ca="1" si="25"/>
        <v>25</v>
      </c>
      <c r="AO18" s="4">
        <f t="shared" ca="1" si="26"/>
        <v>25</v>
      </c>
      <c r="AP18" s="4">
        <f t="shared" ca="1" si="27"/>
        <v>25</v>
      </c>
      <c r="AQ18" s="4"/>
      <c r="AR18" s="3">
        <f t="shared" ca="1" si="28"/>
        <v>15</v>
      </c>
      <c r="AS18" s="3">
        <f t="shared" ca="1" si="0"/>
        <v>15</v>
      </c>
      <c r="AT18" s="3">
        <f t="shared" ca="1" si="1"/>
        <v>15</v>
      </c>
      <c r="AU18" s="4">
        <f t="shared" ca="1" si="29"/>
        <v>15</v>
      </c>
      <c r="AV18" s="4">
        <f t="shared" ca="1" si="30"/>
        <v>15</v>
      </c>
      <c r="AW18" s="4"/>
      <c r="AX18" s="4"/>
    </row>
    <row r="19" spans="3:50" x14ac:dyDescent="0.2">
      <c r="C19" s="5">
        <f>Accuracy!F18</f>
        <v>15</v>
      </c>
      <c r="D19" s="5">
        <f>'Resistor Network'!AB19</f>
        <v>0.46606549596582819</v>
      </c>
      <c r="E19" s="5">
        <f>'Resistor Network'!AC19</f>
        <v>0.45027637678153409</v>
      </c>
      <c r="F19" s="5">
        <f>'Resistor Network'!AD19</f>
        <v>0.48132293069203547</v>
      </c>
      <c r="G19" s="8"/>
      <c r="H19" s="8"/>
      <c r="J19">
        <f t="shared" si="2"/>
        <v>15272</v>
      </c>
      <c r="K19">
        <f t="shared" si="3"/>
        <v>14755</v>
      </c>
      <c r="L19">
        <f t="shared" si="4"/>
        <v>15772</v>
      </c>
      <c r="N19" s="4">
        <f t="shared" si="5"/>
        <v>0.466064453125</v>
      </c>
      <c r="O19" s="4">
        <f t="shared" si="6"/>
        <v>0.450286865234375</v>
      </c>
      <c r="P19" s="4">
        <f t="shared" si="7"/>
        <v>0.4813232421875</v>
      </c>
      <c r="Q19" s="4"/>
      <c r="R19" s="4">
        <f t="shared" ca="1" si="8"/>
        <v>0.66706745217975505</v>
      </c>
      <c r="S19" s="4">
        <f t="shared" ca="1" si="9"/>
        <v>0.66354688067820866</v>
      </c>
      <c r="T19" s="4">
        <f t="shared" ca="1" si="10"/>
        <v>0.67035507104086811</v>
      </c>
      <c r="V19" s="4">
        <f t="shared" ca="1" si="11"/>
        <v>0.66706745217975505</v>
      </c>
      <c r="W19" s="4">
        <f t="shared" ca="1" si="12"/>
        <v>0.66354688067820866</v>
      </c>
      <c r="X19" s="4">
        <f t="shared" ca="1" si="13"/>
        <v>0.67035507104086811</v>
      </c>
      <c r="Z19">
        <f t="shared" ca="1" si="14"/>
        <v>2871.0282806987875</v>
      </c>
      <c r="AA19">
        <f t="shared" ca="1" si="15"/>
        <v>2883.1413144129365</v>
      </c>
      <c r="AB19">
        <f t="shared" ca="1" si="16"/>
        <v>2859.7133830260873</v>
      </c>
      <c r="AC19" s="4"/>
      <c r="AD19" s="3">
        <f t="shared" ca="1" si="17"/>
        <v>14</v>
      </c>
      <c r="AE19" s="3">
        <f t="shared" ca="1" si="18"/>
        <v>15.2</v>
      </c>
      <c r="AF19" s="3">
        <f t="shared" ca="1" si="19"/>
        <v>12.8</v>
      </c>
      <c r="AG19" s="1"/>
      <c r="AH19" s="3">
        <f t="shared" ca="1" si="20"/>
        <v>-1</v>
      </c>
      <c r="AI19" s="3">
        <f t="shared" ca="1" si="21"/>
        <v>0.19999999999999929</v>
      </c>
      <c r="AJ19" s="3">
        <f t="shared" ca="1" si="22"/>
        <v>-2.1999999999999993</v>
      </c>
      <c r="AK19" s="4">
        <f t="shared" ca="1" si="23"/>
        <v>-2.1999999999999993</v>
      </c>
      <c r="AL19" s="4">
        <f t="shared" ca="1" si="24"/>
        <v>0.19999999999999929</v>
      </c>
      <c r="AN19" s="4">
        <f t="shared" ca="1" si="25"/>
        <v>29.3</v>
      </c>
      <c r="AO19" s="4">
        <f t="shared" ca="1" si="26"/>
        <v>29.4</v>
      </c>
      <c r="AP19" s="4">
        <f t="shared" ca="1" si="27"/>
        <v>29</v>
      </c>
      <c r="AQ19" s="4"/>
      <c r="AR19" s="3">
        <f t="shared" ca="1" si="28"/>
        <v>14.3</v>
      </c>
      <c r="AS19" s="3">
        <f t="shared" ca="1" si="0"/>
        <v>14.399999999999999</v>
      </c>
      <c r="AT19" s="3">
        <f t="shared" ca="1" si="1"/>
        <v>14</v>
      </c>
      <c r="AU19" s="4">
        <f t="shared" ca="1" si="29"/>
        <v>14</v>
      </c>
      <c r="AV19" s="4">
        <f t="shared" ca="1" si="30"/>
        <v>14.399999999999999</v>
      </c>
      <c r="AW19" s="4"/>
      <c r="AX19" s="4"/>
    </row>
    <row r="20" spans="3:50" x14ac:dyDescent="0.2">
      <c r="C20" s="5">
        <f>Accuracy!F19</f>
        <v>20</v>
      </c>
      <c r="D20" s="5">
        <f>'Resistor Network'!AB20</f>
        <v>0.40970058701997181</v>
      </c>
      <c r="E20" s="5">
        <f>'Resistor Network'!AC20</f>
        <v>0.39386299746972447</v>
      </c>
      <c r="F20" s="5">
        <f>'Resistor Network'!AD20</f>
        <v>0.4251403057308617</v>
      </c>
      <c r="G20" s="8"/>
      <c r="H20" s="8"/>
      <c r="J20">
        <f t="shared" si="2"/>
        <v>13425</v>
      </c>
      <c r="K20">
        <f t="shared" si="3"/>
        <v>12906</v>
      </c>
      <c r="L20">
        <f t="shared" si="4"/>
        <v>13931</v>
      </c>
      <c r="N20" s="4">
        <f t="shared" si="5"/>
        <v>0.409698486328125</v>
      </c>
      <c r="O20" s="4">
        <f t="shared" si="6"/>
        <v>0.39385986328125</v>
      </c>
      <c r="P20" s="4">
        <f t="shared" si="7"/>
        <v>0.425140380859375</v>
      </c>
      <c r="Q20" s="4"/>
      <c r="R20" s="4">
        <f t="shared" ca="1" si="8"/>
        <v>0.65380769402507322</v>
      </c>
      <c r="S20" s="4">
        <f t="shared" ca="1" si="9"/>
        <v>0.64969677740949161</v>
      </c>
      <c r="T20" s="4">
        <f t="shared" ca="1" si="10"/>
        <v>0.65763976999209528</v>
      </c>
      <c r="V20" s="4">
        <f t="shared" ca="1" si="11"/>
        <v>0.65380769402507322</v>
      </c>
      <c r="W20" s="4">
        <f t="shared" ca="1" si="12"/>
        <v>0.64969677740949161</v>
      </c>
      <c r="X20" s="4">
        <f t="shared" ca="1" si="13"/>
        <v>0.65763976999209528</v>
      </c>
      <c r="Z20">
        <f t="shared" ca="1" si="14"/>
        <v>2916.6411053790598</v>
      </c>
      <c r="AA20">
        <f t="shared" ca="1" si="15"/>
        <v>2930.7819988532256</v>
      </c>
      <c r="AB20">
        <f t="shared" ca="1" si="16"/>
        <v>2903.4605611117731</v>
      </c>
      <c r="AC20" s="4"/>
      <c r="AD20" s="3">
        <f t="shared" ca="1" si="17"/>
        <v>18.5</v>
      </c>
      <c r="AE20" s="3">
        <f t="shared" ca="1" si="18"/>
        <v>19.899999999999999</v>
      </c>
      <c r="AF20" s="3">
        <f t="shared" ca="1" si="19"/>
        <v>17.2</v>
      </c>
      <c r="AG20" s="1"/>
      <c r="AH20" s="3">
        <f t="shared" ca="1" si="20"/>
        <v>-1.5</v>
      </c>
      <c r="AI20" s="3">
        <f t="shared" ca="1" si="21"/>
        <v>-0.10000000000000142</v>
      </c>
      <c r="AJ20" s="3">
        <f t="shared" ca="1" si="22"/>
        <v>-2.8000000000000007</v>
      </c>
      <c r="AK20" s="4">
        <f t="shared" ca="1" si="23"/>
        <v>-2.8000000000000007</v>
      </c>
      <c r="AL20" s="4">
        <f t="shared" ca="1" si="24"/>
        <v>-0.10000000000000142</v>
      </c>
      <c r="AN20" s="4">
        <f t="shared" ca="1" si="25"/>
        <v>33.799999999999997</v>
      </c>
      <c r="AO20" s="4">
        <f t="shared" ca="1" si="26"/>
        <v>34.099999999999994</v>
      </c>
      <c r="AP20" s="4">
        <f t="shared" ca="1" si="27"/>
        <v>33.4</v>
      </c>
      <c r="AQ20" s="4"/>
      <c r="AR20" s="3">
        <f t="shared" ca="1" si="28"/>
        <v>13.799999999999997</v>
      </c>
      <c r="AS20" s="3">
        <f t="shared" ca="1" si="0"/>
        <v>14.099999999999994</v>
      </c>
      <c r="AT20" s="3">
        <f t="shared" ca="1" si="1"/>
        <v>13.399999999999999</v>
      </c>
      <c r="AU20" s="4">
        <f t="shared" ca="1" si="29"/>
        <v>13.399999999999999</v>
      </c>
      <c r="AV20" s="4">
        <f t="shared" ca="1" si="30"/>
        <v>14.099999999999994</v>
      </c>
      <c r="AW20" s="4"/>
      <c r="AX20" s="4"/>
    </row>
    <row r="21" spans="3:50" x14ac:dyDescent="0.2">
      <c r="C21" s="5">
        <f>Accuracy!F20</f>
        <v>25</v>
      </c>
      <c r="D21" s="5">
        <f>'Resistor Network'!AB21</f>
        <v>0.35714285714285715</v>
      </c>
      <c r="E21" s="5">
        <f>'Resistor Network'!AC21</f>
        <v>0.3416584897530951</v>
      </c>
      <c r="F21" s="5">
        <f>'Resistor Network'!AD21</f>
        <v>0.3723696544012623</v>
      </c>
      <c r="G21" s="8"/>
      <c r="H21" s="8"/>
      <c r="J21">
        <f t="shared" si="2"/>
        <v>11703</v>
      </c>
      <c r="K21">
        <f t="shared" si="3"/>
        <v>11195</v>
      </c>
      <c r="L21">
        <f t="shared" si="4"/>
        <v>12202</v>
      </c>
      <c r="N21" s="4">
        <f t="shared" si="5"/>
        <v>0.357147216796875</v>
      </c>
      <c r="O21" s="4">
        <f t="shared" si="6"/>
        <v>0.341644287109375</v>
      </c>
      <c r="P21" s="4">
        <f t="shared" si="7"/>
        <v>0.37237548828125</v>
      </c>
      <c r="Q21" s="4"/>
      <c r="R21" s="4">
        <f t="shared" ca="1" si="8"/>
        <v>0.63938199355803005</v>
      </c>
      <c r="S21" s="4">
        <f t="shared" ca="1" si="9"/>
        <v>0.63466259381727541</v>
      </c>
      <c r="T21" s="4">
        <f t="shared" ca="1" si="10"/>
        <v>0.64380141856680406</v>
      </c>
      <c r="V21" s="4">
        <f t="shared" ca="1" si="11"/>
        <v>0.63938199355803005</v>
      </c>
      <c r="W21" s="4">
        <f t="shared" ca="1" si="12"/>
        <v>0.63466259381727541</v>
      </c>
      <c r="X21" s="4">
        <f t="shared" ca="1" si="13"/>
        <v>0.64380141856680406</v>
      </c>
      <c r="Z21">
        <f t="shared" ca="1" si="14"/>
        <v>2966.2819023596185</v>
      </c>
      <c r="AA21">
        <f t="shared" ca="1" si="15"/>
        <v>2982.539816925213</v>
      </c>
      <c r="AB21">
        <f t="shared" ca="1" si="16"/>
        <v>2951.0672615386866</v>
      </c>
      <c r="AC21" s="4"/>
      <c r="AD21" s="3">
        <f t="shared" ca="1" si="17"/>
        <v>23.5</v>
      </c>
      <c r="AE21" s="3">
        <f t="shared" ca="1" si="18"/>
        <v>25.1</v>
      </c>
      <c r="AF21" s="3">
        <f t="shared" ca="1" si="19"/>
        <v>22</v>
      </c>
      <c r="AG21" s="1"/>
      <c r="AH21" s="3">
        <f t="shared" ca="1" si="20"/>
        <v>-1.5</v>
      </c>
      <c r="AI21" s="3">
        <f t="shared" ca="1" si="21"/>
        <v>0.10000000000000142</v>
      </c>
      <c r="AJ21" s="3">
        <f t="shared" ca="1" si="22"/>
        <v>-3</v>
      </c>
      <c r="AK21" s="4">
        <f t="shared" ca="1" si="23"/>
        <v>-3</v>
      </c>
      <c r="AL21" s="4">
        <f t="shared" ca="1" si="24"/>
        <v>0.10000000000000142</v>
      </c>
      <c r="AN21" s="4">
        <f t="shared" ca="1" si="25"/>
        <v>38.799999999999997</v>
      </c>
      <c r="AO21" s="4">
        <f t="shared" ca="1" si="26"/>
        <v>39.299999999999997</v>
      </c>
      <c r="AP21" s="4">
        <f t="shared" ca="1" si="27"/>
        <v>38.200000000000003</v>
      </c>
      <c r="AQ21" s="4"/>
      <c r="AR21" s="3">
        <f t="shared" ca="1" si="28"/>
        <v>13.799999999999997</v>
      </c>
      <c r="AS21" s="3">
        <f t="shared" ca="1" si="0"/>
        <v>14.299999999999997</v>
      </c>
      <c r="AT21" s="3">
        <f t="shared" ca="1" si="1"/>
        <v>13.200000000000003</v>
      </c>
      <c r="AU21" s="4">
        <f t="shared" ca="1" si="29"/>
        <v>13.200000000000003</v>
      </c>
      <c r="AV21" s="4">
        <f t="shared" ca="1" si="30"/>
        <v>14.299999999999997</v>
      </c>
      <c r="AW21" s="4"/>
      <c r="AX21" s="4"/>
    </row>
    <row r="22" spans="3:50" x14ac:dyDescent="0.2">
      <c r="C22" s="5">
        <f>Accuracy!F21</f>
        <v>30</v>
      </c>
      <c r="D22" s="5">
        <f>'Resistor Network'!AB22</f>
        <v>0.30920673907203439</v>
      </c>
      <c r="E22" s="5">
        <f>'Resistor Network'!AC22</f>
        <v>0.29439848908108834</v>
      </c>
      <c r="F22" s="5">
        <f>'Resistor Network'!AD22</f>
        <v>0.32389090674761262</v>
      </c>
      <c r="G22" s="8"/>
      <c r="H22" s="8"/>
      <c r="J22">
        <f t="shared" si="2"/>
        <v>10132</v>
      </c>
      <c r="K22">
        <f t="shared" si="3"/>
        <v>9647</v>
      </c>
      <c r="L22">
        <f t="shared" si="4"/>
        <v>10613</v>
      </c>
      <c r="N22" s="4">
        <f t="shared" si="5"/>
        <v>0.3092041015625</v>
      </c>
      <c r="O22" s="4">
        <f t="shared" si="6"/>
        <v>0.294403076171875</v>
      </c>
      <c r="P22" s="4">
        <f t="shared" si="7"/>
        <v>0.323883056640625</v>
      </c>
      <c r="Q22" s="4"/>
      <c r="R22" s="4">
        <f t="shared" ca="1" si="8"/>
        <v>0.62400940480716938</v>
      </c>
      <c r="S22" s="4">
        <f t="shared" ca="1" si="9"/>
        <v>0.61877276536834314</v>
      </c>
      <c r="T22" s="4">
        <f t="shared" ca="1" si="10"/>
        <v>0.62896545189051001</v>
      </c>
      <c r="V22" s="4">
        <f t="shared" ca="1" si="11"/>
        <v>0.62400940480716938</v>
      </c>
      <c r="W22" s="4">
        <f t="shared" ca="1" si="12"/>
        <v>0.61877276536834314</v>
      </c>
      <c r="X22" s="4">
        <f t="shared" ca="1" si="13"/>
        <v>0.62896545189051001</v>
      </c>
      <c r="Z22">
        <f t="shared" ca="1" si="14"/>
        <v>3019.29462057005</v>
      </c>
      <c r="AA22">
        <f t="shared" ca="1" si="15"/>
        <v>3037.3980284941845</v>
      </c>
      <c r="AB22">
        <f t="shared" ca="1" si="16"/>
        <v>3002.1846829647639</v>
      </c>
      <c r="AC22" s="4"/>
      <c r="AD22" s="3">
        <f t="shared" ca="1" si="17"/>
        <v>28.8</v>
      </c>
      <c r="AE22" s="3">
        <f t="shared" ca="1" si="18"/>
        <v>30.6</v>
      </c>
      <c r="AF22" s="3">
        <f t="shared" ca="1" si="19"/>
        <v>27.1</v>
      </c>
      <c r="AG22" s="1"/>
      <c r="AH22" s="3">
        <f t="shared" ca="1" si="20"/>
        <v>-1.1999999999999993</v>
      </c>
      <c r="AI22" s="3">
        <f t="shared" ca="1" si="21"/>
        <v>0.60000000000000142</v>
      </c>
      <c r="AJ22" s="3">
        <f t="shared" ca="1" si="22"/>
        <v>-2.8999999999999986</v>
      </c>
      <c r="AK22" s="4">
        <f t="shared" ca="1" si="23"/>
        <v>-2.8999999999999986</v>
      </c>
      <c r="AL22" s="4">
        <f t="shared" ca="1" si="24"/>
        <v>0.60000000000000142</v>
      </c>
      <c r="AN22" s="4">
        <f t="shared" ca="1" si="25"/>
        <v>44.1</v>
      </c>
      <c r="AO22" s="4">
        <f t="shared" ca="1" si="26"/>
        <v>44.8</v>
      </c>
      <c r="AP22" s="4">
        <f t="shared" ca="1" si="27"/>
        <v>43.3</v>
      </c>
      <c r="AQ22" s="4"/>
      <c r="AR22" s="3">
        <f t="shared" ca="1" si="28"/>
        <v>14.100000000000001</v>
      </c>
      <c r="AS22" s="3">
        <f t="shared" ca="1" si="0"/>
        <v>14.799999999999997</v>
      </c>
      <c r="AT22" s="3">
        <f t="shared" ca="1" si="1"/>
        <v>13.299999999999997</v>
      </c>
      <c r="AU22" s="4">
        <f t="shared" ca="1" si="29"/>
        <v>13.299999999999997</v>
      </c>
      <c r="AV22" s="4">
        <f t="shared" ca="1" si="30"/>
        <v>14.799999999999997</v>
      </c>
      <c r="AW22" s="4"/>
      <c r="AX22" s="4"/>
    </row>
    <row r="23" spans="3:50" x14ac:dyDescent="0.2">
      <c r="C23" s="5">
        <f>Accuracy!F22</f>
        <v>35</v>
      </c>
      <c r="D23" s="5">
        <f>'Resistor Network'!AB23</f>
        <v>0.26623456035220738</v>
      </c>
      <c r="E23" s="5">
        <f>'Resistor Network'!AC23</f>
        <v>0.25233500671646225</v>
      </c>
      <c r="F23" s="5">
        <f>'Resistor Network'!AD23</f>
        <v>0.28012753397551898</v>
      </c>
      <c r="G23" s="8"/>
      <c r="H23" s="8"/>
      <c r="J23">
        <f t="shared" si="2"/>
        <v>8724</v>
      </c>
      <c r="K23">
        <f t="shared" si="3"/>
        <v>8269</v>
      </c>
      <c r="L23">
        <f t="shared" si="4"/>
        <v>9179</v>
      </c>
      <c r="N23" s="4">
        <f t="shared" si="5"/>
        <v>0.2662353515625</v>
      </c>
      <c r="O23" s="4">
        <f t="shared" si="6"/>
        <v>0.252349853515625</v>
      </c>
      <c r="P23" s="4">
        <f t="shared" si="7"/>
        <v>0.280120849609375</v>
      </c>
      <c r="Q23" s="4"/>
      <c r="R23" s="4">
        <f t="shared" ca="1" si="8"/>
        <v>0.60809820569106643</v>
      </c>
      <c r="S23" s="4">
        <f t="shared" ca="1" si="9"/>
        <v>0.60247079589349151</v>
      </c>
      <c r="T23" s="4">
        <f t="shared" ca="1" si="10"/>
        <v>0.61348032143582965</v>
      </c>
      <c r="V23" s="4">
        <f t="shared" ca="1" si="11"/>
        <v>0.60809820569106643</v>
      </c>
      <c r="W23" s="4">
        <f t="shared" ca="1" si="12"/>
        <v>0.60247079589349151</v>
      </c>
      <c r="X23" s="4">
        <f t="shared" ca="1" si="13"/>
        <v>0.61348032143582965</v>
      </c>
      <c r="Z23">
        <f t="shared" ca="1" si="14"/>
        <v>3074.3963695950833</v>
      </c>
      <c r="AA23">
        <f t="shared" ca="1" si="15"/>
        <v>3093.9622202213791</v>
      </c>
      <c r="AB23">
        <f t="shared" ca="1" si="16"/>
        <v>3055.7243226480887</v>
      </c>
      <c r="AC23" s="4"/>
      <c r="AD23" s="3">
        <f t="shared" ca="1" si="17"/>
        <v>34.299999999999997</v>
      </c>
      <c r="AE23" s="3">
        <f t="shared" ca="1" si="18"/>
        <v>36.200000000000003</v>
      </c>
      <c r="AF23" s="3">
        <f t="shared" ca="1" si="19"/>
        <v>32.4</v>
      </c>
      <c r="AG23" s="1"/>
      <c r="AH23" s="3">
        <f t="shared" ca="1" si="20"/>
        <v>-0.70000000000000284</v>
      </c>
      <c r="AI23" s="3">
        <f t="shared" ca="1" si="21"/>
        <v>1.2000000000000028</v>
      </c>
      <c r="AJ23" s="3">
        <f t="shared" ca="1" si="22"/>
        <v>-2.6000000000000014</v>
      </c>
      <c r="AK23" s="4">
        <f t="shared" ca="1" si="23"/>
        <v>-2.6000000000000014</v>
      </c>
      <c r="AL23" s="4">
        <f t="shared" ca="1" si="24"/>
        <v>1.2000000000000028</v>
      </c>
      <c r="AN23" s="4">
        <f t="shared" ca="1" si="25"/>
        <v>49.599999999999994</v>
      </c>
      <c r="AO23" s="4">
        <f t="shared" ca="1" si="26"/>
        <v>50.400000000000006</v>
      </c>
      <c r="AP23" s="4">
        <f t="shared" ca="1" si="27"/>
        <v>48.599999999999994</v>
      </c>
      <c r="AQ23" s="4"/>
      <c r="AR23" s="3">
        <f t="shared" ca="1" si="28"/>
        <v>14.599999999999994</v>
      </c>
      <c r="AS23" s="3">
        <f t="shared" ca="1" si="0"/>
        <v>15.400000000000006</v>
      </c>
      <c r="AT23" s="3">
        <f t="shared" ca="1" si="1"/>
        <v>13.599999999999994</v>
      </c>
      <c r="AU23" s="4">
        <f t="shared" ca="1" si="29"/>
        <v>13.599999999999994</v>
      </c>
      <c r="AV23" s="4">
        <f t="shared" ca="1" si="30"/>
        <v>15.400000000000006</v>
      </c>
      <c r="AW23" s="4"/>
      <c r="AX23" s="4"/>
    </row>
    <row r="24" spans="3:50" x14ac:dyDescent="0.2">
      <c r="C24" s="5">
        <f>Accuracy!F23</f>
        <v>40</v>
      </c>
      <c r="D24" s="5">
        <f>'Resistor Network'!AB24</f>
        <v>0.22832890336963046</v>
      </c>
      <c r="E24" s="5">
        <f>'Resistor Network'!AC24</f>
        <v>0.21548124712188857</v>
      </c>
      <c r="F24" s="5">
        <f>'Resistor Network'!AD24</f>
        <v>0.24126638808687442</v>
      </c>
      <c r="G24" s="8"/>
      <c r="H24" s="8"/>
      <c r="J24">
        <f t="shared" si="2"/>
        <v>7482</v>
      </c>
      <c r="K24">
        <f t="shared" si="3"/>
        <v>7061</v>
      </c>
      <c r="L24">
        <f t="shared" si="4"/>
        <v>7906</v>
      </c>
      <c r="N24" s="4">
        <f t="shared" si="5"/>
        <v>0.22833251953125</v>
      </c>
      <c r="O24" s="4">
        <f t="shared" si="6"/>
        <v>0.215484619140625</v>
      </c>
      <c r="P24" s="4">
        <f t="shared" si="7"/>
        <v>0.24127197265625</v>
      </c>
      <c r="Q24" s="4"/>
      <c r="R24" s="4">
        <f t="shared" ca="1" si="8"/>
        <v>0.59211784401850465</v>
      </c>
      <c r="S24" s="4">
        <f t="shared" ca="1" si="9"/>
        <v>0.58623253170163914</v>
      </c>
      <c r="T24" s="4">
        <f t="shared" ca="1" si="10"/>
        <v>0.59779646495146332</v>
      </c>
      <c r="V24" s="4">
        <f t="shared" ca="1" si="11"/>
        <v>0.59211784401850465</v>
      </c>
      <c r="W24" s="4">
        <f t="shared" ca="1" si="12"/>
        <v>0.58623253170163914</v>
      </c>
      <c r="X24" s="4">
        <f t="shared" ca="1" si="13"/>
        <v>0.59779646495146332</v>
      </c>
      <c r="Z24">
        <f t="shared" ca="1" si="14"/>
        <v>3130.0893660384363</v>
      </c>
      <c r="AA24">
        <f t="shared" ca="1" si="15"/>
        <v>3150.712147934029</v>
      </c>
      <c r="AB24">
        <f t="shared" ca="1" si="16"/>
        <v>3110.2511930732771</v>
      </c>
      <c r="AC24" s="4"/>
      <c r="AD24" s="3">
        <f t="shared" ca="1" si="17"/>
        <v>39.9</v>
      </c>
      <c r="AE24" s="3">
        <f t="shared" ca="1" si="18"/>
        <v>41.9</v>
      </c>
      <c r="AF24" s="3">
        <f t="shared" ca="1" si="19"/>
        <v>37.9</v>
      </c>
      <c r="AG24" s="1"/>
      <c r="AH24" s="3">
        <f t="shared" ca="1" si="20"/>
        <v>-0.10000000000000142</v>
      </c>
      <c r="AI24" s="3">
        <f t="shared" ca="1" si="21"/>
        <v>1.8999999999999986</v>
      </c>
      <c r="AJ24" s="3">
        <f t="shared" ca="1" si="22"/>
        <v>-2.1000000000000014</v>
      </c>
      <c r="AK24" s="4">
        <f t="shared" ca="1" si="23"/>
        <v>-2.1000000000000014</v>
      </c>
      <c r="AL24" s="4">
        <f t="shared" ca="1" si="24"/>
        <v>1.8999999999999986</v>
      </c>
      <c r="AN24" s="4">
        <f t="shared" ca="1" si="25"/>
        <v>55.2</v>
      </c>
      <c r="AO24" s="4">
        <f t="shared" ca="1" si="26"/>
        <v>56.099999999999994</v>
      </c>
      <c r="AP24" s="4">
        <f t="shared" ca="1" si="27"/>
        <v>54.099999999999994</v>
      </c>
      <c r="AQ24" s="4"/>
      <c r="AR24" s="3">
        <f t="shared" ca="1" si="28"/>
        <v>15.200000000000003</v>
      </c>
      <c r="AS24" s="3">
        <f t="shared" ca="1" si="0"/>
        <v>16.099999999999994</v>
      </c>
      <c r="AT24" s="3">
        <f t="shared" ca="1" si="1"/>
        <v>14.099999999999994</v>
      </c>
      <c r="AU24" s="4">
        <f t="shared" ca="1" si="29"/>
        <v>14.099999999999994</v>
      </c>
      <c r="AV24" s="4">
        <f t="shared" ca="1" si="30"/>
        <v>16.099999999999994</v>
      </c>
      <c r="AW24" s="4"/>
      <c r="AX24" s="4"/>
    </row>
    <row r="25" spans="3:50" x14ac:dyDescent="0.2">
      <c r="C25" s="5">
        <f>Accuracy!F24</f>
        <v>45</v>
      </c>
      <c r="D25" s="5">
        <f>'Resistor Network'!AB25</f>
        <v>0.19527896995708155</v>
      </c>
      <c r="E25" s="5">
        <f>'Resistor Network'!AC25</f>
        <v>0.18355056519215229</v>
      </c>
      <c r="F25" s="5">
        <f>'Resistor Network'!AD25</f>
        <v>0.2071712710740353</v>
      </c>
      <c r="G25" s="8"/>
      <c r="H25" s="8"/>
      <c r="J25">
        <f t="shared" si="2"/>
        <v>6399</v>
      </c>
      <c r="K25">
        <f t="shared" si="3"/>
        <v>6015</v>
      </c>
      <c r="L25">
        <f t="shared" si="4"/>
        <v>6789</v>
      </c>
      <c r="N25" s="4">
        <f t="shared" si="5"/>
        <v>0.195281982421875</v>
      </c>
      <c r="O25" s="4">
        <f t="shared" si="6"/>
        <v>0.183563232421875</v>
      </c>
      <c r="P25" s="4">
        <f t="shared" si="7"/>
        <v>0.207183837890625</v>
      </c>
      <c r="Q25" s="4"/>
      <c r="R25" s="4">
        <f t="shared" ca="1" si="8"/>
        <v>0.57643809890428255</v>
      </c>
      <c r="S25" s="4">
        <f t="shared" ca="1" si="9"/>
        <v>0.5704243685960988</v>
      </c>
      <c r="T25" s="4">
        <f t="shared" ca="1" si="10"/>
        <v>0.58229146593480663</v>
      </c>
      <c r="V25" s="4">
        <f t="shared" ca="1" si="11"/>
        <v>0.57643809890428255</v>
      </c>
      <c r="W25" s="4">
        <f t="shared" ca="1" si="12"/>
        <v>0.5704243685960988</v>
      </c>
      <c r="X25" s="4">
        <f t="shared" ca="1" si="13"/>
        <v>0.58229146593480663</v>
      </c>
      <c r="Z25">
        <f t="shared" ca="1" si="14"/>
        <v>3185.1896361602908</v>
      </c>
      <c r="AA25">
        <f t="shared" ca="1" si="15"/>
        <v>3206.4654554627627</v>
      </c>
      <c r="AB25">
        <f t="shared" ca="1" si="16"/>
        <v>3164.5605168638504</v>
      </c>
      <c r="AC25" s="4"/>
      <c r="AD25" s="3">
        <f t="shared" ca="1" si="17"/>
        <v>45.4</v>
      </c>
      <c r="AE25" s="3">
        <f t="shared" ca="1" si="18"/>
        <v>47.5</v>
      </c>
      <c r="AF25" s="3">
        <f t="shared" ca="1" si="19"/>
        <v>43.3</v>
      </c>
      <c r="AG25" s="1"/>
      <c r="AH25" s="3">
        <f t="shared" ca="1" si="20"/>
        <v>0.39999999999999858</v>
      </c>
      <c r="AI25" s="3">
        <f t="shared" ca="1" si="21"/>
        <v>2.5</v>
      </c>
      <c r="AJ25" s="3">
        <f t="shared" ca="1" si="22"/>
        <v>-1.7000000000000028</v>
      </c>
      <c r="AK25" s="4">
        <f t="shared" ca="1" si="23"/>
        <v>-1.7000000000000028</v>
      </c>
      <c r="AL25" s="4">
        <f t="shared" ca="1" si="24"/>
        <v>2.5</v>
      </c>
      <c r="AN25" s="4">
        <f t="shared" ca="1" si="25"/>
        <v>60.7</v>
      </c>
      <c r="AO25" s="4">
        <f t="shared" ca="1" si="26"/>
        <v>61.7</v>
      </c>
      <c r="AP25" s="4">
        <f t="shared" ca="1" si="27"/>
        <v>59.5</v>
      </c>
      <c r="AQ25" s="4"/>
      <c r="AR25" s="3">
        <f t="shared" ca="1" si="28"/>
        <v>15.700000000000003</v>
      </c>
      <c r="AS25" s="3">
        <f t="shared" ca="1" si="0"/>
        <v>16.700000000000003</v>
      </c>
      <c r="AT25" s="3">
        <f t="shared" ca="1" si="1"/>
        <v>14.5</v>
      </c>
      <c r="AU25" s="4">
        <f t="shared" ca="1" si="29"/>
        <v>14.5</v>
      </c>
      <c r="AV25" s="4">
        <f t="shared" ca="1" si="30"/>
        <v>16.700000000000003</v>
      </c>
      <c r="AW25" s="4"/>
      <c r="AX25" s="4"/>
    </row>
    <row r="26" spans="3:50" x14ac:dyDescent="0.2">
      <c r="C26" s="5">
        <f>Accuracy!F25</f>
        <v>50</v>
      </c>
      <c r="D26" s="5">
        <f>'Resistor Network'!AB26</f>
        <v>0.16674382001666513</v>
      </c>
      <c r="E26" s="5">
        <f>'Resistor Network'!AC26</f>
        <v>0.15614192629713872</v>
      </c>
      <c r="F26" s="5">
        <f>'Resistor Network'!AD26</f>
        <v>0.17756259178624903</v>
      </c>
      <c r="G26" s="8"/>
      <c r="H26" s="8"/>
      <c r="J26">
        <f t="shared" si="2"/>
        <v>5464</v>
      </c>
      <c r="K26">
        <f t="shared" si="3"/>
        <v>5116</v>
      </c>
      <c r="L26">
        <f t="shared" si="4"/>
        <v>5818</v>
      </c>
      <c r="N26" s="4">
        <f t="shared" si="5"/>
        <v>0.166748046875</v>
      </c>
      <c r="O26" s="4">
        <f t="shared" si="6"/>
        <v>0.1561279296875</v>
      </c>
      <c r="P26" s="4">
        <f t="shared" si="7"/>
        <v>0.17755126953125</v>
      </c>
      <c r="Q26" s="4"/>
      <c r="R26" s="4">
        <f t="shared" ca="1" si="8"/>
        <v>0.56131288242889998</v>
      </c>
      <c r="S26" s="4">
        <f t="shared" ca="1" si="9"/>
        <v>0.55522783845751278</v>
      </c>
      <c r="T26" s="4">
        <f t="shared" ca="1" si="10"/>
        <v>0.56723535911431044</v>
      </c>
      <c r="V26" s="4">
        <f t="shared" ca="1" si="11"/>
        <v>0.56131288242889998</v>
      </c>
      <c r="W26" s="4">
        <f t="shared" ca="1" si="12"/>
        <v>0.55522783845751278</v>
      </c>
      <c r="X26" s="4">
        <f t="shared" ca="1" si="13"/>
        <v>0.56723535911431044</v>
      </c>
      <c r="Z26">
        <f t="shared" ca="1" si="14"/>
        <v>3238.8719371829893</v>
      </c>
      <c r="AA26">
        <f t="shared" ca="1" si="15"/>
        <v>3260.6385844522747</v>
      </c>
      <c r="AB26">
        <f t="shared" ca="1" si="16"/>
        <v>3217.7833978623785</v>
      </c>
      <c r="AC26" s="4"/>
      <c r="AD26" s="3">
        <f t="shared" ca="1" si="17"/>
        <v>50.7</v>
      </c>
      <c r="AE26" s="3">
        <f t="shared" ca="1" si="18"/>
        <v>52.9</v>
      </c>
      <c r="AF26" s="3">
        <f t="shared" ca="1" si="19"/>
        <v>48.6</v>
      </c>
      <c r="AG26" s="1"/>
      <c r="AH26" s="3">
        <f t="shared" ca="1" si="20"/>
        <v>0.70000000000000284</v>
      </c>
      <c r="AI26" s="3">
        <f t="shared" ca="1" si="21"/>
        <v>2.8999999999999986</v>
      </c>
      <c r="AJ26" s="3">
        <f t="shared" ca="1" si="22"/>
        <v>-1.3999999999999986</v>
      </c>
      <c r="AK26" s="4">
        <f t="shared" ca="1" si="23"/>
        <v>-1.3999999999999986</v>
      </c>
      <c r="AL26" s="4">
        <f t="shared" ca="1" si="24"/>
        <v>2.8999999999999986</v>
      </c>
      <c r="AN26" s="4">
        <f t="shared" ca="1" si="25"/>
        <v>66</v>
      </c>
      <c r="AO26" s="4">
        <f t="shared" ca="1" si="26"/>
        <v>67.099999999999994</v>
      </c>
      <c r="AP26" s="4">
        <f t="shared" ca="1" si="27"/>
        <v>64.8</v>
      </c>
      <c r="AQ26" s="4"/>
      <c r="AR26" s="3">
        <f t="shared" ca="1" si="28"/>
        <v>16</v>
      </c>
      <c r="AS26" s="3">
        <f t="shared" ca="1" si="0"/>
        <v>17.099999999999994</v>
      </c>
      <c r="AT26" s="3">
        <f t="shared" ca="1" si="1"/>
        <v>14.799999999999997</v>
      </c>
      <c r="AU26" s="4">
        <f t="shared" ca="1" si="29"/>
        <v>14.799999999999997</v>
      </c>
      <c r="AV26" s="4">
        <f t="shared" ca="1" si="30"/>
        <v>17.099999999999994</v>
      </c>
      <c r="AW26" s="4"/>
      <c r="AX26" s="4"/>
    </row>
    <row r="27" spans="3:50" x14ac:dyDescent="0.2">
      <c r="C27" s="5">
        <f>Accuracy!F26</f>
        <v>55</v>
      </c>
      <c r="D27" s="5">
        <f>'Resistor Network'!AB27</f>
        <v>0.14228533307919564</v>
      </c>
      <c r="E27" s="5">
        <f>'Resistor Network'!AC27</f>
        <v>0.13277424643343355</v>
      </c>
      <c r="F27" s="5">
        <f>'Resistor Network'!AD27</f>
        <v>0.15204794378899794</v>
      </c>
      <c r="G27" s="8"/>
      <c r="H27" s="8"/>
      <c r="J27">
        <f t="shared" si="2"/>
        <v>4662</v>
      </c>
      <c r="K27">
        <f t="shared" si="3"/>
        <v>4351</v>
      </c>
      <c r="L27">
        <f t="shared" si="4"/>
        <v>4982</v>
      </c>
      <c r="N27" s="4">
        <f t="shared" si="5"/>
        <v>0.14227294921875</v>
      </c>
      <c r="O27" s="4">
        <f t="shared" si="6"/>
        <v>0.132781982421875</v>
      </c>
      <c r="P27" s="4">
        <f t="shared" si="7"/>
        <v>0.15203857421875</v>
      </c>
      <c r="Q27" s="4"/>
      <c r="R27" s="4">
        <f t="shared" ca="1" si="8"/>
        <v>0.54684196886131087</v>
      </c>
      <c r="S27" s="4">
        <f t="shared" ca="1" si="9"/>
        <v>0.54075878811391298</v>
      </c>
      <c r="T27" s="4">
        <f t="shared" ca="1" si="10"/>
        <v>0.55280856576630943</v>
      </c>
      <c r="V27" s="4">
        <f t="shared" ca="1" si="11"/>
        <v>0.54684196886131087</v>
      </c>
      <c r="W27" s="4">
        <f t="shared" ca="1" si="12"/>
        <v>0.54075878811391298</v>
      </c>
      <c r="X27" s="4">
        <f t="shared" ca="1" si="13"/>
        <v>0.55280856576630943</v>
      </c>
      <c r="Z27">
        <f t="shared" ca="1" si="14"/>
        <v>3290.812054237691</v>
      </c>
      <c r="AA27">
        <f t="shared" ca="1" si="15"/>
        <v>3312.8368418644113</v>
      </c>
      <c r="AB27">
        <f t="shared" ca="1" si="16"/>
        <v>3269.3218573090053</v>
      </c>
      <c r="AC27" s="4"/>
      <c r="AD27" s="3">
        <f t="shared" ca="1" si="17"/>
        <v>55.9</v>
      </c>
      <c r="AE27" s="3">
        <f t="shared" ca="1" si="18"/>
        <v>58.1</v>
      </c>
      <c r="AF27" s="3">
        <f t="shared" ca="1" si="19"/>
        <v>53.8</v>
      </c>
      <c r="AG27" s="1"/>
      <c r="AH27" s="3">
        <f t="shared" ca="1" si="20"/>
        <v>0.89999999999999858</v>
      </c>
      <c r="AI27" s="3">
        <f t="shared" ca="1" si="21"/>
        <v>3.1000000000000014</v>
      </c>
      <c r="AJ27" s="3">
        <f t="shared" ca="1" si="22"/>
        <v>-1.2000000000000028</v>
      </c>
      <c r="AK27" s="4">
        <f t="shared" ca="1" si="23"/>
        <v>-1.2000000000000028</v>
      </c>
      <c r="AL27" s="4">
        <f t="shared" ca="1" si="24"/>
        <v>3.1000000000000014</v>
      </c>
      <c r="AN27" s="4">
        <f t="shared" ca="1" si="25"/>
        <v>71.2</v>
      </c>
      <c r="AO27" s="4">
        <f t="shared" ca="1" si="26"/>
        <v>72.3</v>
      </c>
      <c r="AP27" s="4">
        <f t="shared" ca="1" si="27"/>
        <v>70</v>
      </c>
      <c r="AQ27" s="4"/>
      <c r="AR27" s="3">
        <f t="shared" ca="1" si="28"/>
        <v>16.200000000000003</v>
      </c>
      <c r="AS27" s="3">
        <f t="shared" ca="1" si="0"/>
        <v>17.299999999999997</v>
      </c>
      <c r="AT27" s="3">
        <f t="shared" ca="1" si="1"/>
        <v>15</v>
      </c>
      <c r="AU27" s="4">
        <f t="shared" ca="1" si="29"/>
        <v>15</v>
      </c>
      <c r="AV27" s="4">
        <f t="shared" ca="1" si="30"/>
        <v>17.299999999999997</v>
      </c>
      <c r="AW27" s="4"/>
      <c r="AX27" s="4"/>
    </row>
    <row r="28" spans="3:50" x14ac:dyDescent="0.2">
      <c r="C28" s="5">
        <f>Accuracy!F27</f>
        <v>60</v>
      </c>
      <c r="D28" s="5">
        <f>'Resistor Network'!AB28</f>
        <v>0.12143693869582195</v>
      </c>
      <c r="E28" s="5">
        <f>'Resistor Network'!AC28</f>
        <v>0.11295270434502692</v>
      </c>
      <c r="F28" s="5">
        <f>'Resistor Network'!AD28</f>
        <v>0.13019234411530031</v>
      </c>
      <c r="G28" s="8"/>
      <c r="H28" s="8"/>
      <c r="J28">
        <f t="shared" si="2"/>
        <v>3979</v>
      </c>
      <c r="K28">
        <f t="shared" si="3"/>
        <v>3701</v>
      </c>
      <c r="L28">
        <f t="shared" si="4"/>
        <v>4266</v>
      </c>
      <c r="N28" s="4">
        <f t="shared" si="5"/>
        <v>0.121429443359375</v>
      </c>
      <c r="O28" s="4">
        <f t="shared" si="6"/>
        <v>0.112945556640625</v>
      </c>
      <c r="P28" s="4">
        <f t="shared" si="7"/>
        <v>0.13018798828125</v>
      </c>
      <c r="Q28" s="4"/>
      <c r="R28" s="4">
        <f t="shared" ca="1" si="8"/>
        <v>0.53305180436187538</v>
      </c>
      <c r="S28" s="4">
        <f t="shared" ca="1" si="9"/>
        <v>0.52692928066954414</v>
      </c>
      <c r="T28" s="4">
        <f t="shared" ca="1" si="10"/>
        <v>0.5390418834722901</v>
      </c>
      <c r="V28" s="4">
        <f t="shared" ca="1" si="11"/>
        <v>0.53305180436187538</v>
      </c>
      <c r="W28" s="4">
        <f t="shared" ca="1" si="12"/>
        <v>0.52692928066954414</v>
      </c>
      <c r="X28" s="4">
        <f t="shared" ca="1" si="13"/>
        <v>0.5390418834722901</v>
      </c>
      <c r="Z28">
        <f t="shared" ca="1" si="14"/>
        <v>3340.917049157707</v>
      </c>
      <c r="AA28">
        <f t="shared" ca="1" si="15"/>
        <v>3363.3727677359661</v>
      </c>
      <c r="AB28">
        <f t="shared" ca="1" si="16"/>
        <v>3319.0749031987698</v>
      </c>
      <c r="AC28" s="4"/>
      <c r="AD28" s="3">
        <f t="shared" ca="1" si="17"/>
        <v>60.9</v>
      </c>
      <c r="AE28" s="3">
        <f t="shared" ca="1" si="18"/>
        <v>63.2</v>
      </c>
      <c r="AF28" s="3">
        <f t="shared" ca="1" si="19"/>
        <v>58.8</v>
      </c>
      <c r="AG28" s="1"/>
      <c r="AH28" s="3">
        <f t="shared" ca="1" si="20"/>
        <v>0.89999999999999858</v>
      </c>
      <c r="AI28" s="3">
        <f t="shared" ca="1" si="21"/>
        <v>3.2000000000000028</v>
      </c>
      <c r="AJ28" s="3">
        <f t="shared" ca="1" si="22"/>
        <v>-1.2000000000000028</v>
      </c>
      <c r="AK28" s="4">
        <f t="shared" ca="1" si="23"/>
        <v>-1.2000000000000028</v>
      </c>
      <c r="AL28" s="4">
        <f t="shared" ca="1" si="24"/>
        <v>3.2000000000000028</v>
      </c>
      <c r="AN28" s="4">
        <f t="shared" ca="1" si="25"/>
        <v>76.2</v>
      </c>
      <c r="AO28" s="4">
        <f t="shared" ca="1" si="26"/>
        <v>77.400000000000006</v>
      </c>
      <c r="AP28" s="4">
        <f t="shared" ca="1" si="27"/>
        <v>75</v>
      </c>
      <c r="AQ28" s="4"/>
      <c r="AR28" s="3">
        <f t="shared" ca="1" si="28"/>
        <v>16.200000000000003</v>
      </c>
      <c r="AS28" s="3">
        <f t="shared" ca="1" si="0"/>
        <v>17.400000000000006</v>
      </c>
      <c r="AT28" s="3">
        <f t="shared" ca="1" si="1"/>
        <v>15</v>
      </c>
      <c r="AU28" s="4">
        <f t="shared" ca="1" si="29"/>
        <v>15</v>
      </c>
      <c r="AV28" s="4">
        <f t="shared" ca="1" si="30"/>
        <v>17.400000000000006</v>
      </c>
      <c r="AW28" s="4"/>
      <c r="AX28" s="4"/>
    </row>
    <row r="29" spans="3:50" x14ac:dyDescent="0.2">
      <c r="C29" s="5">
        <f>Accuracy!F28</f>
        <v>65</v>
      </c>
      <c r="D29" s="5">
        <f>'Resistor Network'!AB29</f>
        <v>0.10371956381018772</v>
      </c>
      <c r="E29" s="5">
        <f>'Resistor Network'!AC29</f>
        <v>9.6182865285297223E-2</v>
      </c>
      <c r="F29" s="5">
        <f>'Resistor Network'!AD29</f>
        <v>0.11153542850668136</v>
      </c>
      <c r="G29" s="8"/>
      <c r="H29" s="8"/>
      <c r="J29">
        <f t="shared" si="2"/>
        <v>3399</v>
      </c>
      <c r="K29">
        <f t="shared" si="3"/>
        <v>3152</v>
      </c>
      <c r="L29">
        <f t="shared" si="4"/>
        <v>3655</v>
      </c>
      <c r="N29" s="4">
        <f t="shared" si="5"/>
        <v>0.103729248046875</v>
      </c>
      <c r="O29" s="4">
        <f t="shared" si="6"/>
        <v>9.619140625E-2</v>
      </c>
      <c r="P29" s="4">
        <f t="shared" si="7"/>
        <v>0.111541748046875</v>
      </c>
      <c r="Q29" s="4"/>
      <c r="R29" s="4">
        <f t="shared" ca="1" si="8"/>
        <v>0.51985252718988306</v>
      </c>
      <c r="S29" s="4">
        <f t="shared" ca="1" si="9"/>
        <v>0.51366758861755002</v>
      </c>
      <c r="T29" s="4">
        <f t="shared" ca="1" si="10"/>
        <v>0.52588197725160468</v>
      </c>
      <c r="V29" s="4">
        <f t="shared" ca="1" si="11"/>
        <v>0.51985252718988306</v>
      </c>
      <c r="W29" s="4">
        <f t="shared" ca="1" si="12"/>
        <v>0.51366758861755002</v>
      </c>
      <c r="X29" s="4">
        <f t="shared" ca="1" si="13"/>
        <v>0.52588197725160468</v>
      </c>
      <c r="Z29">
        <f t="shared" ca="1" si="14"/>
        <v>3389.5013964819764</v>
      </c>
      <c r="AA29">
        <f t="shared" ca="1" si="15"/>
        <v>3412.496815958244</v>
      </c>
      <c r="AB29">
        <f t="shared" ca="1" si="16"/>
        <v>3367.2276829204075</v>
      </c>
      <c r="AC29" s="4"/>
      <c r="AD29" s="3">
        <f t="shared" ca="1" si="17"/>
        <v>65.8</v>
      </c>
      <c r="AE29" s="3">
        <f t="shared" ca="1" si="18"/>
        <v>68.099999999999994</v>
      </c>
      <c r="AF29" s="3">
        <f t="shared" ca="1" si="19"/>
        <v>63.6</v>
      </c>
      <c r="AG29" s="1"/>
      <c r="AH29" s="3">
        <f t="shared" ca="1" si="20"/>
        <v>0.79999999999999716</v>
      </c>
      <c r="AI29" s="3">
        <f t="shared" ca="1" si="21"/>
        <v>3.0999999999999943</v>
      </c>
      <c r="AJ29" s="3">
        <f t="shared" ca="1" si="22"/>
        <v>-1.3999999999999986</v>
      </c>
      <c r="AK29" s="4">
        <f t="shared" ca="1" si="23"/>
        <v>-1.3999999999999986</v>
      </c>
      <c r="AL29" s="4">
        <f t="shared" ca="1" si="24"/>
        <v>3.0999999999999943</v>
      </c>
      <c r="AN29" s="4">
        <f t="shared" ca="1" si="25"/>
        <v>81.099999999999994</v>
      </c>
      <c r="AO29" s="4">
        <f t="shared" ca="1" si="26"/>
        <v>82.3</v>
      </c>
      <c r="AP29" s="4">
        <f t="shared" ca="1" si="27"/>
        <v>79.8</v>
      </c>
      <c r="AQ29" s="4"/>
      <c r="AR29" s="3">
        <f t="shared" ca="1" si="28"/>
        <v>16.099999999999994</v>
      </c>
      <c r="AS29" s="3">
        <f t="shared" ca="1" si="0"/>
        <v>17.299999999999997</v>
      </c>
      <c r="AT29" s="3">
        <f t="shared" ca="1" si="1"/>
        <v>14.799999999999997</v>
      </c>
      <c r="AU29" s="4">
        <f t="shared" ca="1" si="29"/>
        <v>14.799999999999997</v>
      </c>
      <c r="AV29" s="4">
        <f t="shared" ca="1" si="30"/>
        <v>17.299999999999997</v>
      </c>
      <c r="AW29" s="4"/>
      <c r="AX29" s="4"/>
    </row>
    <row r="30" spans="3:50" x14ac:dyDescent="0.2">
      <c r="C30" s="5">
        <f>Accuracy!F29</f>
        <v>70</v>
      </c>
      <c r="D30" s="5">
        <f>'Resistor Network'!AB30</f>
        <v>8.8699878493317133E-2</v>
      </c>
      <c r="E30" s="5">
        <f>'Resistor Network'!AC30</f>
        <v>8.2024139192810402E-2</v>
      </c>
      <c r="F30" s="5">
        <f>'Resistor Network'!AD30</f>
        <v>9.5654118590246126E-2</v>
      </c>
      <c r="G30" s="8"/>
      <c r="H30" s="8"/>
      <c r="J30">
        <f t="shared" si="2"/>
        <v>2907</v>
      </c>
      <c r="K30">
        <f t="shared" si="3"/>
        <v>2688</v>
      </c>
      <c r="L30">
        <f t="shared" si="4"/>
        <v>3134</v>
      </c>
      <c r="N30" s="4">
        <f t="shared" si="5"/>
        <v>8.8714599609375E-2</v>
      </c>
      <c r="O30" s="4">
        <f t="shared" si="6"/>
        <v>8.203125E-2</v>
      </c>
      <c r="P30" s="4">
        <f t="shared" si="7"/>
        <v>9.564208984375E-2</v>
      </c>
      <c r="Q30" s="4"/>
      <c r="R30" s="4">
        <f t="shared" ca="1" si="8"/>
        <v>0.50710240592680778</v>
      </c>
      <c r="S30" s="4">
        <f t="shared" ca="1" si="9"/>
        <v>0.50079233143208024</v>
      </c>
      <c r="T30" s="4">
        <f t="shared" ca="1" si="10"/>
        <v>0.51320086002095422</v>
      </c>
      <c r="V30" s="4">
        <f t="shared" ca="1" si="11"/>
        <v>0.50710240592680778</v>
      </c>
      <c r="W30" s="4">
        <f t="shared" ca="1" si="12"/>
        <v>0.50079233143208024</v>
      </c>
      <c r="X30" s="4">
        <f t="shared" ca="1" si="13"/>
        <v>0.51320086002095422</v>
      </c>
      <c r="Z30">
        <f t="shared" ca="1" si="14"/>
        <v>3437.0766718401787</v>
      </c>
      <c r="AA30">
        <f t="shared" ca="1" si="15"/>
        <v>3460.8744534596544</v>
      </c>
      <c r="AB30">
        <f t="shared" ca="1" si="16"/>
        <v>3414.2383399987507</v>
      </c>
      <c r="AC30" s="4"/>
      <c r="AD30" s="3">
        <f t="shared" ca="1" si="17"/>
        <v>70.599999999999994</v>
      </c>
      <c r="AE30" s="3">
        <f t="shared" ca="1" si="18"/>
        <v>72.900000000000006</v>
      </c>
      <c r="AF30" s="3">
        <f t="shared" ca="1" si="19"/>
        <v>68.3</v>
      </c>
      <c r="AG30" s="1"/>
      <c r="AH30" s="3">
        <f t="shared" ca="1" si="20"/>
        <v>0.59999999999999432</v>
      </c>
      <c r="AI30" s="3">
        <f t="shared" ca="1" si="21"/>
        <v>2.9000000000000057</v>
      </c>
      <c r="AJ30" s="3">
        <f t="shared" ca="1" si="22"/>
        <v>-1.7000000000000028</v>
      </c>
      <c r="AK30" s="4">
        <f t="shared" ca="1" si="23"/>
        <v>-1.7000000000000028</v>
      </c>
      <c r="AL30" s="4">
        <f t="shared" ca="1" si="24"/>
        <v>2.9000000000000057</v>
      </c>
      <c r="AM30" s="20"/>
      <c r="AN30" s="4">
        <f t="shared" ca="1" si="25"/>
        <v>85.899999999999991</v>
      </c>
      <c r="AO30" s="4">
        <f t="shared" ca="1" si="26"/>
        <v>87.100000000000009</v>
      </c>
      <c r="AP30" s="4">
        <f t="shared" ca="1" si="27"/>
        <v>84.5</v>
      </c>
      <c r="AQ30" s="38"/>
      <c r="AR30" s="3">
        <f t="shared" ca="1" si="28"/>
        <v>15.899999999999991</v>
      </c>
      <c r="AS30" s="3">
        <f t="shared" ca="1" si="0"/>
        <v>17.100000000000009</v>
      </c>
      <c r="AT30" s="3">
        <f t="shared" ca="1" si="1"/>
        <v>14.5</v>
      </c>
      <c r="AU30" s="4">
        <f t="shared" ca="1" si="29"/>
        <v>14.5</v>
      </c>
      <c r="AV30" s="4">
        <f t="shared" ca="1" si="30"/>
        <v>17.100000000000009</v>
      </c>
      <c r="AW30" s="4"/>
      <c r="AX30" s="4"/>
    </row>
    <row r="31" spans="3:50" x14ac:dyDescent="0.2">
      <c r="C31" s="5">
        <f>Accuracy!F30</f>
        <v>75</v>
      </c>
      <c r="D31" s="5">
        <f>'Resistor Network'!AB31</f>
        <v>7.5975359342915813E-2</v>
      </c>
      <c r="E31" s="5">
        <f>'Resistor Network'!AC31</f>
        <v>7.0073518589810313E-2</v>
      </c>
      <c r="F31" s="5">
        <f>'Resistor Network'!AD31</f>
        <v>8.2148887303881798E-2</v>
      </c>
      <c r="G31" s="8"/>
      <c r="H31" s="8"/>
      <c r="J31">
        <f t="shared" si="2"/>
        <v>2490</v>
      </c>
      <c r="K31">
        <f t="shared" si="3"/>
        <v>2296</v>
      </c>
      <c r="L31">
        <f t="shared" si="4"/>
        <v>2692</v>
      </c>
      <c r="N31" s="4">
        <f t="shared" si="5"/>
        <v>7.598876953125E-2</v>
      </c>
      <c r="O31" s="4">
        <f t="shared" si="6"/>
        <v>7.0068359375E-2</v>
      </c>
      <c r="P31" s="4">
        <f t="shared" si="7"/>
        <v>8.21533203125E-2</v>
      </c>
      <c r="Q31" s="4"/>
      <c r="R31" s="4">
        <f t="shared" ca="1" si="8"/>
        <v>0.4946489097606358</v>
      </c>
      <c r="S31" s="4">
        <f t="shared" ca="1" si="9"/>
        <v>0.48813521408117605</v>
      </c>
      <c r="T31" s="4">
        <f t="shared" ca="1" si="10"/>
        <v>0.50091185768048729</v>
      </c>
      <c r="V31" s="4">
        <f t="shared" ca="1" si="11"/>
        <v>0.4946489097606358</v>
      </c>
      <c r="W31" s="4">
        <f t="shared" ca="1" si="12"/>
        <v>0.48813521408117605</v>
      </c>
      <c r="X31" s="4">
        <f t="shared" ca="1" si="13"/>
        <v>0.50091185768048729</v>
      </c>
      <c r="Z31">
        <f t="shared" ca="1" si="14"/>
        <v>3484.2135978082765</v>
      </c>
      <c r="AA31">
        <f t="shared" ca="1" si="15"/>
        <v>3509.1499290429651</v>
      </c>
      <c r="AB31">
        <f t="shared" ca="1" si="16"/>
        <v>3460.422051895307</v>
      </c>
      <c r="AC31" s="4"/>
      <c r="AD31" s="3">
        <f t="shared" ca="1" si="17"/>
        <v>75.3</v>
      </c>
      <c r="AE31" s="3">
        <f t="shared" ca="1" si="18"/>
        <v>77.8</v>
      </c>
      <c r="AF31" s="3">
        <f t="shared" ca="1" si="19"/>
        <v>72.900000000000006</v>
      </c>
      <c r="AG31" s="1"/>
      <c r="AH31" s="3">
        <f t="shared" ca="1" si="20"/>
        <v>0.29999999999999716</v>
      </c>
      <c r="AI31" s="3">
        <f t="shared" ca="1" si="21"/>
        <v>2.7999999999999972</v>
      </c>
      <c r="AJ31" s="3">
        <f t="shared" ca="1" si="22"/>
        <v>-2.0999999999999943</v>
      </c>
      <c r="AK31" s="4">
        <f t="shared" ca="1" si="23"/>
        <v>-2.0999999999999943</v>
      </c>
      <c r="AL31" s="4">
        <f t="shared" ca="1" si="24"/>
        <v>2.7999999999999972</v>
      </c>
      <c r="AM31" s="20"/>
      <c r="AN31" s="4">
        <f t="shared" ca="1" si="25"/>
        <v>90.6</v>
      </c>
      <c r="AO31" s="4">
        <f t="shared" ca="1" si="26"/>
        <v>92</v>
      </c>
      <c r="AP31" s="4">
        <f t="shared" ca="1" si="27"/>
        <v>89.100000000000009</v>
      </c>
      <c r="AQ31" s="38"/>
      <c r="AR31" s="3">
        <f t="shared" ca="1" si="28"/>
        <v>15.599999999999994</v>
      </c>
      <c r="AS31" s="3">
        <f t="shared" ca="1" si="0"/>
        <v>17</v>
      </c>
      <c r="AT31" s="3">
        <f t="shared" ca="1" si="1"/>
        <v>14.100000000000009</v>
      </c>
      <c r="AU31" s="4">
        <f t="shared" ca="1" si="29"/>
        <v>14.100000000000009</v>
      </c>
      <c r="AV31" s="4">
        <f t="shared" ca="1" si="30"/>
        <v>17</v>
      </c>
      <c r="AW31" s="4"/>
      <c r="AX31" s="4"/>
    </row>
    <row r="32" spans="3:50" x14ac:dyDescent="0.2">
      <c r="C32" s="5">
        <f>Accuracy!F31</f>
        <v>80</v>
      </c>
      <c r="D32" s="5">
        <f>'Resistor Network'!AB32</f>
        <v>6.5177875876395744E-2</v>
      </c>
      <c r="E32" s="5">
        <f>'Resistor Network'!AC32</f>
        <v>5.9967248904742053E-2</v>
      </c>
      <c r="F32" s="5">
        <f>'Resistor Network'!AD32</f>
        <v>7.0649209916411757E-2</v>
      </c>
      <c r="G32" s="8"/>
      <c r="H32" s="8"/>
      <c r="J32">
        <f t="shared" si="2"/>
        <v>2136</v>
      </c>
      <c r="K32">
        <f t="shared" si="3"/>
        <v>1965</v>
      </c>
      <c r="L32">
        <f t="shared" si="4"/>
        <v>2315</v>
      </c>
      <c r="N32" s="4">
        <f t="shared" si="5"/>
        <v>6.5185546875E-2</v>
      </c>
      <c r="O32" s="4">
        <f t="shared" si="6"/>
        <v>5.9967041015625E-2</v>
      </c>
      <c r="P32" s="4">
        <f t="shared" si="7"/>
        <v>7.0648193359375E-2</v>
      </c>
      <c r="Q32" s="4"/>
      <c r="R32" s="4">
        <f t="shared" ca="1" si="8"/>
        <v>0.48231415791630472</v>
      </c>
      <c r="S32" s="4">
        <f t="shared" ca="1" si="9"/>
        <v>0.47554244193274953</v>
      </c>
      <c r="T32" s="4">
        <f t="shared" ca="1" si="10"/>
        <v>0.4887977469211317</v>
      </c>
      <c r="V32" s="4">
        <f t="shared" ca="1" si="11"/>
        <v>0.48231415791630472</v>
      </c>
      <c r="W32" s="4">
        <f t="shared" ca="1" si="12"/>
        <v>0.47554244193274953</v>
      </c>
      <c r="X32" s="4">
        <f t="shared" ca="1" si="13"/>
        <v>0.4887977469211317</v>
      </c>
      <c r="Z32">
        <f t="shared" ca="1" si="14"/>
        <v>3531.6068510843925</v>
      </c>
      <c r="AA32">
        <f t="shared" ca="1" si="15"/>
        <v>3557.9435865459659</v>
      </c>
      <c r="AB32">
        <f t="shared" ca="1" si="16"/>
        <v>3506.6043811125292</v>
      </c>
      <c r="AC32" s="4"/>
      <c r="AD32" s="3">
        <f t="shared" ca="1" si="17"/>
        <v>80</v>
      </c>
      <c r="AE32" s="3">
        <f t="shared" ca="1" si="18"/>
        <v>82.6</v>
      </c>
      <c r="AF32" s="3">
        <f t="shared" ca="1" si="19"/>
        <v>77.5</v>
      </c>
      <c r="AG32" s="1"/>
      <c r="AH32" s="3">
        <f t="shared" ca="1" si="20"/>
        <v>0</v>
      </c>
      <c r="AI32" s="3">
        <f t="shared" ca="1" si="21"/>
        <v>2.5999999999999943</v>
      </c>
      <c r="AJ32" s="3">
        <f t="shared" ca="1" si="22"/>
        <v>-2.5</v>
      </c>
      <c r="AK32" s="4">
        <f t="shared" ca="1" si="23"/>
        <v>-2.5</v>
      </c>
      <c r="AL32" s="4">
        <f t="shared" ca="1" si="24"/>
        <v>2.5999999999999943</v>
      </c>
      <c r="AM32" s="20"/>
      <c r="AN32" s="4">
        <f t="shared" ca="1" si="25"/>
        <v>95.3</v>
      </c>
      <c r="AO32" s="4">
        <f t="shared" ca="1" si="26"/>
        <v>96.8</v>
      </c>
      <c r="AP32" s="4">
        <f t="shared" ca="1" si="27"/>
        <v>93.7</v>
      </c>
      <c r="AQ32" s="38"/>
      <c r="AR32" s="3">
        <f t="shared" ca="1" si="28"/>
        <v>15.299999999999997</v>
      </c>
      <c r="AS32" s="3">
        <f t="shared" ca="1" si="0"/>
        <v>16.799999999999997</v>
      </c>
      <c r="AT32" s="3">
        <f t="shared" ca="1" si="1"/>
        <v>13.700000000000003</v>
      </c>
      <c r="AU32" s="4">
        <f t="shared" ca="1" si="29"/>
        <v>13.700000000000003</v>
      </c>
      <c r="AV32" s="4">
        <f t="shared" ca="1" si="30"/>
        <v>16.799999999999997</v>
      </c>
      <c r="AW32" s="4"/>
      <c r="AX32" s="4"/>
    </row>
    <row r="33" spans="3:50" x14ac:dyDescent="0.2">
      <c r="C33" s="5">
        <f>Accuracy!F32</f>
        <v>85</v>
      </c>
      <c r="D33" s="5">
        <f>'Resistor Network'!AB33</f>
        <v>5.6109071840587312E-2</v>
      </c>
      <c r="E33" s="5">
        <f>'Resistor Network'!AC33</f>
        <v>5.1505477754904543E-2</v>
      </c>
      <c r="F33" s="5">
        <f>'Resistor Network'!AD33</f>
        <v>6.0959923829320382E-2</v>
      </c>
      <c r="G33" s="8"/>
      <c r="H33" s="8"/>
      <c r="J33">
        <f t="shared" si="2"/>
        <v>1839</v>
      </c>
      <c r="K33">
        <f t="shared" si="3"/>
        <v>1688</v>
      </c>
      <c r="L33">
        <f t="shared" si="4"/>
        <v>1998</v>
      </c>
      <c r="N33" s="4">
        <f t="shared" si="5"/>
        <v>5.6121826171875E-2</v>
      </c>
      <c r="O33" s="4">
        <f t="shared" si="6"/>
        <v>5.1513671875E-2</v>
      </c>
      <c r="P33" s="4">
        <f t="shared" si="7"/>
        <v>6.097412109375E-2</v>
      </c>
      <c r="Q33" s="4"/>
      <c r="R33" s="4">
        <f t="shared" ca="1" si="8"/>
        <v>0.47011191503741406</v>
      </c>
      <c r="S33" s="4">
        <f t="shared" ca="1" si="9"/>
        <v>0.46300046045799365</v>
      </c>
      <c r="T33" s="4">
        <f t="shared" ca="1" si="10"/>
        <v>0.47689922374920818</v>
      </c>
      <c r="V33" s="4">
        <f t="shared" ca="1" si="11"/>
        <v>0.47011191503741406</v>
      </c>
      <c r="W33" s="4">
        <f t="shared" ca="1" si="12"/>
        <v>0.46300046045799365</v>
      </c>
      <c r="X33" s="4">
        <f t="shared" ca="1" si="13"/>
        <v>0.47689922374920818</v>
      </c>
      <c r="Z33">
        <f t="shared" ca="1" si="14"/>
        <v>3579.2347757748448</v>
      </c>
      <c r="AA33">
        <f t="shared" ca="1" si="15"/>
        <v>3607.3541691954324</v>
      </c>
      <c r="AB33">
        <f t="shared" ca="1" si="16"/>
        <v>3552.6480729636542</v>
      </c>
      <c r="AC33" s="4"/>
      <c r="AD33" s="3">
        <f t="shared" ca="1" si="17"/>
        <v>84.8</v>
      </c>
      <c r="AE33" s="3">
        <f t="shared" ca="1" si="18"/>
        <v>87.6</v>
      </c>
      <c r="AF33" s="3">
        <f t="shared" ca="1" si="19"/>
        <v>82.1</v>
      </c>
      <c r="AG33" s="1"/>
      <c r="AH33" s="3">
        <f t="shared" ca="1" si="20"/>
        <v>-0.20000000000000284</v>
      </c>
      <c r="AI33" s="3">
        <f t="shared" ca="1" si="21"/>
        <v>2.5999999999999943</v>
      </c>
      <c r="AJ33" s="3">
        <f t="shared" ca="1" si="22"/>
        <v>-2.9000000000000057</v>
      </c>
      <c r="AK33" s="4">
        <f t="shared" ca="1" si="23"/>
        <v>-2.9000000000000057</v>
      </c>
      <c r="AL33" s="4">
        <f t="shared" ca="1" si="24"/>
        <v>2.5999999999999943</v>
      </c>
      <c r="AM33" s="20"/>
      <c r="AN33" s="4">
        <f t="shared" ca="1" si="25"/>
        <v>100.1</v>
      </c>
      <c r="AO33" s="4">
        <f t="shared" ca="1" si="26"/>
        <v>101.8</v>
      </c>
      <c r="AP33" s="4">
        <f t="shared" ca="1" si="27"/>
        <v>98.3</v>
      </c>
      <c r="AQ33" s="38"/>
      <c r="AR33" s="3">
        <f t="shared" ca="1" si="28"/>
        <v>15.099999999999994</v>
      </c>
      <c r="AS33" s="3">
        <f t="shared" ca="1" si="0"/>
        <v>16.799999999999997</v>
      </c>
      <c r="AT33" s="3">
        <f t="shared" ca="1" si="1"/>
        <v>13.299999999999997</v>
      </c>
      <c r="AU33" s="4">
        <f t="shared" ca="1" si="29"/>
        <v>13.299999999999997</v>
      </c>
      <c r="AV33" s="4">
        <f t="shared" ca="1" si="30"/>
        <v>16.799999999999997</v>
      </c>
      <c r="AW33" s="4"/>
      <c r="AX33" s="4"/>
    </row>
    <row r="34" spans="3:50" x14ac:dyDescent="0.2">
      <c r="C34" s="5">
        <f>Accuracy!F33</f>
        <v>90</v>
      </c>
      <c r="D34" s="5">
        <f>'Resistor Network'!AB34</f>
        <v>4.8399460759694438E-2</v>
      </c>
      <c r="E34" s="5">
        <f>'Resistor Network'!AC34</f>
        <v>4.4332549139610496E-2</v>
      </c>
      <c r="F34" s="5">
        <f>'Resistor Network'!AD34</f>
        <v>5.2698739643494683E-2</v>
      </c>
      <c r="G34" s="8"/>
      <c r="H34" s="8"/>
      <c r="J34">
        <f t="shared" si="2"/>
        <v>1586</v>
      </c>
      <c r="K34">
        <f t="shared" si="3"/>
        <v>1453</v>
      </c>
      <c r="L34">
        <f t="shared" si="4"/>
        <v>1727</v>
      </c>
      <c r="N34" s="4">
        <f t="shared" si="5"/>
        <v>4.840087890625E-2</v>
      </c>
      <c r="O34" s="4">
        <f t="shared" si="6"/>
        <v>4.4342041015625E-2</v>
      </c>
      <c r="P34" s="4">
        <f t="shared" si="7"/>
        <v>5.2703857421875E-2</v>
      </c>
      <c r="Q34" s="4"/>
      <c r="R34" s="4">
        <f t="shared" ca="1" si="8"/>
        <v>0.45774930222997473</v>
      </c>
      <c r="S34" s="4">
        <f t="shared" ca="1" si="9"/>
        <v>0.45023989972557621</v>
      </c>
      <c r="T34" s="4">
        <f t="shared" ca="1" si="10"/>
        <v>0.46490762375414202</v>
      </c>
      <c r="V34" s="4">
        <f t="shared" ca="1" si="11"/>
        <v>0.45774930222997473</v>
      </c>
      <c r="W34" s="4">
        <f t="shared" ca="1" si="12"/>
        <v>0.45023989972557621</v>
      </c>
      <c r="X34" s="4">
        <f t="shared" ca="1" si="13"/>
        <v>0.46490762375414202</v>
      </c>
      <c r="Z34">
        <f t="shared" ca="1" si="14"/>
        <v>3628.2964002786462</v>
      </c>
      <c r="AA34">
        <f t="shared" ca="1" si="15"/>
        <v>3658.5175077635618</v>
      </c>
      <c r="AB34">
        <f t="shared" ca="1" si="16"/>
        <v>3599.7860837103271</v>
      </c>
      <c r="AC34" s="4"/>
      <c r="AD34" s="3">
        <f t="shared" ca="1" si="17"/>
        <v>89.7</v>
      </c>
      <c r="AE34" s="3">
        <f t="shared" ca="1" si="18"/>
        <v>92.7</v>
      </c>
      <c r="AF34" s="3">
        <f t="shared" ca="1" si="19"/>
        <v>86.8</v>
      </c>
      <c r="AG34" s="1"/>
      <c r="AH34" s="3">
        <f t="shared" ca="1" si="20"/>
        <v>-0.29999999999999716</v>
      </c>
      <c r="AI34" s="3">
        <f t="shared" ca="1" si="21"/>
        <v>2.7000000000000028</v>
      </c>
      <c r="AJ34" s="3">
        <f t="shared" ca="1" si="22"/>
        <v>-3.2000000000000028</v>
      </c>
      <c r="AK34" s="4">
        <f t="shared" ca="1" si="23"/>
        <v>-3.2000000000000028</v>
      </c>
      <c r="AL34" s="4">
        <f t="shared" ca="1" si="24"/>
        <v>2.7000000000000028</v>
      </c>
      <c r="AM34" s="20"/>
      <c r="AN34" s="4">
        <f t="shared" ca="1" si="25"/>
        <v>105</v>
      </c>
      <c r="AO34" s="4">
        <f t="shared" ca="1" si="26"/>
        <v>106.9</v>
      </c>
      <c r="AP34" s="4">
        <f t="shared" ca="1" si="27"/>
        <v>103</v>
      </c>
      <c r="AQ34" s="38"/>
      <c r="AR34" s="3">
        <f t="shared" ca="1" si="28"/>
        <v>15</v>
      </c>
      <c r="AS34" s="3">
        <f t="shared" ca="1" si="0"/>
        <v>16.900000000000006</v>
      </c>
      <c r="AT34" s="3">
        <f t="shared" ca="1" si="1"/>
        <v>13</v>
      </c>
      <c r="AU34" s="4">
        <f t="shared" ca="1" si="29"/>
        <v>13</v>
      </c>
      <c r="AV34" s="4">
        <f t="shared" ca="1" si="30"/>
        <v>16.900000000000006</v>
      </c>
      <c r="AW34" s="4"/>
      <c r="AX34" s="4"/>
    </row>
    <row r="35" spans="3:50" x14ac:dyDescent="0.2">
      <c r="C35" s="5">
        <f>Accuracy!F34</f>
        <v>95</v>
      </c>
      <c r="D35" s="5">
        <f>'Resistor Network'!AB35</f>
        <v>4.1870269234454346E-2</v>
      </c>
      <c r="E35" s="5">
        <f>'Resistor Network'!AC35</f>
        <v>3.82739969152045E-2</v>
      </c>
      <c r="F35" s="5">
        <f>'Resistor Network'!AD35</f>
        <v>4.5683481349671401E-2</v>
      </c>
      <c r="G35" s="8"/>
      <c r="H35" s="8"/>
      <c r="J35">
        <f t="shared" si="2"/>
        <v>1372</v>
      </c>
      <c r="K35">
        <f t="shared" si="3"/>
        <v>1254</v>
      </c>
      <c r="L35">
        <f t="shared" si="4"/>
        <v>1497</v>
      </c>
      <c r="N35" s="4">
        <f t="shared" si="5"/>
        <v>4.18701171875E-2</v>
      </c>
      <c r="O35" s="4">
        <f t="shared" si="6"/>
        <v>3.826904296875E-2</v>
      </c>
      <c r="P35" s="4">
        <f t="shared" si="7"/>
        <v>4.5684814453125E-2</v>
      </c>
      <c r="Q35" s="4"/>
      <c r="R35" s="4">
        <f t="shared" ca="1" si="8"/>
        <v>0.44522878832092866</v>
      </c>
      <c r="S35" s="4">
        <f t="shared" ref="S35:T40" ca="1" si="31">O35/($R$42*O35^4+$R$43*O35^3+$R$44*O35^2+$R$45*O35+$R$46)*2^14</f>
        <v>0.43720663157160472</v>
      </c>
      <c r="T35" s="4">
        <f t="shared" ca="1" si="31"/>
        <v>0.45281612144452271</v>
      </c>
      <c r="V35" s="4">
        <f t="shared" ca="1" si="11"/>
        <v>0.44522878832092866</v>
      </c>
      <c r="W35" s="4">
        <f t="shared" ca="1" si="12"/>
        <v>0.43720663157160472</v>
      </c>
      <c r="X35" s="4">
        <f t="shared" ca="1" si="13"/>
        <v>0.45281612144452271</v>
      </c>
      <c r="Z35">
        <f t="shared" ca="1" si="14"/>
        <v>3678.8682830782</v>
      </c>
      <c r="AA35">
        <f t="shared" ca="1" si="15"/>
        <v>3711.7639460070995</v>
      </c>
      <c r="AB35">
        <f t="shared" ca="1" si="16"/>
        <v>3648.1128811192652</v>
      </c>
      <c r="AC35" s="39"/>
      <c r="AD35" s="3">
        <f t="shared" ca="1" si="17"/>
        <v>94.7</v>
      </c>
      <c r="AE35" s="3">
        <f t="shared" ca="1" si="18"/>
        <v>98</v>
      </c>
      <c r="AF35" s="3">
        <f t="shared" ca="1" si="19"/>
        <v>91.7</v>
      </c>
      <c r="AG35" s="1"/>
      <c r="AH35" s="3">
        <f t="shared" ca="1" si="20"/>
        <v>-0.29999999999999716</v>
      </c>
      <c r="AI35" s="3">
        <f t="shared" ca="1" si="21"/>
        <v>3</v>
      </c>
      <c r="AJ35" s="3">
        <f t="shared" ca="1" si="22"/>
        <v>-3.2999999999999972</v>
      </c>
      <c r="AK35" s="4">
        <f t="shared" ca="1" si="23"/>
        <v>-3.2999999999999972</v>
      </c>
      <c r="AL35" s="4">
        <f t="shared" ca="1" si="24"/>
        <v>3</v>
      </c>
      <c r="AM35" s="20"/>
      <c r="AN35" s="4">
        <f t="shared" ca="1" si="25"/>
        <v>110</v>
      </c>
      <c r="AO35" s="4">
        <f t="shared" ca="1" si="26"/>
        <v>112.2</v>
      </c>
      <c r="AP35" s="4">
        <f t="shared" ca="1" si="27"/>
        <v>107.9</v>
      </c>
      <c r="AQ35" s="38"/>
      <c r="AR35" s="3">
        <f t="shared" ca="1" si="28"/>
        <v>15</v>
      </c>
      <c r="AS35" s="3">
        <f t="shared" ca="1" si="0"/>
        <v>17.200000000000003</v>
      </c>
      <c r="AT35" s="3">
        <f t="shared" ca="1" si="1"/>
        <v>12.900000000000006</v>
      </c>
      <c r="AU35" s="4">
        <f t="shared" ca="1" si="29"/>
        <v>12.900000000000006</v>
      </c>
      <c r="AV35" s="4">
        <f t="shared" ca="1" si="30"/>
        <v>17.200000000000003</v>
      </c>
      <c r="AW35" s="4"/>
      <c r="AX35" s="4"/>
    </row>
    <row r="36" spans="3:50" x14ac:dyDescent="0.2">
      <c r="C36" s="5">
        <f>Accuracy!F35</f>
        <v>100</v>
      </c>
      <c r="D36" s="5">
        <f>'Resistor Network'!AB36</f>
        <v>3.6330345957405807E-2</v>
      </c>
      <c r="E36" s="5">
        <f>'Resistor Network'!AC36</f>
        <v>3.3146054867678881E-2</v>
      </c>
      <c r="F36" s="5">
        <f>'Resistor Network'!AD36</f>
        <v>3.971619810981037E-2</v>
      </c>
      <c r="G36" s="8"/>
      <c r="H36" s="8"/>
      <c r="J36">
        <f t="shared" ref="J36:L40" si="32">ROUND(D36*2^$K$2,0)</f>
        <v>1190</v>
      </c>
      <c r="K36">
        <f t="shared" si="32"/>
        <v>1086</v>
      </c>
      <c r="L36">
        <f t="shared" si="32"/>
        <v>1301</v>
      </c>
      <c r="N36" s="4">
        <f t="shared" ref="N36:P40" si="33">J36/2^15</f>
        <v>3.631591796875E-2</v>
      </c>
      <c r="O36" s="4">
        <f t="shared" si="33"/>
        <v>3.314208984375E-2</v>
      </c>
      <c r="P36" s="4">
        <f t="shared" si="33"/>
        <v>3.9703369140625E-2</v>
      </c>
      <c r="Q36" s="4"/>
      <c r="R36" s="4">
        <f ca="1">N36/($R$42*N36^4+$R$43*N36^3+$R$44*N36^2+$R$45*N36+$R$46)*2^14</f>
        <v>0.432432859118215</v>
      </c>
      <c r="S36" s="4">
        <f t="shared" ca="1" si="31"/>
        <v>0.423907040325813</v>
      </c>
      <c r="T36" s="4">
        <f t="shared" ca="1" si="31"/>
        <v>0.44051443861288153</v>
      </c>
      <c r="V36" s="4">
        <f t="shared" ref="V36:X40" ca="1" si="34">R36</f>
        <v>0.432432859118215</v>
      </c>
      <c r="W36" s="4">
        <f t="shared" ca="1" si="34"/>
        <v>0.423907040325813</v>
      </c>
      <c r="X36" s="4">
        <f t="shared" ca="1" si="34"/>
        <v>0.44051443861288153</v>
      </c>
      <c r="Z36">
        <f t="shared" ref="Z36:AB40" ca="1" si="35">$Z$43*V36^3+$Z$44*V36^2+$Z$45*V36+$Z$46</f>
        <v>3731.5294491062746</v>
      </c>
      <c r="AA36">
        <f t="shared" ca="1" si="35"/>
        <v>3767.1945660024239</v>
      </c>
      <c r="AB36">
        <f t="shared" ca="1" si="35"/>
        <v>3698.1520017923485</v>
      </c>
      <c r="AC36" s="39"/>
      <c r="AD36" s="3">
        <f t="shared" ref="AD36:AF40" ca="1" si="36">ROUND(Z36/10-273.15,1)</f>
        <v>100</v>
      </c>
      <c r="AE36" s="3">
        <f t="shared" ca="1" si="36"/>
        <v>103.6</v>
      </c>
      <c r="AF36" s="3">
        <f t="shared" ca="1" si="36"/>
        <v>96.7</v>
      </c>
      <c r="AG36" s="1"/>
      <c r="AH36" s="3">
        <f t="shared" ref="AH36:AJ40" ca="1" si="37">AD36-$C36</f>
        <v>0</v>
      </c>
      <c r="AI36" s="3">
        <f t="shared" ca="1" si="37"/>
        <v>3.5999999999999943</v>
      </c>
      <c r="AJ36" s="3">
        <f t="shared" ca="1" si="37"/>
        <v>-3.2999999999999972</v>
      </c>
      <c r="AK36" s="4">
        <f ca="1">MINA(AI36:AJ36)</f>
        <v>-3.2999999999999972</v>
      </c>
      <c r="AL36" s="4">
        <f ca="1">MAX(AI36:AJ36)</f>
        <v>3.5999999999999943</v>
      </c>
      <c r="AM36" s="20"/>
      <c r="AN36" s="4">
        <f ca="1">AD36-($AD$18-$B$5)</f>
        <v>115.3</v>
      </c>
      <c r="AO36" s="4">
        <f ca="1">AE36-($AE$18-$B$5)</f>
        <v>117.8</v>
      </c>
      <c r="AP36" s="4">
        <f ca="1">AF36-($AF$18-$B$5)</f>
        <v>112.9</v>
      </c>
      <c r="AQ36" s="38"/>
      <c r="AR36" s="3">
        <f t="shared" ref="AR36:AT40" ca="1" si="38">AN36-$C36</f>
        <v>15.299999999999997</v>
      </c>
      <c r="AS36" s="3">
        <f t="shared" ca="1" si="38"/>
        <v>17.799999999999997</v>
      </c>
      <c r="AT36" s="3">
        <f t="shared" ca="1" si="38"/>
        <v>12.900000000000006</v>
      </c>
      <c r="AU36" s="4">
        <f ca="1">MINA(AS36:AT36)</f>
        <v>12.900000000000006</v>
      </c>
      <c r="AV36" s="4">
        <f ca="1">MAX(AS36:AT36)</f>
        <v>17.799999999999997</v>
      </c>
      <c r="AW36" s="4"/>
      <c r="AX36" s="4"/>
    </row>
    <row r="37" spans="3:50" x14ac:dyDescent="0.2">
      <c r="C37" s="5">
        <f>Accuracy!F36</f>
        <v>105</v>
      </c>
      <c r="D37" s="5">
        <f>'Resistor Network'!AB37</f>
        <v>3.1612472831349936E-2</v>
      </c>
      <c r="E37" s="5">
        <f>'Resistor Network'!AC37</f>
        <v>2.8789038325454239E-2</v>
      </c>
      <c r="F37" s="5">
        <f>'Resistor Network'!AD37</f>
        <v>3.4622505094686812E-2</v>
      </c>
      <c r="G37" s="8"/>
      <c r="H37" s="8"/>
      <c r="J37">
        <f t="shared" si="32"/>
        <v>1036</v>
      </c>
      <c r="K37">
        <f t="shared" si="32"/>
        <v>943</v>
      </c>
      <c r="L37">
        <f t="shared" si="32"/>
        <v>1135</v>
      </c>
      <c r="N37" s="4">
        <f t="shared" si="33"/>
        <v>3.16162109375E-2</v>
      </c>
      <c r="O37" s="4">
        <f t="shared" si="33"/>
        <v>2.8778076171875E-2</v>
      </c>
      <c r="P37" s="4">
        <f t="shared" si="33"/>
        <v>3.4637451171875E-2</v>
      </c>
      <c r="Q37" s="4"/>
      <c r="R37" s="4">
        <f ca="1">N37/($R$42*N37^4+$R$43*N37^3+$R$44*N37^2+$R$45*N37+$R$46)*2^14</f>
        <v>0.41941257947718846</v>
      </c>
      <c r="S37" s="4">
        <f t="shared" ca="1" si="31"/>
        <v>0.41022962488771475</v>
      </c>
      <c r="T37" s="4">
        <f t="shared" ca="1" si="31"/>
        <v>0.42805263017411194</v>
      </c>
      <c r="V37" s="4">
        <f t="shared" ca="1" si="34"/>
        <v>0.41941257947718846</v>
      </c>
      <c r="W37" s="4">
        <f t="shared" ca="1" si="34"/>
        <v>0.41022962488771475</v>
      </c>
      <c r="X37" s="4">
        <f t="shared" ca="1" si="34"/>
        <v>0.42805263017411194</v>
      </c>
      <c r="Z37">
        <f t="shared" ca="1" si="35"/>
        <v>3786.1888170860157</v>
      </c>
      <c r="AA37">
        <f t="shared" ca="1" si="35"/>
        <v>3825.4249788132202</v>
      </c>
      <c r="AB37">
        <f t="shared" ca="1" si="35"/>
        <v>3749.7936140190354</v>
      </c>
      <c r="AC37" s="39"/>
      <c r="AD37" s="3">
        <f t="shared" ca="1" si="36"/>
        <v>105.5</v>
      </c>
      <c r="AE37" s="3">
        <f t="shared" ca="1" si="36"/>
        <v>109.4</v>
      </c>
      <c r="AF37" s="3">
        <f t="shared" ca="1" si="36"/>
        <v>101.8</v>
      </c>
      <c r="AG37" s="1"/>
      <c r="AH37" s="3">
        <f t="shared" ca="1" si="37"/>
        <v>0.5</v>
      </c>
      <c r="AI37" s="3">
        <f t="shared" ca="1" si="37"/>
        <v>4.4000000000000057</v>
      </c>
      <c r="AJ37" s="3">
        <f t="shared" ca="1" si="37"/>
        <v>-3.2000000000000028</v>
      </c>
      <c r="AK37" s="4">
        <f ca="1">MINA(AI37:AJ37)</f>
        <v>-3.2000000000000028</v>
      </c>
      <c r="AL37" s="4">
        <f ca="1">MAX(AI37:AJ37)</f>
        <v>4.4000000000000057</v>
      </c>
      <c r="AM37" s="20"/>
      <c r="AN37" s="4">
        <f ca="1">AD37-($AD$18-$B$5)</f>
        <v>120.8</v>
      </c>
      <c r="AO37" s="4">
        <f ca="1">AE37-($AE$18-$B$5)</f>
        <v>123.60000000000001</v>
      </c>
      <c r="AP37" s="4">
        <f ca="1">AF37-($AF$18-$B$5)</f>
        <v>118</v>
      </c>
      <c r="AQ37" s="38"/>
      <c r="AR37" s="3">
        <f t="shared" ca="1" si="38"/>
        <v>15.799999999999997</v>
      </c>
      <c r="AS37" s="3">
        <f t="shared" ca="1" si="38"/>
        <v>18.600000000000009</v>
      </c>
      <c r="AT37" s="3">
        <f t="shared" ca="1" si="38"/>
        <v>13</v>
      </c>
      <c r="AU37" s="4">
        <f ca="1">MINA(AS37:AT37)</f>
        <v>13</v>
      </c>
      <c r="AV37" s="4">
        <f ca="1">MAX(AS37:AT37)</f>
        <v>18.600000000000009</v>
      </c>
      <c r="AW37" s="4"/>
      <c r="AX37" s="4"/>
    </row>
    <row r="38" spans="3:50" x14ac:dyDescent="0.2">
      <c r="C38" s="5">
        <f>Accuracy!F37</f>
        <v>0</v>
      </c>
      <c r="D38" s="5">
        <f>'Resistor Network'!AB38</f>
        <v>0</v>
      </c>
      <c r="E38" s="5" t="e">
        <f>'Resistor Network'!AC38</f>
        <v>#NUM!</v>
      </c>
      <c r="F38" s="5" t="e">
        <f>'Resistor Network'!AD38</f>
        <v>#NUM!</v>
      </c>
      <c r="G38" s="8"/>
      <c r="H38" s="8"/>
      <c r="J38">
        <f t="shared" si="32"/>
        <v>0</v>
      </c>
      <c r="K38" t="e">
        <f t="shared" si="32"/>
        <v>#NUM!</v>
      </c>
      <c r="L38" t="e">
        <f t="shared" si="32"/>
        <v>#NUM!</v>
      </c>
      <c r="N38" s="4">
        <f t="shared" si="33"/>
        <v>0</v>
      </c>
      <c r="O38" s="4" t="e">
        <f t="shared" si="33"/>
        <v>#NUM!</v>
      </c>
      <c r="P38" s="4" t="e">
        <f t="shared" si="33"/>
        <v>#NUM!</v>
      </c>
      <c r="Q38" s="4"/>
      <c r="R38" s="4">
        <f ca="1">N38/($R$42*N38^4+$R$43*N38^3+$R$44*N38^2+$R$45*N38+$R$46)*2^14</f>
        <v>0</v>
      </c>
      <c r="S38" s="4" t="e">
        <f t="shared" ca="1" si="31"/>
        <v>#NUM!</v>
      </c>
      <c r="T38" s="4" t="e">
        <f t="shared" ca="1" si="31"/>
        <v>#NUM!</v>
      </c>
      <c r="V38" s="4">
        <f t="shared" ca="1" si="34"/>
        <v>0</v>
      </c>
      <c r="W38" s="4" t="e">
        <f t="shared" ca="1" si="34"/>
        <v>#NUM!</v>
      </c>
      <c r="X38" s="4" t="e">
        <f t="shared" ca="1" si="34"/>
        <v>#NUM!</v>
      </c>
      <c r="Z38">
        <f t="shared" ca="1" si="35"/>
        <v>6511</v>
      </c>
      <c r="AA38" t="e">
        <f t="shared" ca="1" si="35"/>
        <v>#NUM!</v>
      </c>
      <c r="AB38" t="e">
        <f t="shared" ca="1" si="35"/>
        <v>#NUM!</v>
      </c>
      <c r="AC38" s="39"/>
      <c r="AD38" s="3">
        <f t="shared" ca="1" si="36"/>
        <v>378</v>
      </c>
      <c r="AE38" s="3" t="e">
        <f t="shared" ca="1" si="36"/>
        <v>#NUM!</v>
      </c>
      <c r="AF38" s="3" t="e">
        <f t="shared" ca="1" si="36"/>
        <v>#NUM!</v>
      </c>
      <c r="AG38" s="1"/>
      <c r="AH38" s="3">
        <f t="shared" ca="1" si="37"/>
        <v>378</v>
      </c>
      <c r="AI38" s="3" t="e">
        <f t="shared" ca="1" si="37"/>
        <v>#NUM!</v>
      </c>
      <c r="AJ38" s="3" t="e">
        <f t="shared" ca="1" si="37"/>
        <v>#NUM!</v>
      </c>
      <c r="AK38" s="4" t="e">
        <f ca="1">MINA(AI38:AJ38)</f>
        <v>#NUM!</v>
      </c>
      <c r="AL38" s="4" t="e">
        <f ca="1">MAX(AI38:AJ38)</f>
        <v>#NUM!</v>
      </c>
      <c r="AM38" s="20"/>
      <c r="AN38" s="4">
        <f ca="1">AD38-($AD$18-$B$5)</f>
        <v>393.3</v>
      </c>
      <c r="AO38" s="4" t="e">
        <f ca="1">AE38-($AE$18-$B$5)</f>
        <v>#NUM!</v>
      </c>
      <c r="AP38" s="4" t="e">
        <f ca="1">AF38-($AF$18-$B$5)</f>
        <v>#NUM!</v>
      </c>
      <c r="AQ38" s="38"/>
      <c r="AR38" s="3">
        <f t="shared" ca="1" si="38"/>
        <v>393.3</v>
      </c>
      <c r="AS38" s="3" t="e">
        <f t="shared" ca="1" si="38"/>
        <v>#NUM!</v>
      </c>
      <c r="AT38" s="3" t="e">
        <f t="shared" ca="1" si="38"/>
        <v>#NUM!</v>
      </c>
      <c r="AU38" s="4" t="e">
        <f ca="1">MINA(AS38:AT38)</f>
        <v>#NUM!</v>
      </c>
      <c r="AV38" s="4" t="e">
        <f ca="1">MAX(AS38:AT38)</f>
        <v>#NUM!</v>
      </c>
      <c r="AW38" s="4"/>
      <c r="AX38" s="4"/>
    </row>
    <row r="39" spans="3:50" x14ac:dyDescent="0.2">
      <c r="C39" s="5">
        <f>Accuracy!F38</f>
        <v>0</v>
      </c>
      <c r="D39" s="5">
        <f>'Resistor Network'!AB39</f>
        <v>0</v>
      </c>
      <c r="E39" s="5" t="e">
        <f>'Resistor Network'!AC39</f>
        <v>#NUM!</v>
      </c>
      <c r="F39" s="5" t="e">
        <f>'Resistor Network'!AD39</f>
        <v>#NUM!</v>
      </c>
      <c r="G39" s="8"/>
      <c r="H39" s="8"/>
      <c r="J39">
        <f t="shared" si="32"/>
        <v>0</v>
      </c>
      <c r="K39" t="e">
        <f t="shared" si="32"/>
        <v>#NUM!</v>
      </c>
      <c r="L39" t="e">
        <f t="shared" si="32"/>
        <v>#NUM!</v>
      </c>
      <c r="N39" s="4">
        <f t="shared" si="33"/>
        <v>0</v>
      </c>
      <c r="O39" s="4" t="e">
        <f t="shared" si="33"/>
        <v>#NUM!</v>
      </c>
      <c r="P39" s="4" t="e">
        <f t="shared" si="33"/>
        <v>#NUM!</v>
      </c>
      <c r="Q39" s="4"/>
      <c r="R39" s="4">
        <f ca="1">N39/($R$42*N39^4+$R$43*N39^3+$R$44*N39^2+$R$45*N39+$R$46)*2^14</f>
        <v>0</v>
      </c>
      <c r="S39" s="4" t="e">
        <f t="shared" ca="1" si="31"/>
        <v>#NUM!</v>
      </c>
      <c r="T39" s="4" t="e">
        <f t="shared" ca="1" si="31"/>
        <v>#NUM!</v>
      </c>
      <c r="V39" s="4">
        <f t="shared" ca="1" si="34"/>
        <v>0</v>
      </c>
      <c r="W39" s="4" t="e">
        <f t="shared" ca="1" si="34"/>
        <v>#NUM!</v>
      </c>
      <c r="X39" s="4" t="e">
        <f t="shared" ca="1" si="34"/>
        <v>#NUM!</v>
      </c>
      <c r="Z39">
        <f t="shared" ca="1" si="35"/>
        <v>6511</v>
      </c>
      <c r="AA39" t="e">
        <f t="shared" ca="1" si="35"/>
        <v>#NUM!</v>
      </c>
      <c r="AB39" t="e">
        <f t="shared" ca="1" si="35"/>
        <v>#NUM!</v>
      </c>
      <c r="AC39" s="39"/>
      <c r="AD39" s="3">
        <f t="shared" ca="1" si="36"/>
        <v>378</v>
      </c>
      <c r="AE39" s="3" t="e">
        <f t="shared" ca="1" si="36"/>
        <v>#NUM!</v>
      </c>
      <c r="AF39" s="3" t="e">
        <f t="shared" ca="1" si="36"/>
        <v>#NUM!</v>
      </c>
      <c r="AG39" s="1"/>
      <c r="AH39" s="3">
        <f t="shared" ca="1" si="37"/>
        <v>378</v>
      </c>
      <c r="AI39" s="3" t="e">
        <f t="shared" ca="1" si="37"/>
        <v>#NUM!</v>
      </c>
      <c r="AJ39" s="3" t="e">
        <f t="shared" ca="1" si="37"/>
        <v>#NUM!</v>
      </c>
      <c r="AK39" s="4" t="e">
        <f ca="1">MINA(AI39:AJ39)</f>
        <v>#NUM!</v>
      </c>
      <c r="AL39" s="4" t="e">
        <f ca="1">MAX(AI39:AJ39)</f>
        <v>#NUM!</v>
      </c>
      <c r="AM39" s="20"/>
      <c r="AN39" s="4">
        <f ca="1">AD39-($AD$18-$B$5)</f>
        <v>393.3</v>
      </c>
      <c r="AO39" s="4" t="e">
        <f ca="1">AE39-($AE$18-$B$5)</f>
        <v>#NUM!</v>
      </c>
      <c r="AP39" s="4" t="e">
        <f ca="1">AF39-($AF$18-$B$5)</f>
        <v>#NUM!</v>
      </c>
      <c r="AQ39" s="38"/>
      <c r="AR39" s="3">
        <f t="shared" ca="1" si="38"/>
        <v>393.3</v>
      </c>
      <c r="AS39" s="3" t="e">
        <f t="shared" ca="1" si="38"/>
        <v>#NUM!</v>
      </c>
      <c r="AT39" s="3" t="e">
        <f t="shared" ca="1" si="38"/>
        <v>#NUM!</v>
      </c>
      <c r="AU39" s="4" t="e">
        <f ca="1">MINA(AS39:AT39)</f>
        <v>#NUM!</v>
      </c>
      <c r="AV39" s="4" t="e">
        <f ca="1">MAX(AS39:AT39)</f>
        <v>#NUM!</v>
      </c>
      <c r="AW39" s="4"/>
      <c r="AX39" s="4"/>
    </row>
    <row r="40" spans="3:50" x14ac:dyDescent="0.2">
      <c r="C40" s="5">
        <f>Accuracy!F39</f>
        <v>0</v>
      </c>
      <c r="D40" s="5">
        <f>'Resistor Network'!AB40</f>
        <v>0</v>
      </c>
      <c r="E40" s="5" t="e">
        <f>'Resistor Network'!AC40</f>
        <v>#NUM!</v>
      </c>
      <c r="F40" s="5" t="e">
        <f>'Resistor Network'!AD40</f>
        <v>#NUM!</v>
      </c>
      <c r="G40" s="8"/>
      <c r="H40" s="8"/>
      <c r="J40">
        <f t="shared" si="32"/>
        <v>0</v>
      </c>
      <c r="K40" t="e">
        <f t="shared" si="32"/>
        <v>#NUM!</v>
      </c>
      <c r="L40" t="e">
        <f t="shared" si="32"/>
        <v>#NUM!</v>
      </c>
      <c r="N40" s="4">
        <f t="shared" si="33"/>
        <v>0</v>
      </c>
      <c r="O40" s="4" t="e">
        <f t="shared" si="33"/>
        <v>#NUM!</v>
      </c>
      <c r="P40" s="4" t="e">
        <f t="shared" si="33"/>
        <v>#NUM!</v>
      </c>
      <c r="Q40" s="4"/>
      <c r="R40" s="4">
        <f ca="1">N40/($R$42*N40^4+$R$43*N40^3+$R$44*N40^2+$R$45*N40+$R$46)*2^14</f>
        <v>0</v>
      </c>
      <c r="S40" s="4" t="e">
        <f t="shared" ca="1" si="31"/>
        <v>#NUM!</v>
      </c>
      <c r="T40" s="4" t="e">
        <f t="shared" ca="1" si="31"/>
        <v>#NUM!</v>
      </c>
      <c r="V40" s="4">
        <f t="shared" ca="1" si="34"/>
        <v>0</v>
      </c>
      <c r="W40" s="4" t="e">
        <f t="shared" ca="1" si="34"/>
        <v>#NUM!</v>
      </c>
      <c r="X40" s="4" t="e">
        <f t="shared" ca="1" si="34"/>
        <v>#NUM!</v>
      </c>
      <c r="Z40">
        <f t="shared" ca="1" si="35"/>
        <v>6511</v>
      </c>
      <c r="AA40" t="e">
        <f t="shared" ca="1" si="35"/>
        <v>#NUM!</v>
      </c>
      <c r="AB40" t="e">
        <f t="shared" ca="1" si="35"/>
        <v>#NUM!</v>
      </c>
      <c r="AC40" s="39"/>
      <c r="AD40" s="3">
        <f t="shared" ca="1" si="36"/>
        <v>378</v>
      </c>
      <c r="AE40" s="3" t="e">
        <f t="shared" ca="1" si="36"/>
        <v>#NUM!</v>
      </c>
      <c r="AF40" s="3" t="e">
        <f t="shared" ca="1" si="36"/>
        <v>#NUM!</v>
      </c>
      <c r="AG40" s="1"/>
      <c r="AH40" s="3">
        <f t="shared" ca="1" si="37"/>
        <v>378</v>
      </c>
      <c r="AI40" s="3" t="e">
        <f t="shared" ca="1" si="37"/>
        <v>#NUM!</v>
      </c>
      <c r="AJ40" s="3" t="e">
        <f t="shared" ca="1" si="37"/>
        <v>#NUM!</v>
      </c>
      <c r="AK40" s="4" t="e">
        <f ca="1">MINA(AI40:AJ40)</f>
        <v>#NUM!</v>
      </c>
      <c r="AL40" s="4" t="e">
        <f ca="1">MAX(AI40:AJ40)</f>
        <v>#NUM!</v>
      </c>
      <c r="AM40" s="20"/>
      <c r="AN40" s="4">
        <f ca="1">AD40-($AD$18-$B$5)</f>
        <v>393.3</v>
      </c>
      <c r="AO40" s="4" t="e">
        <f ca="1">AE40-($AE$18-$B$5)</f>
        <v>#NUM!</v>
      </c>
      <c r="AP40" s="4" t="e">
        <f ca="1">AF40-($AF$18-$B$5)</f>
        <v>#NUM!</v>
      </c>
      <c r="AQ40" s="38"/>
      <c r="AR40" s="3">
        <f t="shared" ca="1" si="38"/>
        <v>393.3</v>
      </c>
      <c r="AS40" s="3" t="e">
        <f t="shared" ca="1" si="38"/>
        <v>#NUM!</v>
      </c>
      <c r="AT40" s="3" t="e">
        <f t="shared" ca="1" si="38"/>
        <v>#NUM!</v>
      </c>
      <c r="AU40" s="4" t="e">
        <f ca="1">MINA(AS40:AT40)</f>
        <v>#NUM!</v>
      </c>
      <c r="AV40" s="4" t="e">
        <f ca="1">MAX(AS40:AT40)</f>
        <v>#NUM!</v>
      </c>
      <c r="AW40" s="4"/>
      <c r="AX40" s="4"/>
    </row>
    <row r="41" spans="3:50" x14ac:dyDescent="0.2">
      <c r="G41" s="20"/>
      <c r="H41" s="20"/>
      <c r="AA41" s="8"/>
      <c r="AB41" s="8"/>
      <c r="AC41" s="8"/>
      <c r="AM41" s="20"/>
      <c r="AN41" s="20"/>
      <c r="AO41" s="20"/>
      <c r="AP41" s="20"/>
      <c r="AQ41" s="20"/>
    </row>
    <row r="42" spans="3:50" x14ac:dyDescent="0.2">
      <c r="Q42" s="5" t="s">
        <v>86</v>
      </c>
      <c r="R42" s="5">
        <f ca="1">ROUND('best fit'!T43,0)</f>
        <v>-28356</v>
      </c>
      <c r="AA42" s="8"/>
      <c r="AB42" s="40"/>
      <c r="AC42" s="8"/>
      <c r="AM42" s="20"/>
      <c r="AN42" s="38"/>
      <c r="AO42" s="20"/>
      <c r="AP42" s="20"/>
      <c r="AQ42" s="20"/>
    </row>
    <row r="43" spans="3:50" x14ac:dyDescent="0.2">
      <c r="Q43" s="5" t="s">
        <v>53</v>
      </c>
      <c r="R43" s="5">
        <f ca="1">ROUND('best fit'!U43,0)</f>
        <v>48907</v>
      </c>
      <c r="Y43" s="5" t="s">
        <v>92</v>
      </c>
      <c r="Z43" s="5">
        <f ca="1">ROUND('best fit'!AD43,0)</f>
        <v>-4757</v>
      </c>
      <c r="AC43" s="8"/>
      <c r="AM43" s="20"/>
      <c r="AN43" s="20"/>
      <c r="AO43" s="20"/>
      <c r="AP43" s="20"/>
      <c r="AQ43" s="20"/>
    </row>
    <row r="44" spans="3:50" x14ac:dyDescent="0.2">
      <c r="Q44" s="5" t="s">
        <v>52</v>
      </c>
      <c r="R44" s="5">
        <f ca="1">ROUND('best fit'!V43,0)</f>
        <v>-34015</v>
      </c>
      <c r="Y44" s="5" t="s">
        <v>93</v>
      </c>
      <c r="Z44" s="5">
        <f ca="1">ROUND('best fit'!AE43,0)</f>
        <v>9368</v>
      </c>
      <c r="AC44" s="8"/>
      <c r="AM44" s="20"/>
      <c r="AN44" s="20"/>
      <c r="AO44" s="20"/>
      <c r="AP44" s="20"/>
      <c r="AQ44" s="20"/>
    </row>
    <row r="45" spans="3:50" x14ac:dyDescent="0.2">
      <c r="Q45" s="5" t="s">
        <v>51</v>
      </c>
      <c r="R45" s="5">
        <f ca="1">ROUND('best fit'!W43,0)</f>
        <v>32121</v>
      </c>
      <c r="Y45" s="5" t="s">
        <v>94</v>
      </c>
      <c r="Z45" s="5">
        <f ca="1">ROUND('best fit'!AF43,0)</f>
        <v>-9589</v>
      </c>
      <c r="AC45" s="8"/>
      <c r="AM45" s="20"/>
      <c r="AN45" s="20"/>
      <c r="AO45" s="20"/>
      <c r="AP45" s="20"/>
      <c r="AQ45" s="20"/>
    </row>
    <row r="46" spans="3:50" x14ac:dyDescent="0.2">
      <c r="Q46" s="5" t="s">
        <v>98</v>
      </c>
      <c r="R46" s="5">
        <f ca="1">ROUND('best fit'!X43,0)</f>
        <v>252</v>
      </c>
      <c r="Y46" s="5" t="s">
        <v>111</v>
      </c>
      <c r="Z46" s="5">
        <f ca="1">ROUND('best fit'!AG43,0)</f>
        <v>6511</v>
      </c>
      <c r="AC46" s="8"/>
      <c r="AM46" s="20"/>
      <c r="AN46" s="20"/>
      <c r="AO46" s="20"/>
      <c r="AP46" s="20"/>
      <c r="AQ46" s="20"/>
    </row>
    <row r="47" spans="3:50" x14ac:dyDescent="0.2">
      <c r="Y47" s="8"/>
      <c r="Z47" s="8"/>
      <c r="AC47" s="8"/>
      <c r="AM47" s="20"/>
      <c r="AN47" s="20"/>
      <c r="AO47" s="20"/>
      <c r="AP47" s="20"/>
      <c r="AQ47" s="20"/>
    </row>
  </sheetData>
  <phoneticPr fontId="1" type="noConversion"/>
  <conditionalFormatting sqref="Y42 Z5:AB39 Y6:Y39 Y40:AB40">
    <cfRule type="cellIs" dxfId="0" priority="1" stopIfTrue="1" operator="notBetween">
      <formula>-32768</formula>
      <formula>32768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I43"/>
  <sheetViews>
    <sheetView zoomScale="70" workbookViewId="0">
      <selection activeCell="G5" sqref="G5"/>
    </sheetView>
  </sheetViews>
  <sheetFormatPr defaultRowHeight="12.75" x14ac:dyDescent="0.2"/>
  <cols>
    <col min="3" max="3" width="12.42578125" bestFit="1" customWidth="1"/>
    <col min="4" max="4" width="13.28515625" bestFit="1" customWidth="1"/>
    <col min="5" max="5" width="12.5703125" bestFit="1" customWidth="1"/>
    <col min="6" max="6" width="12.5703125" customWidth="1"/>
    <col min="7" max="7" width="9.42578125" bestFit="1" customWidth="1"/>
    <col min="8" max="8" width="12.42578125" bestFit="1" customWidth="1"/>
    <col min="9" max="13" width="12.42578125" customWidth="1"/>
    <col min="14" max="14" width="9.28515625" customWidth="1"/>
    <col min="15" max="15" width="14.85546875" customWidth="1"/>
    <col min="17" max="17" width="12.5703125" bestFit="1" customWidth="1"/>
    <col min="18" max="18" width="12.5703125" customWidth="1"/>
    <col min="19" max="19" width="12.5703125" bestFit="1" customWidth="1"/>
    <col min="20" max="31" width="12.5703125" customWidth="1"/>
    <col min="32" max="32" width="11" bestFit="1" customWidth="1"/>
    <col min="37" max="37" width="13.140625" bestFit="1" customWidth="1"/>
    <col min="42" max="42" width="13.140625" bestFit="1" customWidth="1"/>
    <col min="43" max="43" width="12.5703125" bestFit="1" customWidth="1"/>
    <col min="44" max="45" width="9.28515625" bestFit="1" customWidth="1"/>
  </cols>
  <sheetData>
    <row r="3" spans="1:35" x14ac:dyDescent="0.2">
      <c r="P3" t="s">
        <v>113</v>
      </c>
      <c r="V3" t="s">
        <v>114</v>
      </c>
      <c r="AD3" t="s">
        <v>116</v>
      </c>
      <c r="AE3" t="s">
        <v>115</v>
      </c>
    </row>
    <row r="4" spans="1:35" x14ac:dyDescent="0.2">
      <c r="C4" s="5" t="str">
        <f>Digital!C4</f>
        <v>Temperature</v>
      </c>
      <c r="D4" s="5" t="str">
        <f>Accuracy!G3</f>
        <v>Res (Ω)</v>
      </c>
      <c r="E4" s="5" t="str">
        <f>Thermistor!K4</f>
        <v>BETA</v>
      </c>
      <c r="F4" s="5" t="s">
        <v>38</v>
      </c>
      <c r="G4" s="5" t="s">
        <v>71</v>
      </c>
      <c r="H4" s="5" t="s">
        <v>73</v>
      </c>
      <c r="I4" s="5" t="s">
        <v>112</v>
      </c>
      <c r="J4" s="8" t="s">
        <v>121</v>
      </c>
      <c r="K4" s="8" t="s">
        <v>117</v>
      </c>
      <c r="L4" s="8" t="s">
        <v>118</v>
      </c>
      <c r="N4" t="s">
        <v>90</v>
      </c>
      <c r="O4" t="s">
        <v>87</v>
      </c>
      <c r="P4" t="s">
        <v>38</v>
      </c>
      <c r="Q4" t="s">
        <v>91</v>
      </c>
      <c r="S4" t="s">
        <v>99</v>
      </c>
      <c r="T4" t="s">
        <v>96</v>
      </c>
      <c r="U4" t="s">
        <v>97</v>
      </c>
      <c r="V4" t="s">
        <v>100</v>
      </c>
      <c r="W4" t="s">
        <v>101</v>
      </c>
      <c r="X4" t="s">
        <v>12</v>
      </c>
      <c r="Y4" t="s">
        <v>102</v>
      </c>
      <c r="AA4" s="8" t="s">
        <v>120</v>
      </c>
      <c r="AB4" s="8" t="s">
        <v>119</v>
      </c>
      <c r="AI4" t="s">
        <v>103</v>
      </c>
    </row>
    <row r="5" spans="1:35" x14ac:dyDescent="0.2">
      <c r="A5" s="4">
        <v>0.86</v>
      </c>
      <c r="B5">
        <v>1</v>
      </c>
      <c r="C5" s="5">
        <f>Digital!C5</f>
        <v>-55</v>
      </c>
      <c r="D5" s="5">
        <f>Accuracy!G4</f>
        <v>963849</v>
      </c>
      <c r="E5" s="5">
        <f>Thermistor!K5</f>
        <v>3687.3009278704708</v>
      </c>
      <c r="F5" s="42">
        <f>Digital!D5</f>
        <v>0.98166724211156708</v>
      </c>
      <c r="G5" s="5">
        <f>Accuracy!D12</f>
        <v>18000</v>
      </c>
      <c r="H5" s="5">
        <f>'Resistor Network'!S5</f>
        <v>0</v>
      </c>
      <c r="I5" s="5">
        <f>Accuracy!D3</f>
        <v>-55</v>
      </c>
      <c r="J5" t="str">
        <f>ADDRESS(MATCH($I$5,$C$5:$C$40,0)+4,3)</f>
        <v>$C$5</v>
      </c>
      <c r="K5" t="str">
        <f>ADDRESS(MATCH(I5,C5:C40,0)+4,16)</f>
        <v>$P$5</v>
      </c>
      <c r="L5" t="str">
        <f>ADDRESS(MATCH($I$5,$C5:$C40,0)+4,22)</f>
        <v>$V$5</v>
      </c>
      <c r="N5">
        <f>C5-0.1</f>
        <v>-55.1</v>
      </c>
      <c r="O5" s="37">
        <f>$D$18*EXP(E5*($C$18-N5)/(($C$18+273.15)*(N5+273.15)))</f>
        <v>971349.50706222188</v>
      </c>
      <c r="P5" s="4">
        <f>(O5+$H$5)/(O5+$H$5+$G$5)</f>
        <v>0.98180622735291068</v>
      </c>
      <c r="Q5" s="37">
        <f>ROUND(-LN((P5-F5))/LN(2)+0.5,0)</f>
        <v>13</v>
      </c>
      <c r="R5" s="37"/>
      <c r="S5" s="4">
        <f>($A$35-$A$5)/($A$42-1)*(B5-1)+$A$5</f>
        <v>0.86</v>
      </c>
      <c r="T5" s="37">
        <f>ROUND(S5*2^15,0)</f>
        <v>28180</v>
      </c>
      <c r="U5" s="4">
        <f t="shared" ref="U5:U40" si="0">P5/S5</f>
        <v>1.1416351480847799</v>
      </c>
      <c r="V5" s="4">
        <f>U5*2^14</f>
        <v>18704.550266221035</v>
      </c>
      <c r="W5" s="3">
        <f ca="1">$T$43*P5^4+$U$43*P5^3+$V$43*P5^2+$W$43*P5+$X$43</f>
        <v>18937.852144355697</v>
      </c>
      <c r="X5" s="4">
        <f t="shared" ref="X5:X35" ca="1" si="1">P5/W5*2^14</f>
        <v>0.84940536584263016</v>
      </c>
      <c r="Y5" s="3">
        <f ca="1">W5-V5</f>
        <v>233.30187813466182</v>
      </c>
      <c r="Z5" s="37"/>
      <c r="AA5" t="str">
        <f>ADDRESS(MATCH($I$5,$C5:$C40,0)+4,30)</f>
        <v>$AD$5</v>
      </c>
      <c r="AB5" t="str">
        <f>ADDRESS(MATCH($I$5,$C5:$C40,0)+4,31)</f>
        <v>$AE$5</v>
      </c>
      <c r="AD5" s="4">
        <f ca="1">X5</f>
        <v>0.84940536584263016</v>
      </c>
      <c r="AE5" s="37">
        <f>C5*10+2731.5</f>
        <v>2181.5</v>
      </c>
      <c r="AF5">
        <v>110</v>
      </c>
      <c r="AG5">
        <f ca="1">$AD$43*AD5^3+$AE$43*AD5^2+$AF$43*AD5+$AG$43</f>
        <v>2209.268737416236</v>
      </c>
      <c r="AI5" s="4">
        <f ca="1">(AG5-AE5)/10</f>
        <v>2.7768737416236036</v>
      </c>
    </row>
    <row r="6" spans="1:35" x14ac:dyDescent="0.2">
      <c r="A6" s="4"/>
      <c r="B6">
        <v>2</v>
      </c>
      <c r="C6" s="5">
        <f>Digital!C6</f>
        <v>-50</v>
      </c>
      <c r="D6" s="5">
        <f>Accuracy!G5</f>
        <v>670166</v>
      </c>
      <c r="E6" s="5">
        <f>Thermistor!K6</f>
        <v>3703.4320210882802</v>
      </c>
      <c r="F6" s="42">
        <f>Digital!D6</f>
        <v>0.9738435203134127</v>
      </c>
      <c r="I6" s="5">
        <f>Accuracy!D4</f>
        <v>105</v>
      </c>
      <c r="J6" t="str">
        <f>ADDRESS(MATCH($I$6,$C$5:$C$40,0)+4,3)</f>
        <v>$C$37</v>
      </c>
      <c r="K6" t="str">
        <f>ADDRESS(MATCH(I6,C5:C40,0)+4,16)</f>
        <v>$P$37</v>
      </c>
      <c r="L6" t="str">
        <f>ADDRESS(MATCH($I$6,$C6:$C41,0)+5,22)</f>
        <v>$V$37</v>
      </c>
      <c r="N6">
        <f t="shared" ref="N6:N40" si="2">C6-0.1</f>
        <v>-50.1</v>
      </c>
      <c r="O6" s="37">
        <f t="shared" ref="O6:O40" si="3">$D$18*EXP(E6*($C$18-N6)/(($C$18+273.15)*(N6+273.15)))</f>
        <v>675171.00305339484</v>
      </c>
      <c r="P6" s="4">
        <f t="shared" ref="P6:P34" si="4">(O6+$H$5)/(O6+$H$5+$G$5)</f>
        <v>0.97403238173450624</v>
      </c>
      <c r="Q6" s="37">
        <f t="shared" ref="Q6:Q40" si="5">ROUND(-LN((P6-F6))/LN(2)+0.5,0)</f>
        <v>13</v>
      </c>
      <c r="R6" s="37"/>
      <c r="S6" s="4">
        <f t="shared" ref="S6:S40" si="6">($A$35-$A$5)/($A$42-1)*(B6-1)+$A$5</f>
        <v>0.84599999999999997</v>
      </c>
      <c r="T6" s="37">
        <f t="shared" ref="T6:T40" si="7">ROUND(S6*2^15,0)</f>
        <v>27722</v>
      </c>
      <c r="U6" s="4">
        <f t="shared" si="0"/>
        <v>1.1513385126885416</v>
      </c>
      <c r="V6" s="4">
        <f t="shared" ref="V6:V40" si="8">U6*2^14</f>
        <v>18863.530191889065</v>
      </c>
      <c r="W6" s="3">
        <f t="shared" ref="W6:W35" ca="1" si="9">$T$43*P6^4+$U$43*P6^3+$V$43*P6^2+$W$43*P6+$X$43</f>
        <v>18939.178760952997</v>
      </c>
      <c r="X6" s="4">
        <f t="shared" ca="1" si="1"/>
        <v>0.84262083080603101</v>
      </c>
      <c r="Y6" s="3">
        <f t="shared" ref="Y6:Y35" ca="1" si="10">W6-V6</f>
        <v>75.648569063931063</v>
      </c>
      <c r="Z6" s="37"/>
      <c r="AA6" t="str">
        <f>ADDRESS(MATCH($I$6,$C6:$C41,0)+5,30)</f>
        <v>$AD$37</v>
      </c>
      <c r="AB6" t="str">
        <f>ADDRESS(MATCH($I$6,$C6:$C41,0)+5,31)</f>
        <v>$AE$37</v>
      </c>
      <c r="AD6" s="4">
        <f t="shared" ref="AD6:AD35" ca="1" si="11">X6</f>
        <v>0.84262083080603101</v>
      </c>
      <c r="AE6" s="37">
        <f t="shared" ref="AE6:AE35" si="12">C6*10+2731.5</f>
        <v>2231.5</v>
      </c>
      <c r="AF6">
        <v>105</v>
      </c>
      <c r="AG6">
        <f t="shared" ref="AG6:AG34" ca="1" si="13">$AD$43*AD6^3+$AE$43*AD6^2+$AF$43*AD6+$AG$43</f>
        <v>2236.0882672797961</v>
      </c>
      <c r="AI6" s="4">
        <f t="shared" ref="AI6:AI35" ca="1" si="14">(AG6-AE6)/10</f>
        <v>0.45882672797961277</v>
      </c>
    </row>
    <row r="7" spans="1:35" x14ac:dyDescent="0.2">
      <c r="B7">
        <v>3</v>
      </c>
      <c r="C7" s="5">
        <f>Digital!C7</f>
        <v>-45</v>
      </c>
      <c r="D7" s="5">
        <f>Accuracy!G6</f>
        <v>471985</v>
      </c>
      <c r="E7" s="5">
        <f>Thermistor!K7</f>
        <v>3718.8577800891694</v>
      </c>
      <c r="F7" s="42">
        <f>Digital!D7</f>
        <v>0.96326418155657823</v>
      </c>
      <c r="N7">
        <f t="shared" si="2"/>
        <v>-45.1</v>
      </c>
      <c r="O7" s="37">
        <f t="shared" si="3"/>
        <v>475370.63564727502</v>
      </c>
      <c r="P7" s="4">
        <f t="shared" si="4"/>
        <v>0.96351627215027702</v>
      </c>
      <c r="Q7" s="37">
        <f t="shared" si="5"/>
        <v>12</v>
      </c>
      <c r="R7" s="37"/>
      <c r="S7" s="4">
        <f t="shared" si="6"/>
        <v>0.83199999999999996</v>
      </c>
      <c r="T7" s="37">
        <f t="shared" si="7"/>
        <v>27263</v>
      </c>
      <c r="U7" s="4">
        <f t="shared" si="0"/>
        <v>1.1580724424883138</v>
      </c>
      <c r="V7" s="4">
        <f t="shared" si="8"/>
        <v>18973.858897728533</v>
      </c>
      <c r="W7" s="3">
        <f t="shared" ca="1" si="9"/>
        <v>18930.903565481101</v>
      </c>
      <c r="X7" s="4">
        <f t="shared" ca="1" si="1"/>
        <v>0.83388785687414457</v>
      </c>
      <c r="Y7" s="3">
        <f t="shared" ca="1" si="10"/>
        <v>-42.955332247431215</v>
      </c>
      <c r="Z7" s="37"/>
      <c r="AA7" s="37"/>
      <c r="AB7" s="3"/>
      <c r="AD7" s="4">
        <f t="shared" ca="1" si="11"/>
        <v>0.83388785687414457</v>
      </c>
      <c r="AE7" s="37">
        <f t="shared" si="12"/>
        <v>2281.5</v>
      </c>
      <c r="AF7">
        <v>100</v>
      </c>
      <c r="AG7">
        <f t="shared" ca="1" si="13"/>
        <v>2270.2512278053346</v>
      </c>
      <c r="AI7" s="4">
        <f t="shared" ca="1" si="14"/>
        <v>-1.1248772194665435</v>
      </c>
    </row>
    <row r="8" spans="1:35" x14ac:dyDescent="0.2">
      <c r="B8">
        <v>4</v>
      </c>
      <c r="C8" s="5">
        <f>Digital!C8</f>
        <v>-40</v>
      </c>
      <c r="D8" s="5">
        <f>Accuracy!G7</f>
        <v>336479</v>
      </c>
      <c r="E8" s="5">
        <f>Thermistor!K8</f>
        <v>3733.5795805941689</v>
      </c>
      <c r="F8" s="42">
        <f>Digital!D8</f>
        <v>0.94922125147046787</v>
      </c>
      <c r="N8">
        <f t="shared" si="2"/>
        <v>-40.1</v>
      </c>
      <c r="O8" s="37">
        <f t="shared" si="3"/>
        <v>338799.02035510493</v>
      </c>
      <c r="P8" s="4">
        <f t="shared" si="4"/>
        <v>0.94955143099304062</v>
      </c>
      <c r="Q8" s="37">
        <f t="shared" si="5"/>
        <v>12</v>
      </c>
      <c r="R8" s="37"/>
      <c r="S8" s="4">
        <f t="shared" si="6"/>
        <v>0.81799999999999995</v>
      </c>
      <c r="T8" s="37">
        <f t="shared" si="7"/>
        <v>26804</v>
      </c>
      <c r="U8" s="4">
        <f t="shared" si="0"/>
        <v>1.1608208202848909</v>
      </c>
      <c r="V8" s="4">
        <f t="shared" si="8"/>
        <v>19018.888319547652</v>
      </c>
      <c r="W8" s="3">
        <f t="shared" ca="1" si="9"/>
        <v>18902.686496872804</v>
      </c>
      <c r="X8" s="4">
        <f t="shared" ca="1" si="1"/>
        <v>0.8230285492997913</v>
      </c>
      <c r="Y8" s="3">
        <f t="shared" ca="1" si="10"/>
        <v>-116.20182267484779</v>
      </c>
      <c r="Z8" s="37"/>
      <c r="AA8" s="37"/>
      <c r="AB8" s="3"/>
      <c r="AD8" s="4">
        <f t="shared" ca="1" si="11"/>
        <v>0.8230285492997913</v>
      </c>
      <c r="AE8" s="37">
        <f t="shared" si="12"/>
        <v>2331.5</v>
      </c>
      <c r="AF8">
        <v>95</v>
      </c>
      <c r="AG8">
        <f t="shared" ca="1" si="13"/>
        <v>2312.195638278261</v>
      </c>
      <c r="AI8" s="4">
        <f t="shared" ca="1" si="14"/>
        <v>-1.9304361721739043</v>
      </c>
    </row>
    <row r="9" spans="1:35" x14ac:dyDescent="0.2">
      <c r="B9">
        <v>5</v>
      </c>
      <c r="C9" s="5">
        <f>Digital!C9</f>
        <v>-35</v>
      </c>
      <c r="D9" s="5">
        <f>Accuracy!G8</f>
        <v>242681</v>
      </c>
      <c r="E9" s="5">
        <f>Thermistor!K9</f>
        <v>3747.6970946672614</v>
      </c>
      <c r="F9" s="42">
        <f>Digital!D9</f>
        <v>0.93095008842224791</v>
      </c>
      <c r="N9">
        <f t="shared" si="2"/>
        <v>-35.1</v>
      </c>
      <c r="O9" s="37">
        <f t="shared" si="3"/>
        <v>244290.59927051471</v>
      </c>
      <c r="P9" s="4">
        <f t="shared" si="4"/>
        <v>0.93137382715941119</v>
      </c>
      <c r="Q9" s="37">
        <f t="shared" si="5"/>
        <v>12</v>
      </c>
      <c r="R9" s="37"/>
      <c r="S9" s="4">
        <f t="shared" si="6"/>
        <v>0.80399999999999994</v>
      </c>
      <c r="T9" s="37">
        <f t="shared" si="7"/>
        <v>26345</v>
      </c>
      <c r="U9" s="4">
        <f t="shared" si="0"/>
        <v>1.1584251581584717</v>
      </c>
      <c r="V9" s="4">
        <f t="shared" si="8"/>
        <v>18979.6377912684</v>
      </c>
      <c r="W9" s="3">
        <f t="shared" ca="1" si="9"/>
        <v>18837.993635781288</v>
      </c>
      <c r="X9" s="4">
        <f t="shared" ca="1" si="1"/>
        <v>0.81004533068719842</v>
      </c>
      <c r="Y9" s="3">
        <f t="shared" ca="1" si="10"/>
        <v>-141.64415548711258</v>
      </c>
      <c r="Z9" s="37"/>
      <c r="AA9" s="37"/>
      <c r="AB9" s="3"/>
      <c r="AD9" s="4">
        <f t="shared" ca="1" si="11"/>
        <v>0.81004533068719842</v>
      </c>
      <c r="AE9" s="37">
        <f t="shared" si="12"/>
        <v>2381.5</v>
      </c>
      <c r="AF9">
        <v>90</v>
      </c>
      <c r="AG9">
        <f t="shared" ca="1" si="13"/>
        <v>2361.6108748104016</v>
      </c>
      <c r="AI9" s="4">
        <f t="shared" ca="1" si="14"/>
        <v>-1.9889125189598418</v>
      </c>
    </row>
    <row r="10" spans="1:35" x14ac:dyDescent="0.2">
      <c r="B10">
        <v>6</v>
      </c>
      <c r="C10" s="5">
        <f>Digital!C10</f>
        <v>-30</v>
      </c>
      <c r="D10" s="5">
        <f>Accuracy!G9</f>
        <v>176973.99999999997</v>
      </c>
      <c r="E10" s="5">
        <f>Thermistor!K10</f>
        <v>3761.2185430639884</v>
      </c>
      <c r="F10" s="42">
        <f>Digital!D10</f>
        <v>0.90767999835875546</v>
      </c>
      <c r="N10">
        <f t="shared" si="2"/>
        <v>-30.1</v>
      </c>
      <c r="O10" s="37">
        <f t="shared" si="3"/>
        <v>178103.92829711092</v>
      </c>
      <c r="P10" s="4">
        <f t="shared" si="4"/>
        <v>0.90821193559810409</v>
      </c>
      <c r="Q10" s="37">
        <f t="shared" si="5"/>
        <v>11</v>
      </c>
      <c r="R10" s="37"/>
      <c r="S10" s="4">
        <f t="shared" si="6"/>
        <v>0.79</v>
      </c>
      <c r="T10" s="37">
        <f t="shared" si="7"/>
        <v>25887</v>
      </c>
      <c r="U10" s="4">
        <f t="shared" si="0"/>
        <v>1.1496353615165875</v>
      </c>
      <c r="V10" s="4">
        <f t="shared" si="8"/>
        <v>18835.62576308777</v>
      </c>
      <c r="W10" s="3">
        <f t="shared" ca="1" si="9"/>
        <v>18712.780674055244</v>
      </c>
      <c r="X10" s="4">
        <f t="shared" ca="1" si="1"/>
        <v>0.79518616778693119</v>
      </c>
      <c r="Y10" s="3">
        <f t="shared" ca="1" si="10"/>
        <v>-122.84508903252572</v>
      </c>
      <c r="Z10" s="37"/>
      <c r="AA10" s="37"/>
      <c r="AB10" s="3"/>
      <c r="AD10" s="4">
        <f t="shared" ca="1" si="11"/>
        <v>0.79518616778693119</v>
      </c>
      <c r="AE10" s="37">
        <f t="shared" si="12"/>
        <v>2431.5</v>
      </c>
      <c r="AF10">
        <v>85</v>
      </c>
      <c r="AG10">
        <f t="shared" ca="1" si="13"/>
        <v>2417.2628401081975</v>
      </c>
      <c r="AI10" s="4">
        <f t="shared" ca="1" si="14"/>
        <v>-1.4237159891802549</v>
      </c>
    </row>
    <row r="11" spans="1:35" x14ac:dyDescent="0.2">
      <c r="B11">
        <v>7</v>
      </c>
      <c r="C11" s="5">
        <f>Digital!C11</f>
        <v>-25</v>
      </c>
      <c r="D11" s="5">
        <f>Accuracy!G10</f>
        <v>130421</v>
      </c>
      <c r="E11" s="5">
        <f>Thermistor!K11</f>
        <v>3774.158358150255</v>
      </c>
      <c r="F11" s="42">
        <f>Digital!D11</f>
        <v>0.87872336124941886</v>
      </c>
      <c r="N11">
        <f t="shared" si="2"/>
        <v>-25.1</v>
      </c>
      <c r="O11" s="37">
        <f t="shared" si="3"/>
        <v>131223.13275621555</v>
      </c>
      <c r="P11" s="4">
        <f t="shared" si="4"/>
        <v>0.87937527065990206</v>
      </c>
      <c r="Q11" s="37">
        <f t="shared" si="5"/>
        <v>11</v>
      </c>
      <c r="R11" s="37"/>
      <c r="S11" s="4">
        <f t="shared" si="6"/>
        <v>0.77600000000000002</v>
      </c>
      <c r="T11" s="37">
        <f t="shared" si="7"/>
        <v>25428</v>
      </c>
      <c r="U11" s="4">
        <f t="shared" si="0"/>
        <v>1.1332155549741005</v>
      </c>
      <c r="V11" s="4">
        <f t="shared" si="8"/>
        <v>18566.603652695663</v>
      </c>
      <c r="W11" s="3">
        <f t="shared" ca="1" si="9"/>
        <v>18495.69347024634</v>
      </c>
      <c r="X11" s="4">
        <f t="shared" ca="1" si="1"/>
        <v>0.77897508723688547</v>
      </c>
      <c r="Y11" s="3">
        <f t="shared" ca="1" si="10"/>
        <v>-70.910182449322747</v>
      </c>
      <c r="Z11" s="37"/>
      <c r="AA11" s="37"/>
      <c r="AB11" s="3"/>
      <c r="AD11" s="4">
        <f t="shared" ca="1" si="11"/>
        <v>0.77897508723688547</v>
      </c>
      <c r="AE11" s="37">
        <f t="shared" si="12"/>
        <v>2481.5</v>
      </c>
      <c r="AF11">
        <v>80</v>
      </c>
      <c r="AG11">
        <f t="shared" ca="1" si="13"/>
        <v>2476.9839864817941</v>
      </c>
      <c r="AI11" s="4">
        <f t="shared" ca="1" si="14"/>
        <v>-0.45160135182059091</v>
      </c>
    </row>
    <row r="12" spans="1:35" x14ac:dyDescent="0.2">
      <c r="B12">
        <v>8</v>
      </c>
      <c r="C12" s="5">
        <f>Digital!C12</f>
        <v>-20</v>
      </c>
      <c r="D12" s="5">
        <f>Accuracy!G11</f>
        <v>97081</v>
      </c>
      <c r="E12" s="5">
        <f>Thermistor!K12</f>
        <v>3786.5268986095693</v>
      </c>
      <c r="F12" s="42">
        <f>Digital!D12</f>
        <v>0.8435884290195601</v>
      </c>
      <c r="N12">
        <f t="shared" si="2"/>
        <v>-20.100000000000001</v>
      </c>
      <c r="O12" s="37">
        <f t="shared" si="3"/>
        <v>97656.539574465758</v>
      </c>
      <c r="P12" s="4">
        <f t="shared" si="4"/>
        <v>0.84436677712970432</v>
      </c>
      <c r="Q12" s="37">
        <f t="shared" si="5"/>
        <v>11</v>
      </c>
      <c r="R12" s="37"/>
      <c r="S12" s="4">
        <f t="shared" si="6"/>
        <v>0.76200000000000001</v>
      </c>
      <c r="T12" s="37">
        <f t="shared" si="7"/>
        <v>24969</v>
      </c>
      <c r="U12" s="4">
        <f t="shared" si="0"/>
        <v>1.1080928833723154</v>
      </c>
      <c r="V12" s="4">
        <f t="shared" si="8"/>
        <v>18154.993801172015</v>
      </c>
      <c r="W12" s="3">
        <f t="shared" ca="1" si="9"/>
        <v>18151.062401748222</v>
      </c>
      <c r="X12" s="4">
        <f t="shared" ca="1" si="1"/>
        <v>0.76216504413320962</v>
      </c>
      <c r="Y12" s="3">
        <f t="shared" ca="1" si="10"/>
        <v>-3.9313994237927545</v>
      </c>
      <c r="Z12" s="37"/>
      <c r="AA12" s="37"/>
      <c r="AB12" s="3"/>
      <c r="AD12" s="4">
        <f t="shared" ca="1" si="11"/>
        <v>0.76216504413320962</v>
      </c>
      <c r="AE12" s="37">
        <f t="shared" si="12"/>
        <v>2531.5</v>
      </c>
      <c r="AF12">
        <v>75</v>
      </c>
      <c r="AG12">
        <f t="shared" ca="1" si="13"/>
        <v>2537.942513321801</v>
      </c>
      <c r="AI12" s="4">
        <f t="shared" ca="1" si="14"/>
        <v>0.64425133218010155</v>
      </c>
    </row>
    <row r="13" spans="1:35" x14ac:dyDescent="0.2">
      <c r="B13">
        <v>9</v>
      </c>
      <c r="C13" s="5">
        <f>Digital!C13</f>
        <v>-15</v>
      </c>
      <c r="D13" s="5">
        <f>Accuracy!G12</f>
        <v>72957</v>
      </c>
      <c r="E13" s="5">
        <f>Thermistor!K13</f>
        <v>3798.3182594661839</v>
      </c>
      <c r="F13" s="42">
        <f>Digital!D13</f>
        <v>0.80210429103862269</v>
      </c>
      <c r="N13">
        <f t="shared" si="2"/>
        <v>-15.1</v>
      </c>
      <c r="O13" s="37">
        <f t="shared" si="3"/>
        <v>73374.177669843673</v>
      </c>
      <c r="P13" s="4">
        <f t="shared" si="4"/>
        <v>0.8030078030902974</v>
      </c>
      <c r="Q13" s="37">
        <f t="shared" si="5"/>
        <v>11</v>
      </c>
      <c r="R13" s="37"/>
      <c r="S13" s="4">
        <f t="shared" si="6"/>
        <v>0.748</v>
      </c>
      <c r="T13" s="37">
        <f t="shared" si="7"/>
        <v>24510</v>
      </c>
      <c r="U13" s="4">
        <f t="shared" si="0"/>
        <v>1.0735398437036061</v>
      </c>
      <c r="V13" s="4">
        <f t="shared" si="8"/>
        <v>17588.876799239883</v>
      </c>
      <c r="W13" s="3">
        <f t="shared" ca="1" si="9"/>
        <v>17645.453355311136</v>
      </c>
      <c r="X13" s="4">
        <f t="shared" ca="1" si="1"/>
        <v>0.74560169018674949</v>
      </c>
      <c r="Y13" s="3">
        <f t="shared" ca="1" si="10"/>
        <v>56.576556071253435</v>
      </c>
      <c r="Z13" s="37"/>
      <c r="AA13" s="37"/>
      <c r="AB13" s="3"/>
      <c r="AD13" s="4">
        <f t="shared" ca="1" si="11"/>
        <v>0.74560169018674949</v>
      </c>
      <c r="AE13" s="37">
        <f t="shared" si="12"/>
        <v>2581.5</v>
      </c>
      <c r="AF13">
        <v>70</v>
      </c>
      <c r="AG13">
        <f t="shared" ca="1" si="13"/>
        <v>2597.1717082544856</v>
      </c>
      <c r="AI13" s="4">
        <f t="shared" ca="1" si="14"/>
        <v>1.5671708254485566</v>
      </c>
    </row>
    <row r="14" spans="1:35" x14ac:dyDescent="0.2">
      <c r="B14">
        <v>10</v>
      </c>
      <c r="C14" s="5">
        <f>Digital!C14</f>
        <v>-10</v>
      </c>
      <c r="D14" s="5">
        <f>Accuracy!G13</f>
        <v>55329</v>
      </c>
      <c r="E14" s="5">
        <f>Thermistor!K14</f>
        <v>3809.4722537941416</v>
      </c>
      <c r="F14" s="42">
        <f>Digital!D14</f>
        <v>0.75453094955611011</v>
      </c>
      <c r="N14">
        <f t="shared" si="2"/>
        <v>-10.1</v>
      </c>
      <c r="O14" s="37">
        <f t="shared" si="3"/>
        <v>55634.331442539456</v>
      </c>
      <c r="P14" s="4">
        <f t="shared" si="4"/>
        <v>0.75554880926641799</v>
      </c>
      <c r="Q14" s="37">
        <f t="shared" si="5"/>
        <v>10</v>
      </c>
      <c r="R14" s="37"/>
      <c r="S14" s="4">
        <f t="shared" si="6"/>
        <v>0.73399999999999999</v>
      </c>
      <c r="T14" s="37">
        <f t="shared" si="7"/>
        <v>24052</v>
      </c>
      <c r="U14" s="4">
        <f t="shared" si="0"/>
        <v>1.0293580507716866</v>
      </c>
      <c r="V14" s="4">
        <f t="shared" si="8"/>
        <v>16865.002303843314</v>
      </c>
      <c r="W14" s="3">
        <f t="shared" ca="1" si="9"/>
        <v>16956.920396079251</v>
      </c>
      <c r="X14" s="4">
        <f t="shared" ca="1" si="1"/>
        <v>0.73002121858655555</v>
      </c>
      <c r="Y14" s="3">
        <f t="shared" ca="1" si="10"/>
        <v>91.918092235937365</v>
      </c>
      <c r="Z14" s="37"/>
      <c r="AA14" s="37"/>
      <c r="AB14" s="3"/>
      <c r="AD14" s="4">
        <f t="shared" ca="1" si="11"/>
        <v>0.73002121858655555</v>
      </c>
      <c r="AE14" s="37">
        <f t="shared" si="12"/>
        <v>2631.5</v>
      </c>
      <c r="AF14">
        <v>65</v>
      </c>
      <c r="AG14">
        <f t="shared" ca="1" si="13"/>
        <v>2652.2465300770891</v>
      </c>
      <c r="AI14" s="4">
        <f t="shared" ca="1" si="14"/>
        <v>2.0746530077089118</v>
      </c>
    </row>
    <row r="15" spans="1:35" x14ac:dyDescent="0.2">
      <c r="B15">
        <v>11</v>
      </c>
      <c r="C15" s="5">
        <f>Digital!C15</f>
        <v>-5</v>
      </c>
      <c r="D15" s="5">
        <f>Accuracy!G14</f>
        <v>42327</v>
      </c>
      <c r="E15" s="5">
        <f>Thermistor!K15</f>
        <v>3819.8972075082006</v>
      </c>
      <c r="F15" s="42">
        <f>Digital!D15</f>
        <v>0.70162613755035064</v>
      </c>
      <c r="N15">
        <f t="shared" si="2"/>
        <v>-5.0999999999999996</v>
      </c>
      <c r="O15" s="37">
        <f t="shared" si="3"/>
        <v>42552.543377755806</v>
      </c>
      <c r="P15" s="4">
        <f t="shared" si="4"/>
        <v>0.70273750703240712</v>
      </c>
      <c r="Q15" s="37">
        <f t="shared" si="5"/>
        <v>10</v>
      </c>
      <c r="R15" s="37"/>
      <c r="S15" s="4">
        <f t="shared" si="6"/>
        <v>0.72</v>
      </c>
      <c r="T15" s="37">
        <f t="shared" si="7"/>
        <v>23593</v>
      </c>
      <c r="U15" s="4">
        <f t="shared" si="0"/>
        <v>0.97602431532278766</v>
      </c>
      <c r="V15" s="4">
        <f t="shared" si="8"/>
        <v>15991.182382248553</v>
      </c>
      <c r="W15" s="3">
        <f t="shared" ca="1" si="9"/>
        <v>16083.986340224801</v>
      </c>
      <c r="X15" s="4">
        <f t="shared" ca="1" si="1"/>
        <v>0.7158456287931686</v>
      </c>
      <c r="Y15" s="3">
        <f t="shared" ca="1" si="10"/>
        <v>92.803957976248057</v>
      </c>
      <c r="Z15" s="37"/>
      <c r="AA15" s="37"/>
      <c r="AB15" s="3"/>
      <c r="AD15" s="4">
        <f t="shared" ca="1" si="11"/>
        <v>0.7158456287931686</v>
      </c>
      <c r="AE15" s="37">
        <f t="shared" si="12"/>
        <v>2681.5</v>
      </c>
      <c r="AF15">
        <v>60</v>
      </c>
      <c r="AG15">
        <f t="shared" ca="1" si="13"/>
        <v>2701.9094749977044</v>
      </c>
      <c r="AI15" s="4">
        <f t="shared" ca="1" si="14"/>
        <v>2.0409474997704367</v>
      </c>
    </row>
    <row r="16" spans="1:35" x14ac:dyDescent="0.2">
      <c r="B16">
        <v>12</v>
      </c>
      <c r="C16" s="5">
        <f>Digital!C16</f>
        <v>0</v>
      </c>
      <c r="D16" s="5">
        <f>Accuracy!G15</f>
        <v>32650</v>
      </c>
      <c r="E16" s="5">
        <f>Thermistor!K16</f>
        <v>3829.0290073907991</v>
      </c>
      <c r="F16" s="42">
        <f>Digital!D16</f>
        <v>0.64461994076999007</v>
      </c>
      <c r="N16">
        <f t="shared" si="2"/>
        <v>-0.1</v>
      </c>
      <c r="O16" s="37">
        <f t="shared" si="3"/>
        <v>32818.052021121999</v>
      </c>
      <c r="P16" s="4">
        <f t="shared" si="4"/>
        <v>0.64579515970981172</v>
      </c>
      <c r="Q16" s="37">
        <f t="shared" si="5"/>
        <v>10</v>
      </c>
      <c r="R16" s="37"/>
      <c r="S16" s="4">
        <f t="shared" si="6"/>
        <v>0.70599999999999996</v>
      </c>
      <c r="T16" s="37">
        <f t="shared" si="7"/>
        <v>23134</v>
      </c>
      <c r="U16" s="4">
        <f t="shared" si="0"/>
        <v>0.914724022251858</v>
      </c>
      <c r="V16" s="4">
        <f t="shared" si="8"/>
        <v>14986.838380574442</v>
      </c>
      <c r="W16" s="3">
        <f t="shared" ca="1" si="9"/>
        <v>15049.724190845849</v>
      </c>
      <c r="X16" s="4">
        <f t="shared" ca="1" si="1"/>
        <v>0.70304995377399548</v>
      </c>
      <c r="Y16" s="3">
        <f t="shared" ca="1" si="10"/>
        <v>62.885810271407536</v>
      </c>
      <c r="Z16" s="37"/>
      <c r="AA16" s="37"/>
      <c r="AB16" s="3"/>
      <c r="AD16" s="4">
        <f t="shared" ca="1" si="11"/>
        <v>0.70304995377399548</v>
      </c>
      <c r="AE16" s="37">
        <f t="shared" si="12"/>
        <v>2731.5</v>
      </c>
      <c r="AF16">
        <v>55</v>
      </c>
      <c r="AG16">
        <f t="shared" ca="1" si="13"/>
        <v>2746.4431122087244</v>
      </c>
      <c r="AI16" s="4">
        <f t="shared" ca="1" si="14"/>
        <v>1.4943112208724414</v>
      </c>
    </row>
    <row r="17" spans="2:35" x14ac:dyDescent="0.2">
      <c r="B17">
        <v>13</v>
      </c>
      <c r="C17" s="5">
        <f>Digital!C17</f>
        <v>5</v>
      </c>
      <c r="D17" s="5">
        <f>Accuracy!G16</f>
        <v>25392</v>
      </c>
      <c r="E17" s="5">
        <f>Thermistor!K17</f>
        <v>3838.1091365486418</v>
      </c>
      <c r="F17" s="42">
        <f>Digital!D17</f>
        <v>0.58517699115044253</v>
      </c>
      <c r="N17">
        <f t="shared" si="2"/>
        <v>4.9000000000000004</v>
      </c>
      <c r="O17" s="37">
        <f t="shared" si="3"/>
        <v>25518.325300821194</v>
      </c>
      <c r="P17" s="4">
        <f t="shared" si="4"/>
        <v>0.58638114229868266</v>
      </c>
      <c r="Q17" s="37">
        <f t="shared" si="5"/>
        <v>10</v>
      </c>
      <c r="R17" s="37"/>
      <c r="S17" s="4">
        <f t="shared" si="6"/>
        <v>0.69199999999999995</v>
      </c>
      <c r="T17" s="37">
        <f t="shared" si="7"/>
        <v>22675</v>
      </c>
      <c r="U17" s="4">
        <f t="shared" si="0"/>
        <v>0.84737159291717157</v>
      </c>
      <c r="V17" s="4">
        <f t="shared" si="8"/>
        <v>13883.336178354939</v>
      </c>
      <c r="W17" s="3">
        <f t="shared" ca="1" si="9"/>
        <v>13899.670458096996</v>
      </c>
      <c r="X17" s="4">
        <f t="shared" ca="1" si="1"/>
        <v>0.69118679211744039</v>
      </c>
      <c r="Y17" s="3">
        <f t="shared" ca="1" si="10"/>
        <v>16.334279742057333</v>
      </c>
      <c r="Z17" s="37"/>
      <c r="AA17" s="37"/>
      <c r="AB17" s="3"/>
      <c r="AD17" s="4">
        <f t="shared" ca="1" si="11"/>
        <v>0.69118679211744039</v>
      </c>
      <c r="AE17" s="37">
        <f t="shared" si="12"/>
        <v>2781.5</v>
      </c>
      <c r="AF17">
        <v>50</v>
      </c>
      <c r="AG17">
        <f t="shared" ca="1" si="13"/>
        <v>2787.5353382231497</v>
      </c>
      <c r="AI17" s="4">
        <f t="shared" ca="1" si="14"/>
        <v>0.60353382231496655</v>
      </c>
    </row>
    <row r="18" spans="2:35" x14ac:dyDescent="0.2">
      <c r="B18">
        <v>14</v>
      </c>
      <c r="C18" s="5">
        <f>Digital!C18</f>
        <v>10</v>
      </c>
      <c r="D18" s="5">
        <f>Accuracy!G17</f>
        <v>19901</v>
      </c>
      <c r="E18" s="5">
        <f>Thermistor!K18</f>
        <v>3847.387560452381</v>
      </c>
      <c r="F18" s="42">
        <f>Digital!D18</f>
        <v>0.52507849397113537</v>
      </c>
      <c r="N18">
        <f t="shared" si="2"/>
        <v>9.9</v>
      </c>
      <c r="O18" s="37">
        <f t="shared" si="3"/>
        <v>19996.764367081032</v>
      </c>
      <c r="P18" s="4">
        <f t="shared" si="4"/>
        <v>0.52627545266473996</v>
      </c>
      <c r="Q18" s="37">
        <f t="shared" si="5"/>
        <v>10</v>
      </c>
      <c r="R18" s="37"/>
      <c r="S18" s="4">
        <f t="shared" si="6"/>
        <v>0.67799999999999994</v>
      </c>
      <c r="T18" s="37">
        <f t="shared" si="7"/>
        <v>22217</v>
      </c>
      <c r="U18" s="4">
        <f t="shared" si="0"/>
        <v>0.77621748180640115</v>
      </c>
      <c r="V18" s="4">
        <f t="shared" si="8"/>
        <v>12717.547221916077</v>
      </c>
      <c r="W18" s="3">
        <f t="shared" ca="1" si="9"/>
        <v>12689.028430801089</v>
      </c>
      <c r="X18" s="4">
        <f t="shared" ca="1" si="1"/>
        <v>0.67952381567126341</v>
      </c>
      <c r="Y18" s="3">
        <f t="shared" ca="1" si="10"/>
        <v>-28.518791114987835</v>
      </c>
      <c r="Z18" s="37"/>
      <c r="AA18" s="37"/>
      <c r="AB18" s="3"/>
      <c r="AD18" s="4">
        <f t="shared" ca="1" si="11"/>
        <v>0.67952381567126341</v>
      </c>
      <c r="AE18" s="37">
        <f t="shared" si="12"/>
        <v>2831.5</v>
      </c>
      <c r="AF18">
        <v>45</v>
      </c>
      <c r="AG18">
        <f t="shared" ca="1" si="13"/>
        <v>2827.7977926259482</v>
      </c>
      <c r="AI18" s="4">
        <f t="shared" ca="1" si="14"/>
        <v>-0.37022073740517952</v>
      </c>
    </row>
    <row r="19" spans="2:35" x14ac:dyDescent="0.2">
      <c r="B19">
        <v>15</v>
      </c>
      <c r="C19" s="5">
        <f>Digital!C19</f>
        <v>15</v>
      </c>
      <c r="D19" s="5">
        <f>Accuracy!G18</f>
        <v>15712</v>
      </c>
      <c r="E19" s="5">
        <f>Thermistor!K19</f>
        <v>3856.6659843561197</v>
      </c>
      <c r="F19" s="42">
        <f>Digital!D19</f>
        <v>0.46606549596582819</v>
      </c>
      <c r="N19">
        <f t="shared" si="2"/>
        <v>14.9</v>
      </c>
      <c r="O19" s="37">
        <f t="shared" si="3"/>
        <v>15785.175611226719</v>
      </c>
      <c r="P19" s="4">
        <f t="shared" si="4"/>
        <v>0.46722194943930823</v>
      </c>
      <c r="Q19" s="37">
        <f t="shared" si="5"/>
        <v>10</v>
      </c>
      <c r="R19" s="37"/>
      <c r="S19" s="4">
        <f t="shared" si="6"/>
        <v>0.66399999999999992</v>
      </c>
      <c r="T19" s="37">
        <f t="shared" si="7"/>
        <v>21758</v>
      </c>
      <c r="U19" s="4">
        <f t="shared" si="0"/>
        <v>0.70364751421582572</v>
      </c>
      <c r="V19" s="4">
        <f t="shared" si="8"/>
        <v>11528.560872912089</v>
      </c>
      <c r="W19" s="3">
        <f t="shared" ca="1" si="9"/>
        <v>11471.195403059948</v>
      </c>
      <c r="X19" s="4">
        <f t="shared" ca="1" si="1"/>
        <v>0.66732054948446429</v>
      </c>
      <c r="Y19" s="3">
        <f t="shared" ca="1" si="10"/>
        <v>-57.36546985214045</v>
      </c>
      <c r="Z19" s="37"/>
      <c r="AA19" s="37"/>
      <c r="AB19" s="3"/>
      <c r="AD19" s="4">
        <f t="shared" ca="1" si="11"/>
        <v>0.66732054948446429</v>
      </c>
      <c r="AE19" s="37">
        <f t="shared" si="12"/>
        <v>2881.5</v>
      </c>
      <c r="AF19">
        <v>40</v>
      </c>
      <c r="AG19">
        <f t="shared" ca="1" si="13"/>
        <v>2869.8301758927946</v>
      </c>
      <c r="AI19" s="4">
        <f t="shared" ca="1" si="14"/>
        <v>-1.1669824107205387</v>
      </c>
    </row>
    <row r="20" spans="2:35" x14ac:dyDescent="0.2">
      <c r="B20">
        <v>16</v>
      </c>
      <c r="C20" s="5">
        <f>Digital!C20</f>
        <v>20</v>
      </c>
      <c r="D20" s="5">
        <f>Accuracy!G19</f>
        <v>12493</v>
      </c>
      <c r="E20" s="5">
        <f>Thermistor!K20</f>
        <v>3864.7448748884863</v>
      </c>
      <c r="F20" s="42">
        <f>Digital!D20</f>
        <v>0.40970058701997181</v>
      </c>
      <c r="N20">
        <f t="shared" si="2"/>
        <v>19.899999999999999</v>
      </c>
      <c r="O20" s="37">
        <f t="shared" si="3"/>
        <v>12549.329149901196</v>
      </c>
      <c r="P20" s="4">
        <f t="shared" si="4"/>
        <v>0.41078902545857648</v>
      </c>
      <c r="Q20" s="37">
        <f t="shared" si="5"/>
        <v>10</v>
      </c>
      <c r="R20" s="37"/>
      <c r="S20" s="4">
        <f t="shared" si="6"/>
        <v>0.65</v>
      </c>
      <c r="T20" s="37">
        <f t="shared" si="7"/>
        <v>21299</v>
      </c>
      <c r="U20" s="4">
        <f t="shared" si="0"/>
        <v>0.63198311609011759</v>
      </c>
      <c r="V20" s="4">
        <f t="shared" si="8"/>
        <v>10354.411374020487</v>
      </c>
      <c r="W20" s="3">
        <f t="shared" ca="1" si="9"/>
        <v>10289.746789823441</v>
      </c>
      <c r="X20" s="4">
        <f t="shared" ca="1" si="1"/>
        <v>0.65408484101568465</v>
      </c>
      <c r="Y20" s="3">
        <f t="shared" ca="1" si="10"/>
        <v>-64.66458419704577</v>
      </c>
      <c r="Z20" s="37"/>
      <c r="AA20" s="37"/>
      <c r="AB20" s="3"/>
      <c r="AD20" s="4">
        <f t="shared" ca="1" si="11"/>
        <v>0.65408484101568465</v>
      </c>
      <c r="AE20" s="37">
        <f t="shared" si="12"/>
        <v>2931.5</v>
      </c>
      <c r="AF20">
        <v>35</v>
      </c>
      <c r="AG20">
        <f t="shared" ca="1" si="13"/>
        <v>2915.3679816422255</v>
      </c>
      <c r="AI20" s="4">
        <f t="shared" ca="1" si="14"/>
        <v>-1.613201835777454</v>
      </c>
    </row>
    <row r="21" spans="2:35" x14ac:dyDescent="0.2">
      <c r="B21">
        <v>17</v>
      </c>
      <c r="C21" s="5">
        <f>Digital!C21</f>
        <v>25</v>
      </c>
      <c r="D21" s="5">
        <f>Accuracy!G20</f>
        <v>10000</v>
      </c>
      <c r="E21" s="5">
        <f>Thermistor!K21</f>
        <v>3873.1583468919757</v>
      </c>
      <c r="F21" s="42">
        <f>Digital!D21</f>
        <v>0.35714285714285715</v>
      </c>
      <c r="N21">
        <f t="shared" si="2"/>
        <v>24.9</v>
      </c>
      <c r="O21" s="37">
        <f t="shared" si="3"/>
        <v>10043.680550403418</v>
      </c>
      <c r="P21" s="4">
        <f t="shared" si="4"/>
        <v>0.35814416486280137</v>
      </c>
      <c r="Q21" s="37">
        <f t="shared" si="5"/>
        <v>10</v>
      </c>
      <c r="R21" s="37"/>
      <c r="S21" s="4">
        <f t="shared" si="6"/>
        <v>0.63600000000000001</v>
      </c>
      <c r="T21" s="37">
        <f t="shared" si="7"/>
        <v>20840</v>
      </c>
      <c r="U21" s="4">
        <f t="shared" si="0"/>
        <v>0.56311975607358711</v>
      </c>
      <c r="V21" s="4">
        <f t="shared" si="8"/>
        <v>9226.1540835096512</v>
      </c>
      <c r="W21" s="3">
        <f t="shared" ca="1" si="9"/>
        <v>9173.0760713399213</v>
      </c>
      <c r="X21" s="4">
        <f t="shared" ca="1" si="1"/>
        <v>0.63968007585213638</v>
      </c>
      <c r="Y21" s="3">
        <f t="shared" ca="1" si="10"/>
        <v>-53.078012169729845</v>
      </c>
      <c r="Z21" s="37"/>
      <c r="AA21" s="37"/>
      <c r="AB21" s="3"/>
      <c r="AD21" s="4">
        <f t="shared" ca="1" si="11"/>
        <v>0.63968007585213638</v>
      </c>
      <c r="AE21" s="37">
        <f t="shared" si="12"/>
        <v>2981.5</v>
      </c>
      <c r="AF21">
        <v>30</v>
      </c>
      <c r="AG21">
        <f t="shared" ca="1" si="13"/>
        <v>2964.9434990173099</v>
      </c>
      <c r="AI21" s="4">
        <f t="shared" ca="1" si="14"/>
        <v>-1.6556500982690068</v>
      </c>
    </row>
    <row r="22" spans="2:35" x14ac:dyDescent="0.2">
      <c r="B22">
        <v>18</v>
      </c>
      <c r="C22" s="5">
        <f>Digital!C22</f>
        <v>30</v>
      </c>
      <c r="D22" s="5">
        <f>Accuracy!G21</f>
        <v>8057</v>
      </c>
      <c r="E22" s="5">
        <f>Thermistor!K22</f>
        <v>3880.8104547801072</v>
      </c>
      <c r="F22" s="42">
        <f>Digital!D22</f>
        <v>0.30920673907203439</v>
      </c>
      <c r="N22">
        <f t="shared" si="2"/>
        <v>29.9</v>
      </c>
      <c r="O22" s="37">
        <f t="shared" si="3"/>
        <v>8091.1068446815034</v>
      </c>
      <c r="P22" s="4">
        <f t="shared" si="4"/>
        <v>0.3101097585797063</v>
      </c>
      <c r="Q22" s="37">
        <f t="shared" si="5"/>
        <v>11</v>
      </c>
      <c r="R22" s="37"/>
      <c r="S22" s="4">
        <f t="shared" si="6"/>
        <v>0.622</v>
      </c>
      <c r="T22" s="37">
        <f t="shared" si="7"/>
        <v>20382</v>
      </c>
      <c r="U22" s="4">
        <f t="shared" si="0"/>
        <v>0.49856874369727699</v>
      </c>
      <c r="V22" s="4">
        <f t="shared" si="8"/>
        <v>8168.5502967361863</v>
      </c>
      <c r="W22" s="3">
        <f t="shared" ca="1" si="9"/>
        <v>8138.1202989617523</v>
      </c>
      <c r="X22" s="4">
        <f t="shared" ca="1" si="1"/>
        <v>0.62432577768825959</v>
      </c>
      <c r="Y22" s="3">
        <f t="shared" ca="1" si="10"/>
        <v>-30.429997774434014</v>
      </c>
      <c r="Z22" s="37"/>
      <c r="AA22" s="37"/>
      <c r="AB22" s="3"/>
      <c r="AD22" s="4">
        <f t="shared" ca="1" si="11"/>
        <v>0.62432577768825959</v>
      </c>
      <c r="AE22" s="37">
        <f t="shared" si="12"/>
        <v>3031.5</v>
      </c>
      <c r="AF22">
        <v>25</v>
      </c>
      <c r="AG22">
        <f t="shared" ca="1" si="13"/>
        <v>3017.898224090467</v>
      </c>
      <c r="AI22" s="4">
        <f t="shared" ca="1" si="14"/>
        <v>-1.3601775909532989</v>
      </c>
    </row>
    <row r="23" spans="2:35" x14ac:dyDescent="0.2">
      <c r="B23">
        <v>19</v>
      </c>
      <c r="C23" s="5">
        <f>Digital!C23</f>
        <v>35</v>
      </c>
      <c r="D23" s="5">
        <f>Accuracy!G22</f>
        <v>6531</v>
      </c>
      <c r="E23" s="5">
        <f>Thermistor!K23</f>
        <v>3888.7116977442238</v>
      </c>
      <c r="F23" s="42">
        <f>Digital!D23</f>
        <v>0.26623456035220738</v>
      </c>
      <c r="N23">
        <f t="shared" si="2"/>
        <v>34.9</v>
      </c>
      <c r="O23" s="37">
        <f t="shared" si="3"/>
        <v>6557.8096973716865</v>
      </c>
      <c r="P23" s="4">
        <f t="shared" si="4"/>
        <v>0.26703561018609651</v>
      </c>
      <c r="Q23" s="37">
        <f t="shared" si="5"/>
        <v>11</v>
      </c>
      <c r="R23" s="37"/>
      <c r="S23" s="4">
        <f t="shared" si="6"/>
        <v>0.60799999999999998</v>
      </c>
      <c r="T23" s="37">
        <f t="shared" si="7"/>
        <v>19923</v>
      </c>
      <c r="U23" s="4">
        <f t="shared" si="0"/>
        <v>0.43920330622713244</v>
      </c>
      <c r="V23" s="4">
        <f t="shared" si="8"/>
        <v>7195.9069692253379</v>
      </c>
      <c r="W23" s="3">
        <f t="shared" ca="1" si="9"/>
        <v>7190.9334348883358</v>
      </c>
      <c r="X23" s="4">
        <f t="shared" ca="1" si="1"/>
        <v>0.60842051687785426</v>
      </c>
      <c r="Y23" s="3">
        <f t="shared" ca="1" si="10"/>
        <v>-4.9735343370020928</v>
      </c>
      <c r="Z23" s="37"/>
      <c r="AA23" s="37"/>
      <c r="AB23" s="3"/>
      <c r="AD23" s="4">
        <f t="shared" ca="1" si="11"/>
        <v>0.60842051687785426</v>
      </c>
      <c r="AE23" s="37">
        <f t="shared" si="12"/>
        <v>3081.5</v>
      </c>
      <c r="AF23">
        <v>20</v>
      </c>
      <c r="AG23">
        <f t="shared" ca="1" si="13"/>
        <v>3072.9822377555129</v>
      </c>
      <c r="AI23" s="4">
        <f t="shared" ca="1" si="14"/>
        <v>-0.85177622444871304</v>
      </c>
    </row>
    <row r="24" spans="2:35" x14ac:dyDescent="0.2">
      <c r="B24">
        <v>20</v>
      </c>
      <c r="C24" s="5">
        <f>Digital!C24</f>
        <v>40</v>
      </c>
      <c r="D24" s="5">
        <f>Accuracy!G23</f>
        <v>5326</v>
      </c>
      <c r="E24" s="5">
        <f>Thermistor!K24</f>
        <v>3896.0003216693244</v>
      </c>
      <c r="F24" s="42">
        <f>Digital!D24</f>
        <v>0.22832890336963046</v>
      </c>
      <c r="N24">
        <f t="shared" si="2"/>
        <v>39.9</v>
      </c>
      <c r="O24" s="37">
        <f t="shared" si="3"/>
        <v>5347.2088587936032</v>
      </c>
      <c r="P24" s="4">
        <f t="shared" si="4"/>
        <v>0.22902989779780916</v>
      </c>
      <c r="Q24" s="37">
        <f t="shared" si="5"/>
        <v>11</v>
      </c>
      <c r="R24" s="37"/>
      <c r="S24" s="4">
        <f t="shared" si="6"/>
        <v>0.59399999999999997</v>
      </c>
      <c r="T24" s="37">
        <f t="shared" si="7"/>
        <v>19464</v>
      </c>
      <c r="U24" s="4">
        <f t="shared" si="0"/>
        <v>0.38557221851483026</v>
      </c>
      <c r="V24" s="4">
        <f t="shared" si="8"/>
        <v>6317.2152281469789</v>
      </c>
      <c r="W24" s="3">
        <f t="shared" ca="1" si="9"/>
        <v>6333.8755020067874</v>
      </c>
      <c r="X24" s="4">
        <f t="shared" ca="1" si="1"/>
        <v>0.59243757543551478</v>
      </c>
      <c r="Y24" s="3">
        <f t="shared" ca="1" si="10"/>
        <v>16.660273859808512</v>
      </c>
      <c r="Z24" s="37"/>
      <c r="AA24" s="37"/>
      <c r="AB24" s="3"/>
      <c r="AD24" s="4">
        <f t="shared" ca="1" si="11"/>
        <v>0.59243757543551478</v>
      </c>
      <c r="AE24" s="37">
        <f t="shared" si="12"/>
        <v>3131.5</v>
      </c>
      <c r="AF24">
        <v>15</v>
      </c>
      <c r="AG24">
        <f t="shared" ca="1" si="13"/>
        <v>3128.6846667850696</v>
      </c>
      <c r="AI24" s="4">
        <f t="shared" ca="1" si="14"/>
        <v>-0.28153332149304333</v>
      </c>
    </row>
    <row r="25" spans="2:35" x14ac:dyDescent="0.2">
      <c r="B25">
        <v>21</v>
      </c>
      <c r="C25" s="5">
        <f>Digital!C25</f>
        <v>45</v>
      </c>
      <c r="D25" s="5">
        <f>Accuracy!G24</f>
        <v>4368</v>
      </c>
      <c r="E25" s="5">
        <f>Thermistor!K25</f>
        <v>3903.1277578270096</v>
      </c>
      <c r="F25" s="42">
        <f>Digital!D25</f>
        <v>0.19527896995708155</v>
      </c>
      <c r="N25">
        <f t="shared" si="2"/>
        <v>44.9</v>
      </c>
      <c r="O25" s="37">
        <f t="shared" si="3"/>
        <v>4384.8813021949709</v>
      </c>
      <c r="P25" s="4">
        <f t="shared" si="4"/>
        <v>0.19588584111746024</v>
      </c>
      <c r="Q25" s="37">
        <f t="shared" si="5"/>
        <v>11</v>
      </c>
      <c r="R25" s="37"/>
      <c r="S25" s="4">
        <f t="shared" si="6"/>
        <v>0.57999999999999996</v>
      </c>
      <c r="T25" s="37">
        <f t="shared" si="7"/>
        <v>19005</v>
      </c>
      <c r="U25" s="4">
        <f t="shared" si="0"/>
        <v>0.33773420882320732</v>
      </c>
      <c r="V25" s="4">
        <f t="shared" si="8"/>
        <v>5533.4372773594287</v>
      </c>
      <c r="W25" s="3">
        <f t="shared" ca="1" si="9"/>
        <v>5564.6128000796143</v>
      </c>
      <c r="X25" s="4">
        <f t="shared" ca="1" si="1"/>
        <v>0.57675057298192445</v>
      </c>
      <c r="Y25" s="3">
        <f t="shared" ca="1" si="10"/>
        <v>31.175522720185654</v>
      </c>
      <c r="Z25" s="37"/>
      <c r="AA25" s="37"/>
      <c r="AB25" s="3"/>
      <c r="AD25" s="4">
        <f t="shared" ca="1" si="11"/>
        <v>0.57675057298192445</v>
      </c>
      <c r="AE25" s="37">
        <f t="shared" si="12"/>
        <v>3181.5</v>
      </c>
      <c r="AF25">
        <v>10</v>
      </c>
      <c r="AG25">
        <f t="shared" ca="1" si="13"/>
        <v>3183.8087202058027</v>
      </c>
      <c r="AI25" s="4">
        <f t="shared" ca="1" si="14"/>
        <v>0.23087202058027287</v>
      </c>
    </row>
    <row r="26" spans="2:35" x14ac:dyDescent="0.2">
      <c r="B26">
        <v>22</v>
      </c>
      <c r="C26" s="5">
        <f>Digital!C26</f>
        <v>50</v>
      </c>
      <c r="D26" s="5">
        <f>Accuracy!G25</f>
        <v>3602</v>
      </c>
      <c r="E26" s="5">
        <f>Thermistor!K26</f>
        <v>3909.9763695133925</v>
      </c>
      <c r="F26" s="42">
        <f>Digital!D26</f>
        <v>0.16674382001666513</v>
      </c>
      <c r="N26">
        <f t="shared" si="2"/>
        <v>49.9</v>
      </c>
      <c r="O26" s="37">
        <f t="shared" si="3"/>
        <v>3615.5162898504245</v>
      </c>
      <c r="P26" s="4">
        <f t="shared" si="4"/>
        <v>0.1672648592505788</v>
      </c>
      <c r="Q26" s="37">
        <f t="shared" si="5"/>
        <v>11</v>
      </c>
      <c r="R26" s="37"/>
      <c r="S26" s="4">
        <f t="shared" si="6"/>
        <v>0.56600000000000006</v>
      </c>
      <c r="T26" s="37">
        <f t="shared" si="7"/>
        <v>18547</v>
      </c>
      <c r="U26" s="4">
        <f t="shared" si="0"/>
        <v>0.29552095273953849</v>
      </c>
      <c r="V26" s="4">
        <f t="shared" si="8"/>
        <v>4841.8152896845986</v>
      </c>
      <c r="W26" s="3">
        <f t="shared" ca="1" si="9"/>
        <v>4879.6294239414747</v>
      </c>
      <c r="X26" s="4">
        <f t="shared" ca="1" si="1"/>
        <v>0.56161384725561725</v>
      </c>
      <c r="Y26" s="3">
        <f t="shared" ca="1" si="10"/>
        <v>37.814134256876059</v>
      </c>
      <c r="Z26" s="37"/>
      <c r="AA26" s="37"/>
      <c r="AB26" s="3"/>
      <c r="AD26" s="4">
        <f t="shared" ca="1" si="11"/>
        <v>0.56161384725561725</v>
      </c>
      <c r="AE26" s="37">
        <f t="shared" si="12"/>
        <v>3231.5</v>
      </c>
      <c r="AF26">
        <v>5</v>
      </c>
      <c r="AG26">
        <f t="shared" ca="1" si="13"/>
        <v>3237.5284266958274</v>
      </c>
      <c r="AI26" s="4">
        <f t="shared" ca="1" si="14"/>
        <v>0.60284266958274202</v>
      </c>
    </row>
    <row r="27" spans="2:35" x14ac:dyDescent="0.2">
      <c r="B27">
        <v>23</v>
      </c>
      <c r="C27" s="5">
        <f>Digital!C27</f>
        <v>55</v>
      </c>
      <c r="D27" s="5">
        <f>Accuracy!G26</f>
        <v>2985.9999999999995</v>
      </c>
      <c r="E27" s="5">
        <f>Thermistor!K27</f>
        <v>3916.5716867816318</v>
      </c>
      <c r="F27" s="42">
        <f>Digital!D27</f>
        <v>0.14228533307919564</v>
      </c>
      <c r="N27">
        <f t="shared" si="2"/>
        <v>54.9</v>
      </c>
      <c r="O27" s="37">
        <f t="shared" si="3"/>
        <v>2996.8836285246448</v>
      </c>
      <c r="P27" s="4">
        <f t="shared" si="4"/>
        <v>0.14272992514247804</v>
      </c>
      <c r="Q27" s="37">
        <f t="shared" si="5"/>
        <v>12</v>
      </c>
      <c r="R27" s="37"/>
      <c r="S27" s="4">
        <f t="shared" si="6"/>
        <v>0.55200000000000005</v>
      </c>
      <c r="T27" s="37">
        <f t="shared" si="7"/>
        <v>18088</v>
      </c>
      <c r="U27" s="4">
        <f t="shared" si="0"/>
        <v>0.25856870496825729</v>
      </c>
      <c r="V27" s="4">
        <f t="shared" si="8"/>
        <v>4236.3896621999274</v>
      </c>
      <c r="W27" s="3">
        <f t="shared" ca="1" si="9"/>
        <v>4274.0067813290116</v>
      </c>
      <c r="X27" s="4">
        <f t="shared" ca="1" si="1"/>
        <v>0.54714164323511028</v>
      </c>
      <c r="Y27" s="3">
        <f t="shared" ca="1" si="10"/>
        <v>37.617119129084131</v>
      </c>
      <c r="Z27" s="37"/>
      <c r="AA27" s="37"/>
      <c r="AB27" s="3"/>
      <c r="AD27" s="4">
        <f t="shared" ca="1" si="11"/>
        <v>0.54714164323511028</v>
      </c>
      <c r="AE27" s="37">
        <f t="shared" si="12"/>
        <v>3281.5</v>
      </c>
      <c r="AF27">
        <v>0</v>
      </c>
      <c r="AG27">
        <f t="shared" ca="1" si="13"/>
        <v>3289.4682406368497</v>
      </c>
      <c r="AI27" s="4">
        <f t="shared" ca="1" si="14"/>
        <v>0.79682406368497138</v>
      </c>
    </row>
    <row r="28" spans="2:35" x14ac:dyDescent="0.2">
      <c r="B28">
        <v>24</v>
      </c>
      <c r="C28" s="5">
        <f>Digital!C28</f>
        <v>60</v>
      </c>
      <c r="D28" s="5">
        <f>Accuracy!G27</f>
        <v>2488</v>
      </c>
      <c r="E28" s="5">
        <f>Thermistor!K28</f>
        <v>3922.8491920214628</v>
      </c>
      <c r="F28" s="42">
        <f>Digital!D28</f>
        <v>0.12143693869582195</v>
      </c>
      <c r="N28">
        <f t="shared" si="2"/>
        <v>59.9</v>
      </c>
      <c r="O28" s="37">
        <f t="shared" si="3"/>
        <v>2496.81192284705</v>
      </c>
      <c r="P28" s="4">
        <f t="shared" si="4"/>
        <v>0.12181464767522918</v>
      </c>
      <c r="Q28" s="37">
        <f t="shared" si="5"/>
        <v>12</v>
      </c>
      <c r="R28" s="37"/>
      <c r="S28" s="4">
        <f t="shared" si="6"/>
        <v>0.53800000000000003</v>
      </c>
      <c r="T28" s="37">
        <f t="shared" si="7"/>
        <v>17629</v>
      </c>
      <c r="U28" s="4">
        <f t="shared" si="0"/>
        <v>0.22642127820674568</v>
      </c>
      <c r="V28" s="4">
        <f t="shared" si="8"/>
        <v>3709.6862221393212</v>
      </c>
      <c r="W28" s="3">
        <f t="shared" ca="1" si="9"/>
        <v>3742.1080264679513</v>
      </c>
      <c r="X28" s="4">
        <f t="shared" ca="1" si="1"/>
        <v>0.53333874206585463</v>
      </c>
      <c r="Y28" s="3">
        <f t="shared" ca="1" si="10"/>
        <v>32.42180432863006</v>
      </c>
      <c r="Z28" s="37"/>
      <c r="AA28" s="37"/>
      <c r="AB28" s="3"/>
      <c r="AD28" s="4">
        <f t="shared" ca="1" si="11"/>
        <v>0.53333874206585463</v>
      </c>
      <c r="AE28" s="37">
        <f t="shared" si="12"/>
        <v>3331.5</v>
      </c>
      <c r="AF28">
        <v>-5</v>
      </c>
      <c r="AG28">
        <f t="shared" ca="1" si="13"/>
        <v>3339.6134312707618</v>
      </c>
      <c r="AI28" s="4">
        <f t="shared" ca="1" si="14"/>
        <v>0.81134312707617939</v>
      </c>
    </row>
    <row r="29" spans="2:35" x14ac:dyDescent="0.2">
      <c r="B29">
        <v>25</v>
      </c>
      <c r="C29" s="5">
        <f>Digital!C29</f>
        <v>65</v>
      </c>
      <c r="D29" s="5">
        <f>Accuracy!G28</f>
        <v>2083</v>
      </c>
      <c r="E29" s="5">
        <f>Thermistor!K29</f>
        <v>3929.0475800940803</v>
      </c>
      <c r="F29" s="42">
        <f>Digital!D29</f>
        <v>0.10371956381018772</v>
      </c>
      <c r="N29">
        <f t="shared" si="2"/>
        <v>64.900000000000006</v>
      </c>
      <c r="O29" s="37">
        <f t="shared" si="3"/>
        <v>2090.1718765395376</v>
      </c>
      <c r="P29" s="4">
        <f t="shared" si="4"/>
        <v>0.1040395218808632</v>
      </c>
      <c r="Q29" s="37">
        <f t="shared" si="5"/>
        <v>12</v>
      </c>
      <c r="R29" s="37"/>
      <c r="S29" s="4">
        <f t="shared" si="6"/>
        <v>0.52400000000000002</v>
      </c>
      <c r="T29" s="37">
        <f t="shared" si="7"/>
        <v>17170</v>
      </c>
      <c r="U29" s="4">
        <f t="shared" si="0"/>
        <v>0.1985487058795099</v>
      </c>
      <c r="V29" s="4">
        <f t="shared" si="8"/>
        <v>3253.0219971298902</v>
      </c>
      <c r="W29" s="3">
        <f t="shared" ca="1" si="9"/>
        <v>3277.2975151627807</v>
      </c>
      <c r="X29" s="4">
        <f t="shared" ca="1" si="1"/>
        <v>0.52011864001044084</v>
      </c>
      <c r="Y29" s="3">
        <f t="shared" ca="1" si="10"/>
        <v>24.275518032890432</v>
      </c>
      <c r="Z29" s="37"/>
      <c r="AA29" s="37"/>
      <c r="AB29" s="3"/>
      <c r="AD29" s="4">
        <f t="shared" ca="1" si="11"/>
        <v>0.52011864001044084</v>
      </c>
      <c r="AE29" s="37">
        <f t="shared" si="12"/>
        <v>3381.5</v>
      </c>
      <c r="AF29">
        <v>-10</v>
      </c>
      <c r="AG29">
        <f t="shared" ca="1" si="13"/>
        <v>3388.2679113268414</v>
      </c>
      <c r="AI29" s="4">
        <f t="shared" ca="1" si="14"/>
        <v>0.6767911326841386</v>
      </c>
    </row>
    <row r="30" spans="2:35" x14ac:dyDescent="0.2">
      <c r="B30">
        <v>26</v>
      </c>
      <c r="C30" s="5">
        <f>Digital!C30</f>
        <v>70</v>
      </c>
      <c r="D30" s="5">
        <f>Accuracy!G29</f>
        <v>1752</v>
      </c>
      <c r="E30" s="5">
        <f>Thermistor!K30</f>
        <v>3935.1177763613291</v>
      </c>
      <c r="F30" s="42">
        <f>Digital!D30</f>
        <v>8.8699878493317133E-2</v>
      </c>
      <c r="N30">
        <f t="shared" si="2"/>
        <v>69.900000000000006</v>
      </c>
      <c r="O30" s="37">
        <f t="shared" si="3"/>
        <v>1757.8664652432328</v>
      </c>
      <c r="P30" s="4">
        <f t="shared" si="4"/>
        <v>8.8970459858890044E-2</v>
      </c>
      <c r="Q30" s="37">
        <f t="shared" si="5"/>
        <v>12</v>
      </c>
      <c r="R30" s="37"/>
      <c r="S30" s="4">
        <f t="shared" si="6"/>
        <v>0.51</v>
      </c>
      <c r="T30" s="37">
        <f t="shared" si="7"/>
        <v>16712</v>
      </c>
      <c r="U30" s="4">
        <f t="shared" si="0"/>
        <v>0.17445188207625498</v>
      </c>
      <c r="V30" s="4">
        <f t="shared" si="8"/>
        <v>2858.2196359373615</v>
      </c>
      <c r="W30" s="3">
        <f t="shared" ca="1" si="9"/>
        <v>2873.1035447765739</v>
      </c>
      <c r="X30" s="4">
        <f t="shared" ca="1" si="1"/>
        <v>0.50735798122493758</v>
      </c>
      <c r="Y30" s="3">
        <f t="shared" ca="1" si="10"/>
        <v>14.883908839212381</v>
      </c>
      <c r="Z30" s="37"/>
      <c r="AA30" s="37"/>
      <c r="AB30" s="3"/>
      <c r="AD30" s="4">
        <f t="shared" ca="1" si="11"/>
        <v>0.50735798122493758</v>
      </c>
      <c r="AE30" s="37">
        <f t="shared" si="12"/>
        <v>3431.5</v>
      </c>
      <c r="AF30">
        <v>-15</v>
      </c>
      <c r="AG30">
        <f t="shared" ca="1" si="13"/>
        <v>3435.8756922283937</v>
      </c>
      <c r="AI30" s="4">
        <f t="shared" ca="1" si="14"/>
        <v>0.43756922283937455</v>
      </c>
    </row>
    <row r="31" spans="2:35" x14ac:dyDescent="0.2">
      <c r="B31">
        <v>27</v>
      </c>
      <c r="C31" s="5">
        <f>Digital!C31</f>
        <v>75</v>
      </c>
      <c r="D31" s="5">
        <f>Accuracy!G30</f>
        <v>1480</v>
      </c>
      <c r="E31" s="5">
        <f>Thermistor!K31</f>
        <v>3941.2176303712245</v>
      </c>
      <c r="F31" s="42">
        <f>Digital!D31</f>
        <v>7.5975359342915813E-2</v>
      </c>
      <c r="N31">
        <f t="shared" si="2"/>
        <v>74.900000000000006</v>
      </c>
      <c r="O31" s="37">
        <f t="shared" si="3"/>
        <v>1484.8215931974764</v>
      </c>
      <c r="P31" s="4">
        <f t="shared" si="4"/>
        <v>7.6204012754002112E-2</v>
      </c>
      <c r="Q31" s="37">
        <f t="shared" si="5"/>
        <v>13</v>
      </c>
      <c r="R31" s="37"/>
      <c r="S31" s="4">
        <f t="shared" si="6"/>
        <v>0.496</v>
      </c>
      <c r="T31" s="37">
        <f t="shared" si="7"/>
        <v>16253</v>
      </c>
      <c r="U31" s="4">
        <f t="shared" si="0"/>
        <v>0.15363712248790748</v>
      </c>
      <c r="V31" s="4">
        <f t="shared" si="8"/>
        <v>2517.1906148418761</v>
      </c>
      <c r="W31" s="3">
        <f t="shared" ca="1" si="9"/>
        <v>2522.7745260060333</v>
      </c>
      <c r="X31" s="4">
        <f t="shared" ca="1" si="1"/>
        <v>0.49490215320121905</v>
      </c>
      <c r="Y31" s="3">
        <f t="shared" ca="1" si="10"/>
        <v>5.5839111641571435</v>
      </c>
      <c r="Z31" s="37"/>
      <c r="AA31" s="37"/>
      <c r="AB31" s="3"/>
      <c r="AD31" s="4">
        <f t="shared" ca="1" si="11"/>
        <v>0.49490215320121905</v>
      </c>
      <c r="AE31" s="37">
        <f t="shared" si="12"/>
        <v>3481.5</v>
      </c>
      <c r="AF31">
        <v>-20</v>
      </c>
      <c r="AG31">
        <f t="shared" ca="1" si="13"/>
        <v>3483.0139544720846</v>
      </c>
      <c r="AI31" s="4">
        <f t="shared" ca="1" si="14"/>
        <v>0.1513954472084606</v>
      </c>
    </row>
    <row r="32" spans="2:35" x14ac:dyDescent="0.2">
      <c r="B32">
        <v>28</v>
      </c>
      <c r="C32" s="5">
        <f>Digital!C32</f>
        <v>80</v>
      </c>
      <c r="D32" s="5">
        <f>Accuracy!G31</f>
        <v>1255</v>
      </c>
      <c r="E32" s="5">
        <f>Thermistor!K32</f>
        <v>3947.8289534732266</v>
      </c>
      <c r="F32" s="42">
        <f>Digital!D32</f>
        <v>6.5177875876395744E-2</v>
      </c>
      <c r="N32">
        <f t="shared" si="2"/>
        <v>79.900000000000006</v>
      </c>
      <c r="O32" s="37">
        <f t="shared" si="3"/>
        <v>1258.9801036225751</v>
      </c>
      <c r="P32" s="4">
        <f t="shared" si="4"/>
        <v>6.5371068293785889E-2</v>
      </c>
      <c r="Q32" s="37">
        <f t="shared" si="5"/>
        <v>13</v>
      </c>
      <c r="R32" s="37"/>
      <c r="S32" s="4">
        <f t="shared" si="6"/>
        <v>0.48199999999999998</v>
      </c>
      <c r="T32" s="37">
        <f t="shared" si="7"/>
        <v>15794</v>
      </c>
      <c r="U32" s="4">
        <f t="shared" si="0"/>
        <v>0.1356246230161533</v>
      </c>
      <c r="V32" s="4">
        <f t="shared" si="8"/>
        <v>2222.0738234966557</v>
      </c>
      <c r="W32" s="3">
        <f t="shared" ca="1" si="9"/>
        <v>2219.4322133988653</v>
      </c>
      <c r="X32" s="4">
        <f t="shared" ca="1" si="1"/>
        <v>0.48257368549462704</v>
      </c>
      <c r="Y32" s="3">
        <f t="shared" ca="1" si="10"/>
        <v>-2.6416100977903625</v>
      </c>
      <c r="Z32" s="37"/>
      <c r="AA32" s="37"/>
      <c r="AB32" s="3"/>
      <c r="AD32" s="4">
        <f t="shared" ca="1" si="11"/>
        <v>0.48257368549462704</v>
      </c>
      <c r="AE32" s="37">
        <f t="shared" si="12"/>
        <v>3531.5</v>
      </c>
      <c r="AF32">
        <v>-25</v>
      </c>
      <c r="AG32">
        <f t="shared" ca="1" si="13"/>
        <v>3530.3743983776844</v>
      </c>
      <c r="AI32" s="4">
        <f t="shared" ca="1" si="14"/>
        <v>-0.11256016223155711</v>
      </c>
    </row>
    <row r="33" spans="1:35" x14ac:dyDescent="0.2">
      <c r="B33">
        <v>29</v>
      </c>
      <c r="C33" s="5">
        <f>Digital!C33</f>
        <v>85</v>
      </c>
      <c r="D33" s="5">
        <f>Accuracy!G32</f>
        <v>1070</v>
      </c>
      <c r="E33" s="5">
        <f>Thermistor!K33</f>
        <v>3952.4429938883209</v>
      </c>
      <c r="F33" s="42">
        <f>Digital!D33</f>
        <v>5.6109071840587312E-2</v>
      </c>
      <c r="N33">
        <f t="shared" si="2"/>
        <v>84.9</v>
      </c>
      <c r="O33" s="37">
        <f t="shared" si="3"/>
        <v>1073.3030124917625</v>
      </c>
      <c r="P33" s="4">
        <f t="shared" si="4"/>
        <v>5.6272529817662904E-2</v>
      </c>
      <c r="Q33" s="37">
        <f t="shared" si="5"/>
        <v>13</v>
      </c>
      <c r="R33" s="37"/>
      <c r="S33" s="4">
        <f t="shared" si="6"/>
        <v>0.46799999999999997</v>
      </c>
      <c r="T33" s="37">
        <f t="shared" si="7"/>
        <v>15335</v>
      </c>
      <c r="U33" s="4">
        <f t="shared" si="0"/>
        <v>0.12024044832833955</v>
      </c>
      <c r="V33" s="4">
        <f t="shared" si="8"/>
        <v>1970.0195054115152</v>
      </c>
      <c r="W33" s="3">
        <f t="shared" ca="1" si="9"/>
        <v>1960.1079706398823</v>
      </c>
      <c r="X33" s="4">
        <f t="shared" ca="1" si="1"/>
        <v>0.47036650140839426</v>
      </c>
      <c r="Y33" s="3">
        <f t="shared" ca="1" si="10"/>
        <v>-9.911534771632887</v>
      </c>
      <c r="Z33" s="37"/>
      <c r="AA33" s="37"/>
      <c r="AB33" s="3"/>
      <c r="AD33" s="4">
        <f t="shared" ca="1" si="11"/>
        <v>0.47036650140839426</v>
      </c>
      <c r="AE33" s="37">
        <f t="shared" si="12"/>
        <v>3581.5</v>
      </c>
      <c r="AF33">
        <v>-30</v>
      </c>
      <c r="AG33">
        <f t="shared" ca="1" si="13"/>
        <v>3578.0118759191869</v>
      </c>
      <c r="AI33" s="4">
        <f t="shared" ca="1" si="14"/>
        <v>-0.34881240808131225</v>
      </c>
    </row>
    <row r="34" spans="1:35" x14ac:dyDescent="0.2">
      <c r="B34">
        <v>30</v>
      </c>
      <c r="C34" s="5">
        <f>Digital!C34</f>
        <v>90</v>
      </c>
      <c r="D34" s="5">
        <f>Accuracy!G33</f>
        <v>915.50000000000011</v>
      </c>
      <c r="E34" s="5">
        <f>Thermistor!K34</f>
        <v>3957.5832521273564</v>
      </c>
      <c r="F34" s="42">
        <f>Digital!D34</f>
        <v>4.8399460759694438E-2</v>
      </c>
      <c r="N34">
        <f t="shared" si="2"/>
        <v>89.9</v>
      </c>
      <c r="O34" s="37">
        <f t="shared" si="3"/>
        <v>918.25225017432228</v>
      </c>
      <c r="P34" s="4">
        <f t="shared" si="4"/>
        <v>4.8537900754857574E-2</v>
      </c>
      <c r="Q34" s="37">
        <f t="shared" si="5"/>
        <v>13</v>
      </c>
      <c r="R34" s="37"/>
      <c r="S34" s="4">
        <f t="shared" si="6"/>
        <v>0.45399999999999996</v>
      </c>
      <c r="T34" s="37">
        <f t="shared" si="7"/>
        <v>14877</v>
      </c>
      <c r="U34" s="4">
        <f t="shared" si="0"/>
        <v>0.10691167567149247</v>
      </c>
      <c r="V34" s="4">
        <f t="shared" si="8"/>
        <v>1751.6408942017326</v>
      </c>
      <c r="W34" s="3">
        <f t="shared" ca="1" si="9"/>
        <v>1736.2409486457273</v>
      </c>
      <c r="X34" s="4">
        <f t="shared" ca="1" si="1"/>
        <v>0.45802684620926593</v>
      </c>
      <c r="Y34" s="3">
        <f t="shared" ca="1" si="10"/>
        <v>-15.399945556005378</v>
      </c>
      <c r="Z34" s="37"/>
      <c r="AA34" s="37"/>
      <c r="AB34" s="3"/>
      <c r="AD34" s="4">
        <f t="shared" ca="1" si="11"/>
        <v>0.45802684620926593</v>
      </c>
      <c r="AE34" s="37">
        <f t="shared" si="12"/>
        <v>3631.5</v>
      </c>
      <c r="AF34">
        <v>-35</v>
      </c>
      <c r="AG34">
        <f t="shared" ca="1" si="13"/>
        <v>3626.9707999551974</v>
      </c>
      <c r="AI34" s="4">
        <f t="shared" ca="1" si="14"/>
        <v>-0.45292000448025649</v>
      </c>
    </row>
    <row r="35" spans="1:35" x14ac:dyDescent="0.2">
      <c r="A35">
        <v>0.37</v>
      </c>
      <c r="B35">
        <v>31</v>
      </c>
      <c r="C35" s="5">
        <f>Digital!C35</f>
        <v>95</v>
      </c>
      <c r="D35" s="5">
        <f>Accuracy!G34</f>
        <v>786.6</v>
      </c>
      <c r="E35" s="5">
        <f>Thermistor!K35</f>
        <v>3962.1712763752644</v>
      </c>
      <c r="F35" s="42">
        <f>Digital!D35</f>
        <v>4.1870269234454346E-2</v>
      </c>
      <c r="N35">
        <f t="shared" si="2"/>
        <v>94.9</v>
      </c>
      <c r="O35" s="37">
        <f t="shared" si="3"/>
        <v>788.90351311457448</v>
      </c>
      <c r="P35" s="4">
        <f t="shared" ref="P35:P40" si="15">(O35+$H$5)/(O35+$H$5+$G$5)</f>
        <v>4.1987735610219255E-2</v>
      </c>
      <c r="Q35" s="37">
        <f t="shared" si="5"/>
        <v>14</v>
      </c>
      <c r="R35" s="37"/>
      <c r="S35" s="4">
        <f t="shared" si="6"/>
        <v>0.44</v>
      </c>
      <c r="T35" s="37">
        <f t="shared" si="7"/>
        <v>14418</v>
      </c>
      <c r="U35" s="4">
        <f t="shared" si="0"/>
        <v>9.5426671841407393E-2</v>
      </c>
      <c r="V35" s="4">
        <f t="shared" si="8"/>
        <v>1563.4705914496187</v>
      </c>
      <c r="W35" s="3">
        <f t="shared" ca="1" si="9"/>
        <v>1544.1072383163112</v>
      </c>
      <c r="X35" s="4">
        <f t="shared" ca="1" si="1"/>
        <v>0.44551767077262416</v>
      </c>
      <c r="Y35" s="3">
        <f t="shared" ca="1" si="10"/>
        <v>-19.363353133307555</v>
      </c>
      <c r="Z35" s="37"/>
      <c r="AA35" s="37"/>
      <c r="AB35" s="3"/>
      <c r="AD35" s="4">
        <f t="shared" ca="1" si="11"/>
        <v>0.44551767077262416</v>
      </c>
      <c r="AE35" s="37">
        <f t="shared" si="12"/>
        <v>3681.5</v>
      </c>
      <c r="AF35">
        <v>-40</v>
      </c>
      <c r="AG35">
        <f t="shared" ref="AG35:AG40" ca="1" si="16">$AD$43*AD35^3+$AE$43*AD35^2+$AF$43*AD35+$AG$43</f>
        <v>3677.4826822051127</v>
      </c>
      <c r="AI35" s="4">
        <f t="shared" ca="1" si="14"/>
        <v>-0.40173177948872762</v>
      </c>
    </row>
    <row r="36" spans="1:35" x14ac:dyDescent="0.2">
      <c r="B36">
        <v>32</v>
      </c>
      <c r="C36" s="5">
        <f>Digital!C36</f>
        <v>100</v>
      </c>
      <c r="D36" s="5">
        <f>Accuracy!G35</f>
        <v>678.6</v>
      </c>
      <c r="E36" s="5">
        <f>Thermistor!K36</f>
        <v>3966.254505112825</v>
      </c>
      <c r="F36" s="42">
        <f>Digital!D36</f>
        <v>3.6330345957405807E-2</v>
      </c>
      <c r="N36">
        <f t="shared" si="2"/>
        <v>99.9</v>
      </c>
      <c r="O36" s="37">
        <f t="shared" si="3"/>
        <v>680.53625608872494</v>
      </c>
      <c r="P36" s="4">
        <f t="shared" si="15"/>
        <v>3.6430231271701918E-2</v>
      </c>
      <c r="Q36" s="37">
        <f t="shared" si="5"/>
        <v>14</v>
      </c>
      <c r="R36" s="37"/>
      <c r="S36" s="4">
        <f t="shared" si="6"/>
        <v>0.42599999999999999</v>
      </c>
      <c r="T36" s="37">
        <f t="shared" si="7"/>
        <v>13959</v>
      </c>
      <c r="U36" s="4">
        <f t="shared" si="0"/>
        <v>8.5516974816201685E-2</v>
      </c>
      <c r="V36" s="4">
        <f t="shared" si="8"/>
        <v>1401.1101153886484</v>
      </c>
      <c r="W36" s="3">
        <f ca="1">$T$43*P36^4+$U$43*P36^3+$V$43*P36^2+$W$43*P36+$X$43</f>
        <v>1379.1993145265278</v>
      </c>
      <c r="X36" s="4">
        <f ca="1">P36/W36*2^14</f>
        <v>0.43276769562524592</v>
      </c>
      <c r="Y36" s="3">
        <f ca="1">W36-V36</f>
        <v>-21.910800862120595</v>
      </c>
      <c r="Z36" s="37"/>
      <c r="AA36" s="37"/>
      <c r="AB36" s="3"/>
      <c r="AD36" s="4">
        <f ca="1">X36</f>
        <v>0.43276769562524592</v>
      </c>
      <c r="AE36" s="37">
        <f>C36*10+2731.5</f>
        <v>3731.5</v>
      </c>
      <c r="AF36">
        <v>-40</v>
      </c>
      <c r="AG36">
        <f t="shared" ca="1" si="16"/>
        <v>3729.9366447186685</v>
      </c>
      <c r="AI36" s="4">
        <f ca="1">(AG36-AE36)/10</f>
        <v>-0.15633552813314963</v>
      </c>
    </row>
    <row r="37" spans="1:35" x14ac:dyDescent="0.2">
      <c r="B37">
        <v>33</v>
      </c>
      <c r="C37" s="5">
        <f>Digital!C37</f>
        <v>105</v>
      </c>
      <c r="D37" s="5">
        <f>Accuracy!G36</f>
        <v>587.6</v>
      </c>
      <c r="E37" s="5">
        <f>Thermistor!K37</f>
        <v>3970.1366519652493</v>
      </c>
      <c r="F37" s="42">
        <f>Digital!D37</f>
        <v>3.1612472831349936E-2</v>
      </c>
      <c r="N37">
        <f t="shared" si="2"/>
        <v>104.9</v>
      </c>
      <c r="O37" s="37">
        <f t="shared" si="3"/>
        <v>589.23409415057677</v>
      </c>
      <c r="P37" s="4">
        <f t="shared" si="15"/>
        <v>3.1697599329064852E-2</v>
      </c>
      <c r="Q37" s="37">
        <f t="shared" si="5"/>
        <v>14</v>
      </c>
      <c r="R37" s="37"/>
      <c r="S37" s="4">
        <f t="shared" si="6"/>
        <v>0.41199999999999998</v>
      </c>
      <c r="T37" s="37">
        <f t="shared" si="7"/>
        <v>13500</v>
      </c>
      <c r="U37" s="4">
        <f t="shared" si="0"/>
        <v>7.6935920701613716E-2</v>
      </c>
      <c r="V37" s="4">
        <f t="shared" si="8"/>
        <v>1260.5181247752391</v>
      </c>
      <c r="W37" s="3">
        <f ca="1">$T$43*P37^4+$U$43*P37^3+$V$43*P37^2+$W$43*P37+$X$43</f>
        <v>1237.3624041301628</v>
      </c>
      <c r="X37" s="4">
        <f ca="1">P37/W37*2^14</f>
        <v>0.41971007497393459</v>
      </c>
      <c r="Y37" s="3">
        <f ca="1">W37-V37</f>
        <v>-23.155720645076372</v>
      </c>
      <c r="Z37" s="37"/>
      <c r="AA37" s="37"/>
      <c r="AB37" s="3"/>
      <c r="AD37" s="4">
        <f ca="1">X37</f>
        <v>0.41971007497393459</v>
      </c>
      <c r="AE37" s="37">
        <f>C37*10+2731.5</f>
        <v>3781.5</v>
      </c>
      <c r="AF37">
        <v>-40</v>
      </c>
      <c r="AG37">
        <f t="shared" ca="1" si="16"/>
        <v>3784.7323949153174</v>
      </c>
      <c r="AI37" s="4">
        <f ca="1">(AG37-AE37)/10</f>
        <v>0.32323949153173998</v>
      </c>
    </row>
    <row r="38" spans="1:35" x14ac:dyDescent="0.2">
      <c r="B38">
        <v>34</v>
      </c>
      <c r="C38" s="5">
        <f>Digital!C38</f>
        <v>0</v>
      </c>
      <c r="D38" s="5">
        <f>Accuracy!G37</f>
        <v>0</v>
      </c>
      <c r="E38" s="5" t="e">
        <f>Thermistor!K38</f>
        <v>#NUM!</v>
      </c>
      <c r="F38" s="42">
        <f>Digital!D38</f>
        <v>0</v>
      </c>
      <c r="N38">
        <f t="shared" si="2"/>
        <v>-0.1</v>
      </c>
      <c r="O38" s="37" t="e">
        <f t="shared" si="3"/>
        <v>#NUM!</v>
      </c>
      <c r="P38" s="4" t="e">
        <f t="shared" si="15"/>
        <v>#NUM!</v>
      </c>
      <c r="Q38" s="37" t="e">
        <f t="shared" si="5"/>
        <v>#NUM!</v>
      </c>
      <c r="R38" s="37"/>
      <c r="S38" s="4">
        <f t="shared" si="6"/>
        <v>0.39799999999999996</v>
      </c>
      <c r="T38" s="37">
        <f t="shared" si="7"/>
        <v>13042</v>
      </c>
      <c r="U38" s="4" t="e">
        <f t="shared" si="0"/>
        <v>#NUM!</v>
      </c>
      <c r="V38" s="4" t="e">
        <f t="shared" si="8"/>
        <v>#NUM!</v>
      </c>
      <c r="W38" s="3" t="e">
        <f ca="1">$T$43*P38^4+$U$43*P38^3+$V$43*P38^2+$W$43*P38+$X$43</f>
        <v>#NUM!</v>
      </c>
      <c r="X38" s="4" t="e">
        <f ca="1">P38/W38*2^14</f>
        <v>#NUM!</v>
      </c>
      <c r="Y38" s="3" t="e">
        <f ca="1">W38-V38</f>
        <v>#NUM!</v>
      </c>
      <c r="Z38" s="37"/>
      <c r="AA38" s="37"/>
      <c r="AB38" s="3"/>
      <c r="AD38" s="4" t="e">
        <f ca="1">X38</f>
        <v>#NUM!</v>
      </c>
      <c r="AE38" s="37">
        <f>C38*10+2731.5</f>
        <v>2731.5</v>
      </c>
      <c r="AF38">
        <v>-40</v>
      </c>
      <c r="AG38" t="e">
        <f t="shared" ca="1" si="16"/>
        <v>#NUM!</v>
      </c>
      <c r="AI38" s="4" t="e">
        <f ca="1">(AG38-AE38)/10</f>
        <v>#NUM!</v>
      </c>
    </row>
    <row r="39" spans="1:35" x14ac:dyDescent="0.2">
      <c r="B39">
        <v>35</v>
      </c>
      <c r="C39" s="5">
        <f>Digital!C39</f>
        <v>0</v>
      </c>
      <c r="D39" s="5">
        <f>Accuracy!G38</f>
        <v>0</v>
      </c>
      <c r="E39" s="5" t="e">
        <f>Thermistor!K39</f>
        <v>#NUM!</v>
      </c>
      <c r="F39" s="42">
        <f>Digital!D39</f>
        <v>0</v>
      </c>
      <c r="N39">
        <f t="shared" si="2"/>
        <v>-0.1</v>
      </c>
      <c r="O39" s="37" t="e">
        <f t="shared" si="3"/>
        <v>#NUM!</v>
      </c>
      <c r="P39" s="4" t="e">
        <f t="shared" si="15"/>
        <v>#NUM!</v>
      </c>
      <c r="Q39" s="37" t="e">
        <f t="shared" si="5"/>
        <v>#NUM!</v>
      </c>
      <c r="R39" s="37"/>
      <c r="S39" s="4">
        <f t="shared" si="6"/>
        <v>0.38399999999999995</v>
      </c>
      <c r="T39" s="37">
        <f t="shared" si="7"/>
        <v>12583</v>
      </c>
      <c r="U39" s="4" t="e">
        <f t="shared" si="0"/>
        <v>#NUM!</v>
      </c>
      <c r="V39" s="4" t="e">
        <f t="shared" si="8"/>
        <v>#NUM!</v>
      </c>
      <c r="W39" s="3" t="e">
        <f ca="1">$T$43*P39^4+$U$43*P39^3+$V$43*P39^2+$W$43*P39+$X$43</f>
        <v>#NUM!</v>
      </c>
      <c r="X39" s="4" t="e">
        <f ca="1">P39/W39*2^14</f>
        <v>#NUM!</v>
      </c>
      <c r="Y39" s="3" t="e">
        <f ca="1">W39-V39</f>
        <v>#NUM!</v>
      </c>
      <c r="Z39" s="37"/>
      <c r="AA39" s="37"/>
      <c r="AB39" s="3"/>
      <c r="AD39" s="4" t="e">
        <f ca="1">X39</f>
        <v>#NUM!</v>
      </c>
      <c r="AE39" s="37">
        <f>C39*10+2731.5</f>
        <v>2731.5</v>
      </c>
      <c r="AF39">
        <v>-40</v>
      </c>
      <c r="AG39" t="e">
        <f t="shared" ca="1" si="16"/>
        <v>#NUM!</v>
      </c>
      <c r="AI39" s="4" t="e">
        <f ca="1">(AG39-AE39)/10</f>
        <v>#NUM!</v>
      </c>
    </row>
    <row r="40" spans="1:35" x14ac:dyDescent="0.2">
      <c r="B40">
        <v>36</v>
      </c>
      <c r="C40" s="5">
        <f>Digital!C40</f>
        <v>0</v>
      </c>
      <c r="D40" s="5">
        <f>Accuracy!G39</f>
        <v>0</v>
      </c>
      <c r="E40" s="5" t="e">
        <f>Thermistor!K40</f>
        <v>#NUM!</v>
      </c>
      <c r="F40" s="42">
        <f>Digital!D40</f>
        <v>0</v>
      </c>
      <c r="N40">
        <f t="shared" si="2"/>
        <v>-0.1</v>
      </c>
      <c r="O40" s="37" t="e">
        <f t="shared" si="3"/>
        <v>#NUM!</v>
      </c>
      <c r="P40" s="4" t="e">
        <f t="shared" si="15"/>
        <v>#NUM!</v>
      </c>
      <c r="Q40" s="37" t="e">
        <f t="shared" si="5"/>
        <v>#NUM!</v>
      </c>
      <c r="R40" s="37"/>
      <c r="S40" s="4">
        <f t="shared" si="6"/>
        <v>0.37</v>
      </c>
      <c r="T40" s="37">
        <f t="shared" si="7"/>
        <v>12124</v>
      </c>
      <c r="U40" s="4" t="e">
        <f t="shared" si="0"/>
        <v>#NUM!</v>
      </c>
      <c r="V40" s="4" t="e">
        <f t="shared" si="8"/>
        <v>#NUM!</v>
      </c>
      <c r="W40" s="3" t="e">
        <f ca="1">$T$43*P40^4+$U$43*P40^3+$V$43*P40^2+$W$43*P40+$X$43</f>
        <v>#NUM!</v>
      </c>
      <c r="X40" s="4" t="e">
        <f ca="1">P40/W40*2^14</f>
        <v>#NUM!</v>
      </c>
      <c r="Y40" s="3" t="e">
        <f ca="1">W40-V40</f>
        <v>#NUM!</v>
      </c>
      <c r="Z40" s="37"/>
      <c r="AA40" s="37"/>
      <c r="AB40" s="3"/>
      <c r="AD40" s="4" t="e">
        <f ca="1">X40</f>
        <v>#NUM!</v>
      </c>
      <c r="AE40" s="37">
        <f>C40*10+2731.5</f>
        <v>2731.5</v>
      </c>
      <c r="AF40">
        <v>-40</v>
      </c>
      <c r="AG40" t="e">
        <f t="shared" ca="1" si="16"/>
        <v>#NUM!</v>
      </c>
      <c r="AI40" s="4" t="e">
        <f ca="1">(AG40-AE40)/10</f>
        <v>#NUM!</v>
      </c>
    </row>
    <row r="42" spans="1:35" x14ac:dyDescent="0.2">
      <c r="A42">
        <f>MATCH(I6,C5:C40,3)</f>
        <v>36</v>
      </c>
      <c r="T42" s="15" t="s">
        <v>86</v>
      </c>
      <c r="U42" s="15" t="s">
        <v>53</v>
      </c>
      <c r="V42" s="15" t="s">
        <v>52</v>
      </c>
      <c r="W42" s="15" t="s">
        <v>51</v>
      </c>
      <c r="X42" s="15" t="s">
        <v>98</v>
      </c>
      <c r="Y42" s="20"/>
      <c r="Z42" s="20"/>
      <c r="AA42" s="20"/>
      <c r="AB42" s="20"/>
      <c r="AD42" t="s">
        <v>92</v>
      </c>
      <c r="AE42" t="s">
        <v>93</v>
      </c>
      <c r="AF42" t="s">
        <v>94</v>
      </c>
      <c r="AG42" t="s">
        <v>95</v>
      </c>
    </row>
    <row r="43" spans="1:35" x14ac:dyDescent="0.2">
      <c r="T43" s="15">
        <f t="array" aca="1" ref="T43:X43" ca="1">LINEST(INDIRECT(L5):INDIRECT(L6),INDIRECT(K5):INDIRECT(K6)^{1,2,3,4},TRUE,TRUE)</f>
        <v>-28356.410654532439</v>
      </c>
      <c r="U43" s="15">
        <f ca="1"/>
        <v>48907.107854371956</v>
      </c>
      <c r="V43" s="15">
        <f ca="1"/>
        <v>-34014.929379536938</v>
      </c>
      <c r="W43" s="15">
        <f ca="1"/>
        <v>32121.331699666585</v>
      </c>
      <c r="X43" s="15">
        <f ca="1"/>
        <v>251.84043052989728</v>
      </c>
      <c r="Y43" s="20"/>
      <c r="Z43" s="20"/>
      <c r="AA43" s="20"/>
      <c r="AB43" s="20"/>
      <c r="AD43" s="15">
        <f t="array" aca="1" ref="AD43:AG43" ca="1">LINEST(INDIRECT(AB5):INDIRECT(AB6),INDIRECT(AA5):INDIRECT(AA6)^{1,2,3},TRUE,TRUE)</f>
        <v>-4757.0276188160724</v>
      </c>
      <c r="AE43" s="15">
        <f ca="1"/>
        <v>9367.9705254231249</v>
      </c>
      <c r="AF43" s="15">
        <f ca="1"/>
        <v>-9589.476920544219</v>
      </c>
      <c r="AG43" s="15">
        <f ca="1"/>
        <v>6511.0124348727604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2:R41"/>
  <sheetViews>
    <sheetView zoomScale="85" workbookViewId="0">
      <selection activeCell="C13" sqref="C13"/>
    </sheetView>
  </sheetViews>
  <sheetFormatPr defaultRowHeight="12.75" x14ac:dyDescent="0.2"/>
  <sheetData>
    <row r="2" spans="2:18" x14ac:dyDescent="0.2">
      <c r="B2" s="20" t="s">
        <v>56</v>
      </c>
      <c r="C2" s="20" t="s">
        <v>57</v>
      </c>
      <c r="F2" s="20" t="s">
        <v>56</v>
      </c>
      <c r="G2" s="20" t="s">
        <v>57</v>
      </c>
      <c r="O2" s="20"/>
      <c r="P2" s="20" t="s">
        <v>56</v>
      </c>
      <c r="Q2" s="20" t="s">
        <v>57</v>
      </c>
      <c r="R2" s="20"/>
    </row>
    <row r="3" spans="2:18" x14ac:dyDescent="0.2">
      <c r="C3" t="s">
        <v>70</v>
      </c>
      <c r="G3" t="s">
        <v>138</v>
      </c>
      <c r="L3" t="s">
        <v>139</v>
      </c>
      <c r="Q3" s="59" t="s">
        <v>140</v>
      </c>
    </row>
    <row r="4" spans="2:18" x14ac:dyDescent="0.2">
      <c r="B4" s="15">
        <v>-40</v>
      </c>
      <c r="C4" s="28">
        <v>188500</v>
      </c>
      <c r="F4" s="15">
        <v>-40</v>
      </c>
      <c r="G4" s="28"/>
      <c r="K4" s="15">
        <v>-40</v>
      </c>
      <c r="L4" s="28">
        <v>101275</v>
      </c>
      <c r="P4" s="15">
        <v>-40</v>
      </c>
      <c r="Q4" s="60">
        <v>336500</v>
      </c>
    </row>
    <row r="5" spans="2:18" x14ac:dyDescent="0.2">
      <c r="B5" s="15">
        <v>-35</v>
      </c>
      <c r="C5" s="28">
        <v>144100</v>
      </c>
      <c r="F5" s="15">
        <v>-35</v>
      </c>
      <c r="G5" s="28"/>
      <c r="K5" s="15">
        <v>-35</v>
      </c>
      <c r="L5" s="28">
        <v>76325</v>
      </c>
      <c r="P5" s="15">
        <v>-35</v>
      </c>
      <c r="Q5" s="60">
        <v>242600</v>
      </c>
    </row>
    <row r="6" spans="2:18" x14ac:dyDescent="0.2">
      <c r="B6" s="15">
        <v>-30</v>
      </c>
      <c r="C6" s="28">
        <v>111300</v>
      </c>
      <c r="F6" s="15">
        <v>-30</v>
      </c>
      <c r="G6" s="28"/>
      <c r="K6" s="15">
        <v>-30</v>
      </c>
      <c r="L6" s="28">
        <v>58034</v>
      </c>
      <c r="P6" s="15">
        <v>-30</v>
      </c>
      <c r="Q6" s="60">
        <v>177000</v>
      </c>
    </row>
    <row r="7" spans="2:18" x14ac:dyDescent="0.2">
      <c r="B7" s="15">
        <v>-25</v>
      </c>
      <c r="C7" s="28">
        <v>86430</v>
      </c>
      <c r="F7" s="15">
        <v>-25</v>
      </c>
      <c r="G7" s="28"/>
      <c r="K7" s="15">
        <v>-25</v>
      </c>
      <c r="L7" s="28">
        <v>44505</v>
      </c>
      <c r="P7" s="15">
        <v>-25</v>
      </c>
      <c r="Q7" s="60">
        <v>130400</v>
      </c>
    </row>
    <row r="8" spans="2:18" x14ac:dyDescent="0.2">
      <c r="B8" s="15">
        <v>-20</v>
      </c>
      <c r="C8" s="28">
        <v>67770</v>
      </c>
      <c r="F8" s="15">
        <v>-20</v>
      </c>
      <c r="G8" s="28">
        <v>74890</v>
      </c>
      <c r="K8" s="15">
        <v>-20</v>
      </c>
      <c r="L8" s="28">
        <v>34413</v>
      </c>
      <c r="P8" s="15">
        <v>-20</v>
      </c>
      <c r="Q8" s="60">
        <v>97070</v>
      </c>
    </row>
    <row r="9" spans="2:18" x14ac:dyDescent="0.2">
      <c r="B9" s="15">
        <v>-15</v>
      </c>
      <c r="C9" s="28">
        <v>53410</v>
      </c>
      <c r="F9" s="15">
        <v>-15</v>
      </c>
      <c r="G9" s="28">
        <v>57980</v>
      </c>
      <c r="K9" s="15">
        <v>-15</v>
      </c>
      <c r="L9" s="28">
        <v>26821</v>
      </c>
      <c r="P9" s="15">
        <v>-15</v>
      </c>
      <c r="Q9" s="60">
        <v>72930</v>
      </c>
    </row>
    <row r="10" spans="2:18" x14ac:dyDescent="0.2">
      <c r="B10" s="15">
        <v>-10</v>
      </c>
      <c r="C10" s="28">
        <v>42470</v>
      </c>
      <c r="F10" s="15">
        <v>-10</v>
      </c>
      <c r="G10" s="28">
        <v>45310</v>
      </c>
      <c r="K10" s="15">
        <v>-10</v>
      </c>
      <c r="L10" s="28">
        <v>21065</v>
      </c>
      <c r="P10" s="15">
        <v>-10</v>
      </c>
      <c r="Q10" s="60">
        <v>55330</v>
      </c>
    </row>
    <row r="11" spans="2:18" x14ac:dyDescent="0.2">
      <c r="B11" s="15">
        <v>-5</v>
      </c>
      <c r="C11" s="28">
        <v>33900</v>
      </c>
      <c r="F11" s="15">
        <v>-5</v>
      </c>
      <c r="G11" s="28">
        <v>35720</v>
      </c>
      <c r="K11" s="15">
        <v>-5</v>
      </c>
      <c r="L11" s="28">
        <v>16667</v>
      </c>
      <c r="P11" s="15">
        <v>-5</v>
      </c>
      <c r="Q11" s="60">
        <v>42320</v>
      </c>
    </row>
    <row r="12" spans="2:18" x14ac:dyDescent="0.2">
      <c r="B12" s="15">
        <v>0</v>
      </c>
      <c r="C12" s="28">
        <v>27280</v>
      </c>
      <c r="F12" s="15">
        <v>0</v>
      </c>
      <c r="G12" s="28">
        <v>28380</v>
      </c>
      <c r="K12" s="15">
        <v>0</v>
      </c>
      <c r="L12" s="28">
        <v>13280</v>
      </c>
      <c r="P12" s="15">
        <v>0</v>
      </c>
      <c r="Q12" s="60">
        <v>32650</v>
      </c>
    </row>
    <row r="13" spans="2:18" x14ac:dyDescent="0.2">
      <c r="B13" s="15">
        <v>5</v>
      </c>
      <c r="C13" s="28">
        <v>22050</v>
      </c>
      <c r="F13" s="15">
        <v>5</v>
      </c>
      <c r="G13" s="28">
        <v>22720</v>
      </c>
      <c r="K13" s="15">
        <v>5</v>
      </c>
      <c r="L13" s="28">
        <v>10654</v>
      </c>
      <c r="P13" s="15">
        <v>5</v>
      </c>
      <c r="Q13" s="60">
        <v>25390</v>
      </c>
    </row>
    <row r="14" spans="2:18" x14ac:dyDescent="0.2">
      <c r="B14" s="15">
        <v>10</v>
      </c>
      <c r="C14" s="28">
        <v>17960</v>
      </c>
      <c r="F14" s="15">
        <v>10</v>
      </c>
      <c r="G14" s="28">
        <v>18320</v>
      </c>
      <c r="K14" s="15">
        <v>10</v>
      </c>
      <c r="L14" s="28">
        <v>8603.2000000000007</v>
      </c>
      <c r="P14" s="15">
        <v>10</v>
      </c>
      <c r="Q14" s="60">
        <v>19900</v>
      </c>
    </row>
    <row r="15" spans="2:18" x14ac:dyDescent="0.2">
      <c r="B15" s="15">
        <v>15</v>
      </c>
      <c r="C15" s="28">
        <v>14690</v>
      </c>
      <c r="F15" s="15">
        <v>15</v>
      </c>
      <c r="G15" s="28">
        <v>14880</v>
      </c>
      <c r="K15" s="15">
        <v>15</v>
      </c>
      <c r="L15" s="28">
        <v>6991.1</v>
      </c>
      <c r="P15" s="15">
        <v>15</v>
      </c>
      <c r="Q15" s="60">
        <v>15710</v>
      </c>
    </row>
    <row r="16" spans="2:18" x14ac:dyDescent="0.2">
      <c r="B16" s="15">
        <v>20</v>
      </c>
      <c r="C16" s="28">
        <v>12090</v>
      </c>
      <c r="F16" s="15">
        <v>20</v>
      </c>
      <c r="G16" s="28">
        <v>12160</v>
      </c>
      <c r="K16" s="15">
        <v>20</v>
      </c>
      <c r="L16" s="28">
        <v>5715.6</v>
      </c>
      <c r="P16" s="15">
        <v>20</v>
      </c>
      <c r="Q16" s="60">
        <v>12490</v>
      </c>
    </row>
    <row r="17" spans="2:17" x14ac:dyDescent="0.2">
      <c r="B17" s="15">
        <v>25</v>
      </c>
      <c r="C17" s="28">
        <v>10000</v>
      </c>
      <c r="F17" s="15">
        <v>25</v>
      </c>
      <c r="G17" s="28">
        <v>10000</v>
      </c>
      <c r="K17" s="15">
        <v>25</v>
      </c>
      <c r="L17" s="28">
        <v>4700</v>
      </c>
      <c r="P17" s="15">
        <v>25</v>
      </c>
      <c r="Q17" s="60">
        <v>10000</v>
      </c>
    </row>
    <row r="18" spans="2:17" x14ac:dyDescent="0.2">
      <c r="B18" s="15">
        <v>30</v>
      </c>
      <c r="C18" s="28">
        <v>8313</v>
      </c>
      <c r="F18" s="15">
        <v>30</v>
      </c>
      <c r="G18" s="28">
        <v>8272</v>
      </c>
      <c r="K18" s="15">
        <v>30</v>
      </c>
      <c r="L18" s="28">
        <v>3886.6</v>
      </c>
      <c r="P18" s="15">
        <v>30</v>
      </c>
      <c r="Q18" s="60">
        <v>8057</v>
      </c>
    </row>
    <row r="19" spans="2:17" x14ac:dyDescent="0.2">
      <c r="B19" s="15">
        <v>35</v>
      </c>
      <c r="C19" s="28">
        <v>6940</v>
      </c>
      <c r="F19" s="15">
        <v>35</v>
      </c>
      <c r="G19" s="28">
        <v>6881</v>
      </c>
      <c r="K19" s="15">
        <v>35</v>
      </c>
      <c r="L19" s="28">
        <v>3231.2</v>
      </c>
      <c r="P19" s="15">
        <v>35</v>
      </c>
      <c r="Q19" s="60">
        <v>6531</v>
      </c>
    </row>
    <row r="20" spans="2:17" x14ac:dyDescent="0.2">
      <c r="B20" s="15">
        <v>40</v>
      </c>
      <c r="C20" s="28">
        <v>5827</v>
      </c>
      <c r="F20" s="15">
        <v>40</v>
      </c>
      <c r="G20" s="28">
        <v>5754</v>
      </c>
      <c r="K20" s="15">
        <v>40</v>
      </c>
      <c r="L20" s="28">
        <v>2700.3</v>
      </c>
      <c r="P20" s="15">
        <v>40</v>
      </c>
      <c r="Q20" s="60">
        <v>5327</v>
      </c>
    </row>
    <row r="21" spans="2:17" x14ac:dyDescent="0.2">
      <c r="B21" s="15">
        <v>45</v>
      </c>
      <c r="C21" s="28">
        <v>4911</v>
      </c>
      <c r="F21" s="15">
        <v>45</v>
      </c>
      <c r="G21" s="28">
        <v>4837</v>
      </c>
      <c r="K21" s="15">
        <v>45</v>
      </c>
      <c r="L21" s="28">
        <v>2267.9</v>
      </c>
      <c r="P21" s="15">
        <v>45</v>
      </c>
      <c r="Q21" s="60">
        <v>4369</v>
      </c>
    </row>
    <row r="22" spans="2:17" x14ac:dyDescent="0.2">
      <c r="B22" s="15">
        <v>50</v>
      </c>
      <c r="C22" s="28">
        <v>4160</v>
      </c>
      <c r="F22" s="15">
        <v>50</v>
      </c>
      <c r="G22" s="28">
        <v>4085</v>
      </c>
      <c r="K22" s="15">
        <v>50</v>
      </c>
      <c r="L22" s="28">
        <v>1913.9</v>
      </c>
      <c r="P22" s="15">
        <v>50</v>
      </c>
      <c r="Q22" s="60">
        <v>3603</v>
      </c>
    </row>
    <row r="23" spans="2:17" x14ac:dyDescent="0.2">
      <c r="B23" s="15">
        <v>55</v>
      </c>
      <c r="C23" s="28">
        <v>3536</v>
      </c>
      <c r="F23" s="15">
        <v>55</v>
      </c>
      <c r="G23" s="28">
        <v>3466</v>
      </c>
      <c r="K23" s="15">
        <v>55</v>
      </c>
      <c r="L23" s="28">
        <v>1622.6</v>
      </c>
      <c r="P23" s="15">
        <v>55</v>
      </c>
      <c r="Q23" s="60">
        <v>2986</v>
      </c>
    </row>
    <row r="24" spans="2:17" x14ac:dyDescent="0.2">
      <c r="B24" s="15">
        <v>60</v>
      </c>
      <c r="C24" s="28">
        <v>3020</v>
      </c>
      <c r="F24" s="15">
        <v>60</v>
      </c>
      <c r="G24" s="28">
        <v>2955</v>
      </c>
      <c r="K24" s="15">
        <v>60</v>
      </c>
      <c r="L24" s="28">
        <v>1381.7</v>
      </c>
      <c r="P24" s="15">
        <v>60</v>
      </c>
      <c r="Q24" s="60">
        <v>2488</v>
      </c>
    </row>
    <row r="25" spans="2:17" x14ac:dyDescent="0.2">
      <c r="B25" s="15">
        <v>65</v>
      </c>
      <c r="C25" s="28">
        <v>2588</v>
      </c>
      <c r="F25" s="15">
        <v>65</v>
      </c>
      <c r="G25" s="28">
        <v>2530</v>
      </c>
      <c r="K25" s="15">
        <v>65</v>
      </c>
      <c r="L25" s="28">
        <v>1181.7</v>
      </c>
      <c r="P25" s="15">
        <v>65</v>
      </c>
      <c r="Q25" s="60">
        <v>2083</v>
      </c>
    </row>
    <row r="26" spans="2:17" x14ac:dyDescent="0.2">
      <c r="B26" s="15">
        <v>70</v>
      </c>
      <c r="C26" s="28">
        <v>2228</v>
      </c>
      <c r="F26" s="15">
        <v>70</v>
      </c>
      <c r="G26" s="28">
        <v>2174</v>
      </c>
      <c r="K26" s="15">
        <v>70</v>
      </c>
      <c r="L26" s="28">
        <v>1014.7</v>
      </c>
      <c r="P26" s="15">
        <v>70</v>
      </c>
      <c r="Q26" s="60">
        <v>1752</v>
      </c>
    </row>
    <row r="27" spans="2:17" x14ac:dyDescent="0.2">
      <c r="B27" s="15">
        <v>75</v>
      </c>
      <c r="C27" s="28">
        <v>1924</v>
      </c>
      <c r="F27" s="15">
        <v>75</v>
      </c>
      <c r="G27" s="28">
        <v>1876</v>
      </c>
      <c r="K27" s="15">
        <v>75</v>
      </c>
      <c r="L27" s="28">
        <v>874.85</v>
      </c>
      <c r="P27" s="15">
        <v>75</v>
      </c>
      <c r="Q27" s="60">
        <v>1481</v>
      </c>
    </row>
    <row r="28" spans="2:17" x14ac:dyDescent="0.2">
      <c r="B28" s="15">
        <v>80</v>
      </c>
      <c r="C28" s="28">
        <v>1668</v>
      </c>
      <c r="F28" s="15">
        <v>80</v>
      </c>
      <c r="G28" s="28">
        <v>1624</v>
      </c>
      <c r="K28" s="15">
        <v>80</v>
      </c>
      <c r="L28" s="28">
        <v>757.13</v>
      </c>
      <c r="P28" s="15">
        <v>80</v>
      </c>
      <c r="Q28" s="60">
        <v>1258</v>
      </c>
    </row>
    <row r="29" spans="2:17" x14ac:dyDescent="0.2">
      <c r="B29" s="15">
        <v>85</v>
      </c>
      <c r="C29" s="28">
        <v>1451</v>
      </c>
      <c r="F29" s="15">
        <v>85</v>
      </c>
      <c r="G29" s="28"/>
      <c r="K29" s="15">
        <v>85</v>
      </c>
      <c r="L29" s="28">
        <v>657.67</v>
      </c>
      <c r="P29" s="15">
        <v>85</v>
      </c>
      <c r="Q29" s="60">
        <v>1072</v>
      </c>
    </row>
    <row r="30" spans="2:17" x14ac:dyDescent="0.2">
      <c r="B30" s="15">
        <v>90</v>
      </c>
      <c r="C30" s="28">
        <v>1266</v>
      </c>
      <c r="F30" s="15">
        <v>90</v>
      </c>
      <c r="G30" s="28"/>
      <c r="K30" s="15">
        <v>90</v>
      </c>
      <c r="L30" s="28">
        <v>573.30999999999995</v>
      </c>
      <c r="P30" s="15">
        <v>90</v>
      </c>
      <c r="Q30" s="60">
        <v>917.7</v>
      </c>
    </row>
    <row r="31" spans="2:17" x14ac:dyDescent="0.2">
      <c r="B31" s="15">
        <v>95</v>
      </c>
      <c r="C31" s="28">
        <v>1108</v>
      </c>
      <c r="F31" s="15">
        <v>95</v>
      </c>
      <c r="G31" s="28"/>
      <c r="K31" s="15">
        <v>95</v>
      </c>
      <c r="L31" s="28">
        <v>501.48</v>
      </c>
      <c r="P31" s="15">
        <v>95</v>
      </c>
      <c r="Q31" s="60">
        <v>788.5</v>
      </c>
    </row>
    <row r="32" spans="2:17" x14ac:dyDescent="0.2">
      <c r="B32" s="15">
        <v>100</v>
      </c>
      <c r="C32" s="28">
        <v>973.1</v>
      </c>
      <c r="F32" s="15">
        <v>100</v>
      </c>
      <c r="G32" s="28"/>
      <c r="K32" s="15">
        <v>100</v>
      </c>
      <c r="L32" s="28">
        <v>440.1</v>
      </c>
      <c r="P32" s="15">
        <v>100</v>
      </c>
      <c r="Q32" s="60">
        <v>680</v>
      </c>
    </row>
    <row r="33" spans="2:18" x14ac:dyDescent="0.2">
      <c r="B33" s="15">
        <v>105</v>
      </c>
      <c r="C33" s="28">
        <v>857.2</v>
      </c>
      <c r="F33" s="15">
        <v>105</v>
      </c>
      <c r="G33" s="28"/>
      <c r="K33" s="15">
        <v>105</v>
      </c>
      <c r="L33" s="28">
        <v>387.47</v>
      </c>
      <c r="P33" s="15">
        <v>105</v>
      </c>
      <c r="Q33" s="60">
        <v>588.6</v>
      </c>
    </row>
    <row r="34" spans="2:18" x14ac:dyDescent="0.2">
      <c r="B34" s="15">
        <v>110</v>
      </c>
      <c r="C34" s="28">
        <v>757.6</v>
      </c>
      <c r="F34" s="15">
        <v>110</v>
      </c>
      <c r="G34" s="28"/>
      <c r="K34" s="15">
        <v>110</v>
      </c>
      <c r="L34" s="28">
        <v>342.18</v>
      </c>
      <c r="P34" s="15">
        <v>110</v>
      </c>
      <c r="Q34" s="60">
        <v>511.2</v>
      </c>
    </row>
    <row r="35" spans="2:18" x14ac:dyDescent="0.2">
      <c r="K35" s="45">
        <v>115</v>
      </c>
      <c r="L35" s="28">
        <v>303.08999999999997</v>
      </c>
      <c r="P35" s="45">
        <v>115</v>
      </c>
      <c r="Q35" s="60">
        <v>445.4</v>
      </c>
    </row>
    <row r="36" spans="2:18" x14ac:dyDescent="0.2">
      <c r="K36" s="45">
        <v>120</v>
      </c>
      <c r="L36" s="28">
        <v>269.24</v>
      </c>
      <c r="P36" s="45">
        <v>120</v>
      </c>
      <c r="Q36" s="60">
        <v>389.3</v>
      </c>
    </row>
    <row r="37" spans="2:18" x14ac:dyDescent="0.2">
      <c r="K37" s="45">
        <v>125</v>
      </c>
      <c r="L37" s="28">
        <v>239.83</v>
      </c>
      <c r="P37" s="45">
        <v>125</v>
      </c>
      <c r="Q37" s="60">
        <v>341.7</v>
      </c>
    </row>
    <row r="38" spans="2:18" x14ac:dyDescent="0.2">
      <c r="K38" s="45">
        <v>130</v>
      </c>
      <c r="L38" s="28">
        <v>214.2</v>
      </c>
      <c r="P38" s="45">
        <v>130</v>
      </c>
      <c r="Q38" s="60">
        <v>300.89999999999998</v>
      </c>
    </row>
    <row r="39" spans="2:18" x14ac:dyDescent="0.2">
      <c r="K39" s="45">
        <v>135</v>
      </c>
      <c r="L39" s="28">
        <v>191.82</v>
      </c>
      <c r="P39" s="45">
        <v>135</v>
      </c>
      <c r="Q39" s="60">
        <v>265.39999999999998</v>
      </c>
    </row>
    <row r="40" spans="2:18" x14ac:dyDescent="0.2">
      <c r="P40" s="20"/>
      <c r="Q40" s="20"/>
      <c r="R40" s="20"/>
    </row>
    <row r="41" spans="2:18" x14ac:dyDescent="0.2">
      <c r="P41" s="20"/>
      <c r="Q41" s="20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J292"/>
  <sheetViews>
    <sheetView zoomScale="85" workbookViewId="0">
      <selection activeCell="J6" sqref="J6"/>
    </sheetView>
  </sheetViews>
  <sheetFormatPr defaultRowHeight="12.75" x14ac:dyDescent="0.2"/>
  <cols>
    <col min="7" max="7" width="18.28515625" bestFit="1" customWidth="1"/>
  </cols>
  <sheetData>
    <row r="2" spans="3:10" x14ac:dyDescent="0.2">
      <c r="C2" s="15" t="s">
        <v>77</v>
      </c>
      <c r="D2" s="15"/>
      <c r="G2" s="15" t="s">
        <v>76</v>
      </c>
      <c r="J2" s="15" t="s">
        <v>62</v>
      </c>
    </row>
    <row r="3" spans="3:10" x14ac:dyDescent="0.2">
      <c r="C3" s="15">
        <v>0</v>
      </c>
      <c r="D3" s="15">
        <f>ROUND((10^(C3/96)),2)</f>
        <v>1</v>
      </c>
      <c r="F3" t="s">
        <v>58</v>
      </c>
      <c r="G3" s="15">
        <f>D3*1000</f>
        <v>1000</v>
      </c>
      <c r="J3" s="35">
        <v>0.1</v>
      </c>
    </row>
    <row r="4" spans="3:10" x14ac:dyDescent="0.2">
      <c r="C4" s="15">
        <v>1</v>
      </c>
      <c r="D4" s="15">
        <f t="shared" ref="D4:D67" si="0">ROUND((10^(C4/96)),2)</f>
        <v>1.02</v>
      </c>
      <c r="G4" s="15">
        <f t="shared" ref="G4:G67" si="1">D4*1000</f>
        <v>1020</v>
      </c>
      <c r="J4" s="35">
        <v>0.05</v>
      </c>
    </row>
    <row r="5" spans="3:10" x14ac:dyDescent="0.2">
      <c r="C5" s="15">
        <v>2</v>
      </c>
      <c r="D5" s="15">
        <f t="shared" si="0"/>
        <v>1.05</v>
      </c>
      <c r="G5" s="15">
        <f t="shared" si="1"/>
        <v>1050</v>
      </c>
      <c r="J5" s="35">
        <v>0.02</v>
      </c>
    </row>
    <row r="6" spans="3:10" x14ac:dyDescent="0.2">
      <c r="C6" s="15">
        <v>3</v>
      </c>
      <c r="D6" s="15">
        <f t="shared" si="0"/>
        <v>1.07</v>
      </c>
      <c r="G6" s="15">
        <f t="shared" si="1"/>
        <v>1070</v>
      </c>
      <c r="J6" s="35">
        <v>0.01</v>
      </c>
    </row>
    <row r="7" spans="3:10" x14ac:dyDescent="0.2">
      <c r="C7" s="15">
        <v>4</v>
      </c>
      <c r="D7" s="15">
        <f t="shared" si="0"/>
        <v>1.1000000000000001</v>
      </c>
      <c r="G7" s="15">
        <f t="shared" si="1"/>
        <v>1100</v>
      </c>
      <c r="J7" s="35">
        <v>5.0000000000000001E-3</v>
      </c>
    </row>
    <row r="8" spans="3:10" x14ac:dyDescent="0.2">
      <c r="C8" s="15">
        <v>5</v>
      </c>
      <c r="D8" s="15">
        <f t="shared" si="0"/>
        <v>1.1299999999999999</v>
      </c>
      <c r="G8" s="15">
        <f t="shared" si="1"/>
        <v>1130</v>
      </c>
      <c r="J8" s="35">
        <v>2E-3</v>
      </c>
    </row>
    <row r="9" spans="3:10" x14ac:dyDescent="0.2">
      <c r="C9" s="15">
        <v>6</v>
      </c>
      <c r="D9" s="15">
        <f t="shared" si="0"/>
        <v>1.1499999999999999</v>
      </c>
      <c r="G9" s="15">
        <f t="shared" si="1"/>
        <v>1150</v>
      </c>
      <c r="J9" s="35">
        <v>1E-3</v>
      </c>
    </row>
    <row r="10" spans="3:10" x14ac:dyDescent="0.2">
      <c r="C10" s="15">
        <v>7</v>
      </c>
      <c r="D10" s="15">
        <f t="shared" si="0"/>
        <v>1.18</v>
      </c>
      <c r="G10" s="15">
        <f t="shared" si="1"/>
        <v>1180</v>
      </c>
      <c r="J10" s="35">
        <v>5.0000000000000001E-4</v>
      </c>
    </row>
    <row r="11" spans="3:10" x14ac:dyDescent="0.2">
      <c r="C11" s="15">
        <v>8</v>
      </c>
      <c r="D11" s="15">
        <f t="shared" si="0"/>
        <v>1.21</v>
      </c>
      <c r="G11" s="15">
        <f t="shared" si="1"/>
        <v>1210</v>
      </c>
      <c r="J11" s="35">
        <v>2.0000000000000001E-4</v>
      </c>
    </row>
    <row r="12" spans="3:10" x14ac:dyDescent="0.2">
      <c r="C12" s="15">
        <v>9</v>
      </c>
      <c r="D12" s="15">
        <f t="shared" si="0"/>
        <v>1.24</v>
      </c>
      <c r="G12" s="15">
        <f t="shared" si="1"/>
        <v>1240</v>
      </c>
      <c r="J12" s="35">
        <v>1E-4</v>
      </c>
    </row>
    <row r="13" spans="3:10" x14ac:dyDescent="0.2">
      <c r="C13" s="15">
        <v>10</v>
      </c>
      <c r="D13" s="15">
        <f t="shared" si="0"/>
        <v>1.27</v>
      </c>
      <c r="G13" s="15">
        <f t="shared" si="1"/>
        <v>1270</v>
      </c>
    </row>
    <row r="14" spans="3:10" x14ac:dyDescent="0.2">
      <c r="C14" s="15">
        <v>11</v>
      </c>
      <c r="D14" s="15">
        <f t="shared" si="0"/>
        <v>1.3</v>
      </c>
      <c r="G14" s="15">
        <f t="shared" si="1"/>
        <v>1300</v>
      </c>
    </row>
    <row r="15" spans="3:10" x14ac:dyDescent="0.2">
      <c r="C15" s="15">
        <v>12</v>
      </c>
      <c r="D15" s="15">
        <f t="shared" si="0"/>
        <v>1.33</v>
      </c>
      <c r="G15" s="15">
        <f t="shared" si="1"/>
        <v>1330</v>
      </c>
    </row>
    <row r="16" spans="3:10" x14ac:dyDescent="0.2">
      <c r="C16" s="15">
        <v>13</v>
      </c>
      <c r="D16" s="15">
        <f t="shared" si="0"/>
        <v>1.37</v>
      </c>
      <c r="G16" s="15">
        <f t="shared" si="1"/>
        <v>1370</v>
      </c>
    </row>
    <row r="17" spans="3:7" x14ac:dyDescent="0.2">
      <c r="C17" s="15">
        <v>14</v>
      </c>
      <c r="D17" s="15">
        <f t="shared" si="0"/>
        <v>1.4</v>
      </c>
      <c r="G17" s="15">
        <f t="shared" si="1"/>
        <v>1400</v>
      </c>
    </row>
    <row r="18" spans="3:7" x14ac:dyDescent="0.2">
      <c r="C18" s="15">
        <v>15</v>
      </c>
      <c r="D18" s="15">
        <f t="shared" si="0"/>
        <v>1.43</v>
      </c>
      <c r="G18" s="15">
        <f t="shared" si="1"/>
        <v>1430</v>
      </c>
    </row>
    <row r="19" spans="3:7" x14ac:dyDescent="0.2">
      <c r="C19" s="15">
        <v>16</v>
      </c>
      <c r="D19" s="15">
        <f t="shared" si="0"/>
        <v>1.47</v>
      </c>
      <c r="G19" s="15">
        <f t="shared" si="1"/>
        <v>1470</v>
      </c>
    </row>
    <row r="20" spans="3:7" x14ac:dyDescent="0.2">
      <c r="C20" s="15">
        <v>17</v>
      </c>
      <c r="D20" s="15">
        <f t="shared" si="0"/>
        <v>1.5</v>
      </c>
      <c r="G20" s="15">
        <f t="shared" si="1"/>
        <v>1500</v>
      </c>
    </row>
    <row r="21" spans="3:7" x14ac:dyDescent="0.2">
      <c r="C21" s="15">
        <v>18</v>
      </c>
      <c r="D21" s="15">
        <f t="shared" si="0"/>
        <v>1.54</v>
      </c>
      <c r="G21" s="15">
        <f t="shared" si="1"/>
        <v>1540</v>
      </c>
    </row>
    <row r="22" spans="3:7" x14ac:dyDescent="0.2">
      <c r="C22" s="15">
        <v>19</v>
      </c>
      <c r="D22" s="15">
        <f t="shared" si="0"/>
        <v>1.58</v>
      </c>
      <c r="G22" s="15">
        <f t="shared" si="1"/>
        <v>1580</v>
      </c>
    </row>
    <row r="23" spans="3:7" x14ac:dyDescent="0.2">
      <c r="C23" s="15">
        <v>20</v>
      </c>
      <c r="D23" s="15">
        <f t="shared" si="0"/>
        <v>1.62</v>
      </c>
      <c r="G23" s="15">
        <f t="shared" si="1"/>
        <v>1620</v>
      </c>
    </row>
    <row r="24" spans="3:7" x14ac:dyDescent="0.2">
      <c r="C24" s="15">
        <v>21</v>
      </c>
      <c r="D24" s="15">
        <f t="shared" si="0"/>
        <v>1.65</v>
      </c>
      <c r="G24" s="15">
        <f t="shared" si="1"/>
        <v>1650</v>
      </c>
    </row>
    <row r="25" spans="3:7" x14ac:dyDescent="0.2">
      <c r="C25" s="15">
        <v>22</v>
      </c>
      <c r="D25" s="15">
        <f t="shared" si="0"/>
        <v>1.69</v>
      </c>
      <c r="G25" s="15">
        <f t="shared" si="1"/>
        <v>1690</v>
      </c>
    </row>
    <row r="26" spans="3:7" x14ac:dyDescent="0.2">
      <c r="C26" s="15">
        <v>23</v>
      </c>
      <c r="D26" s="15">
        <f t="shared" si="0"/>
        <v>1.74</v>
      </c>
      <c r="G26" s="15">
        <f t="shared" si="1"/>
        <v>1740</v>
      </c>
    </row>
    <row r="27" spans="3:7" x14ac:dyDescent="0.2">
      <c r="C27" s="15">
        <v>24</v>
      </c>
      <c r="D27" s="15">
        <f t="shared" si="0"/>
        <v>1.78</v>
      </c>
      <c r="G27" s="15">
        <f t="shared" si="1"/>
        <v>1780</v>
      </c>
    </row>
    <row r="28" spans="3:7" x14ac:dyDescent="0.2">
      <c r="C28" s="15">
        <v>25</v>
      </c>
      <c r="D28" s="15">
        <f t="shared" si="0"/>
        <v>1.82</v>
      </c>
      <c r="G28" s="15">
        <f t="shared" si="1"/>
        <v>1820</v>
      </c>
    </row>
    <row r="29" spans="3:7" x14ac:dyDescent="0.2">
      <c r="C29" s="15">
        <v>26</v>
      </c>
      <c r="D29" s="15">
        <f t="shared" si="0"/>
        <v>1.87</v>
      </c>
      <c r="G29" s="15">
        <f t="shared" si="1"/>
        <v>1870</v>
      </c>
    </row>
    <row r="30" spans="3:7" x14ac:dyDescent="0.2">
      <c r="C30" s="15">
        <v>27</v>
      </c>
      <c r="D30" s="15">
        <f t="shared" si="0"/>
        <v>1.91</v>
      </c>
      <c r="G30" s="15">
        <f t="shared" si="1"/>
        <v>1910</v>
      </c>
    </row>
    <row r="31" spans="3:7" x14ac:dyDescent="0.2">
      <c r="C31" s="15">
        <v>28</v>
      </c>
      <c r="D31" s="15">
        <f t="shared" si="0"/>
        <v>1.96</v>
      </c>
      <c r="G31" s="15">
        <f t="shared" si="1"/>
        <v>1960</v>
      </c>
    </row>
    <row r="32" spans="3:7" x14ac:dyDescent="0.2">
      <c r="C32" s="15">
        <v>29</v>
      </c>
      <c r="D32" s="15">
        <f t="shared" si="0"/>
        <v>2</v>
      </c>
      <c r="G32" s="15">
        <f t="shared" si="1"/>
        <v>2000</v>
      </c>
    </row>
    <row r="33" spans="3:7" x14ac:dyDescent="0.2">
      <c r="C33" s="15">
        <v>30</v>
      </c>
      <c r="D33" s="15">
        <f t="shared" si="0"/>
        <v>2.0499999999999998</v>
      </c>
      <c r="G33" s="15">
        <f t="shared" si="1"/>
        <v>2050</v>
      </c>
    </row>
    <row r="34" spans="3:7" x14ac:dyDescent="0.2">
      <c r="C34" s="15">
        <v>31</v>
      </c>
      <c r="D34" s="15">
        <f t="shared" si="0"/>
        <v>2.1</v>
      </c>
      <c r="G34" s="15">
        <f t="shared" si="1"/>
        <v>2100</v>
      </c>
    </row>
    <row r="35" spans="3:7" x14ac:dyDescent="0.2">
      <c r="C35" s="15">
        <v>32</v>
      </c>
      <c r="D35" s="15">
        <f t="shared" si="0"/>
        <v>2.15</v>
      </c>
      <c r="G35" s="15">
        <f t="shared" si="1"/>
        <v>2150</v>
      </c>
    </row>
    <row r="36" spans="3:7" x14ac:dyDescent="0.2">
      <c r="C36" s="15">
        <v>33</v>
      </c>
      <c r="D36" s="15">
        <f t="shared" si="0"/>
        <v>2.21</v>
      </c>
      <c r="G36" s="15">
        <f t="shared" si="1"/>
        <v>2210</v>
      </c>
    </row>
    <row r="37" spans="3:7" x14ac:dyDescent="0.2">
      <c r="C37" s="15">
        <v>34</v>
      </c>
      <c r="D37" s="15">
        <f t="shared" si="0"/>
        <v>2.2599999999999998</v>
      </c>
      <c r="G37" s="15">
        <f t="shared" si="1"/>
        <v>2260</v>
      </c>
    </row>
    <row r="38" spans="3:7" x14ac:dyDescent="0.2">
      <c r="C38" s="15">
        <v>35</v>
      </c>
      <c r="D38" s="15">
        <f t="shared" si="0"/>
        <v>2.3199999999999998</v>
      </c>
      <c r="G38" s="15">
        <f t="shared" si="1"/>
        <v>2320</v>
      </c>
    </row>
    <row r="39" spans="3:7" x14ac:dyDescent="0.2">
      <c r="C39" s="15">
        <v>36</v>
      </c>
      <c r="D39" s="15">
        <f t="shared" si="0"/>
        <v>2.37</v>
      </c>
      <c r="G39" s="15">
        <f t="shared" si="1"/>
        <v>2370</v>
      </c>
    </row>
    <row r="40" spans="3:7" x14ac:dyDescent="0.2">
      <c r="C40" s="15">
        <v>37</v>
      </c>
      <c r="D40" s="15">
        <f t="shared" si="0"/>
        <v>2.4300000000000002</v>
      </c>
      <c r="G40" s="15">
        <f t="shared" si="1"/>
        <v>2430</v>
      </c>
    </row>
    <row r="41" spans="3:7" x14ac:dyDescent="0.2">
      <c r="C41" s="15">
        <v>38</v>
      </c>
      <c r="D41" s="15">
        <f t="shared" si="0"/>
        <v>2.4900000000000002</v>
      </c>
      <c r="G41" s="15">
        <f t="shared" si="1"/>
        <v>2490</v>
      </c>
    </row>
    <row r="42" spans="3:7" x14ac:dyDescent="0.2">
      <c r="C42" s="15">
        <v>39</v>
      </c>
      <c r="D42" s="15">
        <f t="shared" si="0"/>
        <v>2.5499999999999998</v>
      </c>
      <c r="G42" s="15">
        <f t="shared" si="1"/>
        <v>2550</v>
      </c>
    </row>
    <row r="43" spans="3:7" x14ac:dyDescent="0.2">
      <c r="C43" s="15">
        <v>40</v>
      </c>
      <c r="D43" s="15">
        <f t="shared" si="0"/>
        <v>2.61</v>
      </c>
      <c r="G43" s="15">
        <f t="shared" si="1"/>
        <v>2610</v>
      </c>
    </row>
    <row r="44" spans="3:7" x14ac:dyDescent="0.2">
      <c r="C44" s="15">
        <v>41</v>
      </c>
      <c r="D44" s="15">
        <f t="shared" si="0"/>
        <v>2.67</v>
      </c>
      <c r="G44" s="15">
        <f t="shared" si="1"/>
        <v>2670</v>
      </c>
    </row>
    <row r="45" spans="3:7" x14ac:dyDescent="0.2">
      <c r="C45" s="15">
        <v>42</v>
      </c>
      <c r="D45" s="15">
        <f t="shared" si="0"/>
        <v>2.74</v>
      </c>
      <c r="G45" s="15">
        <f t="shared" si="1"/>
        <v>2740</v>
      </c>
    </row>
    <row r="46" spans="3:7" x14ac:dyDescent="0.2">
      <c r="C46" s="15">
        <v>43</v>
      </c>
      <c r="D46" s="15">
        <f t="shared" si="0"/>
        <v>2.8</v>
      </c>
      <c r="G46" s="15">
        <f t="shared" si="1"/>
        <v>2800</v>
      </c>
    </row>
    <row r="47" spans="3:7" x14ac:dyDescent="0.2">
      <c r="C47" s="15">
        <v>44</v>
      </c>
      <c r="D47" s="15">
        <f t="shared" si="0"/>
        <v>2.87</v>
      </c>
      <c r="G47" s="15">
        <f t="shared" si="1"/>
        <v>2870</v>
      </c>
    </row>
    <row r="48" spans="3:7" x14ac:dyDescent="0.2">
      <c r="C48" s="15">
        <v>45</v>
      </c>
      <c r="D48" s="15">
        <f t="shared" si="0"/>
        <v>2.94</v>
      </c>
      <c r="G48" s="15">
        <f t="shared" si="1"/>
        <v>2940</v>
      </c>
    </row>
    <row r="49" spans="3:7" x14ac:dyDescent="0.2">
      <c r="C49" s="15">
        <v>46</v>
      </c>
      <c r="D49" s="15">
        <f t="shared" si="0"/>
        <v>3.01</v>
      </c>
      <c r="G49" s="15">
        <f t="shared" si="1"/>
        <v>3010</v>
      </c>
    </row>
    <row r="50" spans="3:7" x14ac:dyDescent="0.2">
      <c r="C50" s="15">
        <v>47</v>
      </c>
      <c r="D50" s="15">
        <f t="shared" si="0"/>
        <v>3.09</v>
      </c>
      <c r="G50" s="15">
        <f t="shared" si="1"/>
        <v>3090</v>
      </c>
    </row>
    <row r="51" spans="3:7" x14ac:dyDescent="0.2">
      <c r="C51" s="15">
        <v>48</v>
      </c>
      <c r="D51" s="15">
        <f t="shared" si="0"/>
        <v>3.16</v>
      </c>
      <c r="G51" s="15">
        <f t="shared" si="1"/>
        <v>3160</v>
      </c>
    </row>
    <row r="52" spans="3:7" x14ac:dyDescent="0.2">
      <c r="C52" s="15">
        <v>49</v>
      </c>
      <c r="D52" s="15">
        <f t="shared" si="0"/>
        <v>3.24</v>
      </c>
      <c r="G52" s="15">
        <f t="shared" si="1"/>
        <v>3240</v>
      </c>
    </row>
    <row r="53" spans="3:7" x14ac:dyDescent="0.2">
      <c r="C53" s="15">
        <v>50</v>
      </c>
      <c r="D53" s="15">
        <f t="shared" si="0"/>
        <v>3.32</v>
      </c>
      <c r="G53" s="15">
        <f t="shared" si="1"/>
        <v>3320</v>
      </c>
    </row>
    <row r="54" spans="3:7" x14ac:dyDescent="0.2">
      <c r="C54" s="15">
        <v>51</v>
      </c>
      <c r="D54" s="15">
        <f t="shared" si="0"/>
        <v>3.4</v>
      </c>
      <c r="G54" s="15">
        <f t="shared" si="1"/>
        <v>3400</v>
      </c>
    </row>
    <row r="55" spans="3:7" x14ac:dyDescent="0.2">
      <c r="C55" s="15">
        <v>52</v>
      </c>
      <c r="D55" s="15">
        <f t="shared" si="0"/>
        <v>3.48</v>
      </c>
      <c r="G55" s="15">
        <f t="shared" si="1"/>
        <v>3480</v>
      </c>
    </row>
    <row r="56" spans="3:7" x14ac:dyDescent="0.2">
      <c r="C56" s="15">
        <v>53</v>
      </c>
      <c r="D56" s="15">
        <f t="shared" si="0"/>
        <v>3.57</v>
      </c>
      <c r="G56" s="15">
        <f t="shared" si="1"/>
        <v>3570</v>
      </c>
    </row>
    <row r="57" spans="3:7" x14ac:dyDescent="0.2">
      <c r="C57" s="15">
        <v>54</v>
      </c>
      <c r="D57" s="15">
        <f t="shared" si="0"/>
        <v>3.65</v>
      </c>
      <c r="G57" s="15">
        <f t="shared" si="1"/>
        <v>3650</v>
      </c>
    </row>
    <row r="58" spans="3:7" x14ac:dyDescent="0.2">
      <c r="C58" s="15">
        <v>55</v>
      </c>
      <c r="D58" s="15">
        <f t="shared" si="0"/>
        <v>3.74</v>
      </c>
      <c r="G58" s="15">
        <f t="shared" si="1"/>
        <v>3740</v>
      </c>
    </row>
    <row r="59" spans="3:7" x14ac:dyDescent="0.2">
      <c r="C59" s="15">
        <v>56</v>
      </c>
      <c r="D59" s="15">
        <f t="shared" si="0"/>
        <v>3.83</v>
      </c>
      <c r="G59" s="15">
        <f t="shared" si="1"/>
        <v>3830</v>
      </c>
    </row>
    <row r="60" spans="3:7" x14ac:dyDescent="0.2">
      <c r="C60" s="15">
        <v>57</v>
      </c>
      <c r="D60" s="15">
        <f t="shared" si="0"/>
        <v>3.92</v>
      </c>
      <c r="G60" s="15">
        <f t="shared" si="1"/>
        <v>3920</v>
      </c>
    </row>
    <row r="61" spans="3:7" x14ac:dyDescent="0.2">
      <c r="C61" s="15">
        <v>58</v>
      </c>
      <c r="D61" s="15">
        <f t="shared" si="0"/>
        <v>4.0199999999999996</v>
      </c>
      <c r="G61" s="15">
        <f t="shared" si="1"/>
        <v>4019.9999999999995</v>
      </c>
    </row>
    <row r="62" spans="3:7" x14ac:dyDescent="0.2">
      <c r="C62" s="15">
        <v>59</v>
      </c>
      <c r="D62" s="15">
        <f t="shared" si="0"/>
        <v>4.12</v>
      </c>
      <c r="G62" s="15">
        <f t="shared" si="1"/>
        <v>4120</v>
      </c>
    </row>
    <row r="63" spans="3:7" x14ac:dyDescent="0.2">
      <c r="C63" s="15">
        <v>60</v>
      </c>
      <c r="D63" s="15">
        <f t="shared" si="0"/>
        <v>4.22</v>
      </c>
      <c r="G63" s="15">
        <f t="shared" si="1"/>
        <v>4220</v>
      </c>
    </row>
    <row r="64" spans="3:7" x14ac:dyDescent="0.2">
      <c r="C64" s="15">
        <v>61</v>
      </c>
      <c r="D64" s="15">
        <f t="shared" si="0"/>
        <v>4.32</v>
      </c>
      <c r="G64" s="15">
        <f t="shared" si="1"/>
        <v>4320</v>
      </c>
    </row>
    <row r="65" spans="3:7" x14ac:dyDescent="0.2">
      <c r="C65" s="15">
        <v>62</v>
      </c>
      <c r="D65" s="15">
        <f t="shared" si="0"/>
        <v>4.42</v>
      </c>
      <c r="G65" s="15">
        <f t="shared" si="1"/>
        <v>4420</v>
      </c>
    </row>
    <row r="66" spans="3:7" x14ac:dyDescent="0.2">
      <c r="C66" s="15">
        <v>63</v>
      </c>
      <c r="D66" s="15">
        <f t="shared" si="0"/>
        <v>4.53</v>
      </c>
      <c r="G66" s="15">
        <f t="shared" si="1"/>
        <v>4530</v>
      </c>
    </row>
    <row r="67" spans="3:7" x14ac:dyDescent="0.2">
      <c r="C67" s="15">
        <v>64</v>
      </c>
      <c r="D67" s="15">
        <f t="shared" si="0"/>
        <v>4.6399999999999997</v>
      </c>
      <c r="G67" s="15">
        <f t="shared" si="1"/>
        <v>4640</v>
      </c>
    </row>
    <row r="68" spans="3:7" x14ac:dyDescent="0.2">
      <c r="C68" s="15">
        <v>65</v>
      </c>
      <c r="D68" s="15">
        <f t="shared" ref="D68:D98" si="2">ROUND((10^(C68/96)),2)</f>
        <v>4.75</v>
      </c>
      <c r="G68" s="15">
        <f t="shared" ref="G68:G98" si="3">D68*1000</f>
        <v>4750</v>
      </c>
    </row>
    <row r="69" spans="3:7" x14ac:dyDescent="0.2">
      <c r="C69" s="15">
        <v>66</v>
      </c>
      <c r="D69" s="15">
        <f t="shared" si="2"/>
        <v>4.87</v>
      </c>
      <c r="G69" s="15">
        <f t="shared" si="3"/>
        <v>4870</v>
      </c>
    </row>
    <row r="70" spans="3:7" x14ac:dyDescent="0.2">
      <c r="C70" s="15">
        <v>67</v>
      </c>
      <c r="D70" s="15">
        <f t="shared" si="2"/>
        <v>4.99</v>
      </c>
      <c r="G70" s="15">
        <f t="shared" si="3"/>
        <v>4990</v>
      </c>
    </row>
    <row r="71" spans="3:7" x14ac:dyDescent="0.2">
      <c r="C71" s="15">
        <v>68</v>
      </c>
      <c r="D71" s="15">
        <f t="shared" si="2"/>
        <v>5.1100000000000003</v>
      </c>
      <c r="G71" s="15">
        <f t="shared" si="3"/>
        <v>5110</v>
      </c>
    </row>
    <row r="72" spans="3:7" x14ac:dyDescent="0.2">
      <c r="C72" s="15">
        <v>69</v>
      </c>
      <c r="D72" s="15">
        <f t="shared" si="2"/>
        <v>5.23</v>
      </c>
      <c r="G72" s="15">
        <f t="shared" si="3"/>
        <v>5230</v>
      </c>
    </row>
    <row r="73" spans="3:7" x14ac:dyDescent="0.2">
      <c r="C73" s="15">
        <v>70</v>
      </c>
      <c r="D73" s="15">
        <f t="shared" si="2"/>
        <v>5.36</v>
      </c>
      <c r="G73" s="15">
        <f t="shared" si="3"/>
        <v>5360</v>
      </c>
    </row>
    <row r="74" spans="3:7" x14ac:dyDescent="0.2">
      <c r="C74" s="15">
        <v>71</v>
      </c>
      <c r="D74" s="15">
        <f t="shared" si="2"/>
        <v>5.49</v>
      </c>
      <c r="G74" s="15">
        <f t="shared" si="3"/>
        <v>5490</v>
      </c>
    </row>
    <row r="75" spans="3:7" x14ac:dyDescent="0.2">
      <c r="C75" s="15">
        <v>72</v>
      </c>
      <c r="D75" s="15">
        <f t="shared" si="2"/>
        <v>5.62</v>
      </c>
      <c r="G75" s="15">
        <f t="shared" si="3"/>
        <v>5620</v>
      </c>
    </row>
    <row r="76" spans="3:7" x14ac:dyDescent="0.2">
      <c r="C76" s="15">
        <v>73</v>
      </c>
      <c r="D76" s="15">
        <f t="shared" si="2"/>
        <v>5.76</v>
      </c>
      <c r="G76" s="15">
        <f t="shared" si="3"/>
        <v>5760</v>
      </c>
    </row>
    <row r="77" spans="3:7" x14ac:dyDescent="0.2">
      <c r="C77" s="15">
        <v>74</v>
      </c>
      <c r="D77" s="15">
        <f t="shared" si="2"/>
        <v>5.9</v>
      </c>
      <c r="G77" s="15">
        <f t="shared" si="3"/>
        <v>5900</v>
      </c>
    </row>
    <row r="78" spans="3:7" x14ac:dyDescent="0.2">
      <c r="C78" s="15">
        <v>75</v>
      </c>
      <c r="D78" s="15">
        <f t="shared" si="2"/>
        <v>6.04</v>
      </c>
      <c r="G78" s="15">
        <f t="shared" si="3"/>
        <v>6040</v>
      </c>
    </row>
    <row r="79" spans="3:7" x14ac:dyDescent="0.2">
      <c r="C79" s="15">
        <v>76</v>
      </c>
      <c r="D79" s="15">
        <f t="shared" si="2"/>
        <v>6.19</v>
      </c>
      <c r="G79" s="15">
        <f t="shared" si="3"/>
        <v>6190</v>
      </c>
    </row>
    <row r="80" spans="3:7" x14ac:dyDescent="0.2">
      <c r="C80" s="15">
        <v>77</v>
      </c>
      <c r="D80" s="15">
        <f t="shared" si="2"/>
        <v>6.34</v>
      </c>
      <c r="G80" s="15">
        <f t="shared" si="3"/>
        <v>6340</v>
      </c>
    </row>
    <row r="81" spans="3:7" x14ac:dyDescent="0.2">
      <c r="C81" s="15">
        <v>78</v>
      </c>
      <c r="D81" s="15">
        <f t="shared" si="2"/>
        <v>6.49</v>
      </c>
      <c r="G81" s="15">
        <f t="shared" si="3"/>
        <v>6490</v>
      </c>
    </row>
    <row r="82" spans="3:7" x14ac:dyDescent="0.2">
      <c r="C82" s="15">
        <v>79</v>
      </c>
      <c r="D82" s="15">
        <f t="shared" si="2"/>
        <v>6.65</v>
      </c>
      <c r="G82" s="15">
        <f t="shared" si="3"/>
        <v>6650</v>
      </c>
    </row>
    <row r="83" spans="3:7" x14ac:dyDescent="0.2">
      <c r="C83" s="15">
        <v>80</v>
      </c>
      <c r="D83" s="15">
        <f t="shared" si="2"/>
        <v>6.81</v>
      </c>
      <c r="G83" s="15">
        <f t="shared" si="3"/>
        <v>6810</v>
      </c>
    </row>
    <row r="84" spans="3:7" x14ac:dyDescent="0.2">
      <c r="C84" s="15">
        <v>81</v>
      </c>
      <c r="D84" s="15">
        <f t="shared" si="2"/>
        <v>6.98</v>
      </c>
      <c r="G84" s="15">
        <f t="shared" si="3"/>
        <v>6980</v>
      </c>
    </row>
    <row r="85" spans="3:7" x14ac:dyDescent="0.2">
      <c r="C85" s="15">
        <v>82</v>
      </c>
      <c r="D85" s="15">
        <f t="shared" si="2"/>
        <v>7.15</v>
      </c>
      <c r="G85" s="15">
        <f t="shared" si="3"/>
        <v>7150</v>
      </c>
    </row>
    <row r="86" spans="3:7" x14ac:dyDescent="0.2">
      <c r="C86" s="15">
        <v>83</v>
      </c>
      <c r="D86" s="15">
        <f t="shared" si="2"/>
        <v>7.32</v>
      </c>
      <c r="G86" s="15">
        <f t="shared" si="3"/>
        <v>7320</v>
      </c>
    </row>
    <row r="87" spans="3:7" x14ac:dyDescent="0.2">
      <c r="C87" s="15">
        <v>84</v>
      </c>
      <c r="D87" s="15">
        <f t="shared" si="2"/>
        <v>7.5</v>
      </c>
      <c r="G87" s="15">
        <f t="shared" si="3"/>
        <v>7500</v>
      </c>
    </row>
    <row r="88" spans="3:7" x14ac:dyDescent="0.2">
      <c r="C88" s="15">
        <v>85</v>
      </c>
      <c r="D88" s="15">
        <f t="shared" si="2"/>
        <v>7.68</v>
      </c>
      <c r="G88" s="15">
        <f t="shared" si="3"/>
        <v>7680</v>
      </c>
    </row>
    <row r="89" spans="3:7" x14ac:dyDescent="0.2">
      <c r="C89" s="15">
        <v>86</v>
      </c>
      <c r="D89" s="15">
        <f t="shared" si="2"/>
        <v>7.87</v>
      </c>
      <c r="G89" s="15">
        <f t="shared" si="3"/>
        <v>7870</v>
      </c>
    </row>
    <row r="90" spans="3:7" x14ac:dyDescent="0.2">
      <c r="C90" s="15">
        <v>87</v>
      </c>
      <c r="D90" s="15">
        <f t="shared" si="2"/>
        <v>8.06</v>
      </c>
      <c r="G90" s="15">
        <f t="shared" si="3"/>
        <v>8060.0000000000009</v>
      </c>
    </row>
    <row r="91" spans="3:7" x14ac:dyDescent="0.2">
      <c r="C91" s="15">
        <v>88</v>
      </c>
      <c r="D91" s="15">
        <f t="shared" si="2"/>
        <v>8.25</v>
      </c>
      <c r="G91" s="15">
        <f t="shared" si="3"/>
        <v>8250</v>
      </c>
    </row>
    <row r="92" spans="3:7" x14ac:dyDescent="0.2">
      <c r="C92" s="15">
        <v>89</v>
      </c>
      <c r="D92" s="15">
        <f t="shared" si="2"/>
        <v>8.4499999999999993</v>
      </c>
      <c r="G92" s="15">
        <f t="shared" si="3"/>
        <v>8450</v>
      </c>
    </row>
    <row r="93" spans="3:7" x14ac:dyDescent="0.2">
      <c r="C93" s="15">
        <v>90</v>
      </c>
      <c r="D93" s="15">
        <f t="shared" si="2"/>
        <v>8.66</v>
      </c>
      <c r="G93" s="15">
        <f t="shared" si="3"/>
        <v>8660</v>
      </c>
    </row>
    <row r="94" spans="3:7" x14ac:dyDescent="0.2">
      <c r="C94" s="15">
        <v>91</v>
      </c>
      <c r="D94" s="15">
        <f t="shared" si="2"/>
        <v>8.8699999999999992</v>
      </c>
      <c r="G94" s="15">
        <f t="shared" si="3"/>
        <v>8870</v>
      </c>
    </row>
    <row r="95" spans="3:7" x14ac:dyDescent="0.2">
      <c r="C95" s="15">
        <v>92</v>
      </c>
      <c r="D95" s="15">
        <f t="shared" si="2"/>
        <v>9.09</v>
      </c>
      <c r="G95" s="15">
        <f t="shared" si="3"/>
        <v>9090</v>
      </c>
    </row>
    <row r="96" spans="3:7" x14ac:dyDescent="0.2">
      <c r="C96" s="15">
        <v>93</v>
      </c>
      <c r="D96" s="15">
        <f t="shared" si="2"/>
        <v>9.31</v>
      </c>
      <c r="G96" s="15">
        <f t="shared" si="3"/>
        <v>9310</v>
      </c>
    </row>
    <row r="97" spans="3:7" x14ac:dyDescent="0.2">
      <c r="C97" s="15">
        <v>94</v>
      </c>
      <c r="D97" s="15">
        <f t="shared" si="2"/>
        <v>9.5299999999999994</v>
      </c>
      <c r="G97" s="15">
        <f t="shared" si="3"/>
        <v>9530</v>
      </c>
    </row>
    <row r="98" spans="3:7" x14ac:dyDescent="0.2">
      <c r="C98" s="15">
        <v>95</v>
      </c>
      <c r="D98" s="15">
        <f t="shared" si="2"/>
        <v>9.76</v>
      </c>
      <c r="G98" s="15">
        <f t="shared" si="3"/>
        <v>9760</v>
      </c>
    </row>
    <row r="99" spans="3:7" x14ac:dyDescent="0.2">
      <c r="F99" t="s">
        <v>59</v>
      </c>
      <c r="G99" s="15">
        <f>10000*D3</f>
        <v>10000</v>
      </c>
    </row>
    <row r="100" spans="3:7" x14ac:dyDescent="0.2">
      <c r="G100" s="15">
        <f t="shared" ref="G100:G163" si="4">10000*D4</f>
        <v>10200</v>
      </c>
    </row>
    <row r="101" spans="3:7" x14ac:dyDescent="0.2">
      <c r="G101" s="15">
        <f t="shared" si="4"/>
        <v>10500</v>
      </c>
    </row>
    <row r="102" spans="3:7" x14ac:dyDescent="0.2">
      <c r="G102" s="15">
        <f t="shared" si="4"/>
        <v>10700</v>
      </c>
    </row>
    <row r="103" spans="3:7" x14ac:dyDescent="0.2">
      <c r="G103" s="15">
        <f t="shared" si="4"/>
        <v>11000</v>
      </c>
    </row>
    <row r="104" spans="3:7" x14ac:dyDescent="0.2">
      <c r="G104" s="15">
        <f t="shared" si="4"/>
        <v>11299.999999999998</v>
      </c>
    </row>
    <row r="105" spans="3:7" x14ac:dyDescent="0.2">
      <c r="G105" s="15">
        <f t="shared" si="4"/>
        <v>11500</v>
      </c>
    </row>
    <row r="106" spans="3:7" x14ac:dyDescent="0.2">
      <c r="G106" s="15">
        <f t="shared" si="4"/>
        <v>11800</v>
      </c>
    </row>
    <row r="107" spans="3:7" x14ac:dyDescent="0.2">
      <c r="G107" s="15">
        <f t="shared" si="4"/>
        <v>12100</v>
      </c>
    </row>
    <row r="108" spans="3:7" x14ac:dyDescent="0.2">
      <c r="G108" s="15">
        <f t="shared" si="4"/>
        <v>12400</v>
      </c>
    </row>
    <row r="109" spans="3:7" x14ac:dyDescent="0.2">
      <c r="G109" s="15">
        <f t="shared" si="4"/>
        <v>12700</v>
      </c>
    </row>
    <row r="110" spans="3:7" x14ac:dyDescent="0.2">
      <c r="G110" s="15">
        <f t="shared" si="4"/>
        <v>13000</v>
      </c>
    </row>
    <row r="111" spans="3:7" x14ac:dyDescent="0.2">
      <c r="G111" s="15">
        <f t="shared" si="4"/>
        <v>13300</v>
      </c>
    </row>
    <row r="112" spans="3:7" x14ac:dyDescent="0.2">
      <c r="G112" s="15">
        <f t="shared" si="4"/>
        <v>13700.000000000002</v>
      </c>
    </row>
    <row r="113" spans="7:7" x14ac:dyDescent="0.2">
      <c r="G113" s="15">
        <f t="shared" si="4"/>
        <v>14000</v>
      </c>
    </row>
    <row r="114" spans="7:7" x14ac:dyDescent="0.2">
      <c r="G114" s="15">
        <f t="shared" si="4"/>
        <v>14300</v>
      </c>
    </row>
    <row r="115" spans="7:7" x14ac:dyDescent="0.2">
      <c r="G115" s="15">
        <f t="shared" si="4"/>
        <v>14700</v>
      </c>
    </row>
    <row r="116" spans="7:7" x14ac:dyDescent="0.2">
      <c r="G116" s="15">
        <f t="shared" si="4"/>
        <v>15000</v>
      </c>
    </row>
    <row r="117" spans="7:7" x14ac:dyDescent="0.2">
      <c r="G117" s="15">
        <f t="shared" si="4"/>
        <v>15400</v>
      </c>
    </row>
    <row r="118" spans="7:7" x14ac:dyDescent="0.2">
      <c r="G118" s="15">
        <f t="shared" si="4"/>
        <v>15800</v>
      </c>
    </row>
    <row r="119" spans="7:7" x14ac:dyDescent="0.2">
      <c r="G119" s="15">
        <f t="shared" si="4"/>
        <v>16200.000000000002</v>
      </c>
    </row>
    <row r="120" spans="7:7" x14ac:dyDescent="0.2">
      <c r="G120" s="15">
        <f t="shared" si="4"/>
        <v>16500</v>
      </c>
    </row>
    <row r="121" spans="7:7" x14ac:dyDescent="0.2">
      <c r="G121" s="15">
        <f t="shared" si="4"/>
        <v>16900</v>
      </c>
    </row>
    <row r="122" spans="7:7" x14ac:dyDescent="0.2">
      <c r="G122" s="15">
        <f t="shared" si="4"/>
        <v>17400</v>
      </c>
    </row>
    <row r="123" spans="7:7" x14ac:dyDescent="0.2">
      <c r="G123" s="15">
        <f t="shared" si="4"/>
        <v>17800</v>
      </c>
    </row>
    <row r="124" spans="7:7" x14ac:dyDescent="0.2">
      <c r="G124" s="15">
        <f t="shared" si="4"/>
        <v>18200</v>
      </c>
    </row>
    <row r="125" spans="7:7" x14ac:dyDescent="0.2">
      <c r="G125" s="15">
        <f t="shared" si="4"/>
        <v>18700</v>
      </c>
    </row>
    <row r="126" spans="7:7" x14ac:dyDescent="0.2">
      <c r="G126" s="15">
        <f t="shared" si="4"/>
        <v>19100</v>
      </c>
    </row>
    <row r="127" spans="7:7" x14ac:dyDescent="0.2">
      <c r="G127" s="15">
        <f t="shared" si="4"/>
        <v>19600</v>
      </c>
    </row>
    <row r="128" spans="7:7" x14ac:dyDescent="0.2">
      <c r="G128" s="15">
        <f t="shared" si="4"/>
        <v>20000</v>
      </c>
    </row>
    <row r="129" spans="7:7" x14ac:dyDescent="0.2">
      <c r="G129" s="15">
        <f t="shared" si="4"/>
        <v>20500</v>
      </c>
    </row>
    <row r="130" spans="7:7" x14ac:dyDescent="0.2">
      <c r="G130" s="15">
        <f t="shared" si="4"/>
        <v>21000</v>
      </c>
    </row>
    <row r="131" spans="7:7" x14ac:dyDescent="0.2">
      <c r="G131" s="15">
        <f t="shared" si="4"/>
        <v>21500</v>
      </c>
    </row>
    <row r="132" spans="7:7" x14ac:dyDescent="0.2">
      <c r="G132" s="15">
        <f t="shared" si="4"/>
        <v>22100</v>
      </c>
    </row>
    <row r="133" spans="7:7" x14ac:dyDescent="0.2">
      <c r="G133" s="15">
        <f t="shared" si="4"/>
        <v>22599.999999999996</v>
      </c>
    </row>
    <row r="134" spans="7:7" x14ac:dyDescent="0.2">
      <c r="G134" s="15">
        <f t="shared" si="4"/>
        <v>23200</v>
      </c>
    </row>
    <row r="135" spans="7:7" x14ac:dyDescent="0.2">
      <c r="G135" s="15">
        <f t="shared" si="4"/>
        <v>23700</v>
      </c>
    </row>
    <row r="136" spans="7:7" x14ac:dyDescent="0.2">
      <c r="G136" s="15">
        <f t="shared" si="4"/>
        <v>24300</v>
      </c>
    </row>
    <row r="137" spans="7:7" x14ac:dyDescent="0.2">
      <c r="G137" s="15">
        <f t="shared" si="4"/>
        <v>24900.000000000004</v>
      </c>
    </row>
    <row r="138" spans="7:7" x14ac:dyDescent="0.2">
      <c r="G138" s="15">
        <f t="shared" si="4"/>
        <v>25500</v>
      </c>
    </row>
    <row r="139" spans="7:7" x14ac:dyDescent="0.2">
      <c r="G139" s="15">
        <f t="shared" si="4"/>
        <v>26100</v>
      </c>
    </row>
    <row r="140" spans="7:7" x14ac:dyDescent="0.2">
      <c r="G140" s="15">
        <f t="shared" si="4"/>
        <v>26700</v>
      </c>
    </row>
    <row r="141" spans="7:7" x14ac:dyDescent="0.2">
      <c r="G141" s="15">
        <f t="shared" si="4"/>
        <v>27400.000000000004</v>
      </c>
    </row>
    <row r="142" spans="7:7" x14ac:dyDescent="0.2">
      <c r="G142" s="15">
        <f t="shared" si="4"/>
        <v>28000</v>
      </c>
    </row>
    <row r="143" spans="7:7" x14ac:dyDescent="0.2">
      <c r="G143" s="15">
        <f t="shared" si="4"/>
        <v>28700</v>
      </c>
    </row>
    <row r="144" spans="7:7" x14ac:dyDescent="0.2">
      <c r="G144" s="15">
        <f t="shared" si="4"/>
        <v>29400</v>
      </c>
    </row>
    <row r="145" spans="7:7" x14ac:dyDescent="0.2">
      <c r="G145" s="15">
        <f t="shared" si="4"/>
        <v>30099.999999999996</v>
      </c>
    </row>
    <row r="146" spans="7:7" x14ac:dyDescent="0.2">
      <c r="G146" s="15">
        <f t="shared" si="4"/>
        <v>30900</v>
      </c>
    </row>
    <row r="147" spans="7:7" x14ac:dyDescent="0.2">
      <c r="G147" s="15">
        <f t="shared" si="4"/>
        <v>31600</v>
      </c>
    </row>
    <row r="148" spans="7:7" x14ac:dyDescent="0.2">
      <c r="G148" s="15">
        <f t="shared" si="4"/>
        <v>32400.000000000004</v>
      </c>
    </row>
    <row r="149" spans="7:7" x14ac:dyDescent="0.2">
      <c r="G149" s="15">
        <f t="shared" si="4"/>
        <v>33200</v>
      </c>
    </row>
    <row r="150" spans="7:7" x14ac:dyDescent="0.2">
      <c r="G150" s="15">
        <f t="shared" si="4"/>
        <v>34000</v>
      </c>
    </row>
    <row r="151" spans="7:7" x14ac:dyDescent="0.2">
      <c r="G151" s="15">
        <f t="shared" si="4"/>
        <v>34800</v>
      </c>
    </row>
    <row r="152" spans="7:7" x14ac:dyDescent="0.2">
      <c r="G152" s="15">
        <f t="shared" si="4"/>
        <v>35700</v>
      </c>
    </row>
    <row r="153" spans="7:7" x14ac:dyDescent="0.2">
      <c r="G153" s="15">
        <f t="shared" si="4"/>
        <v>36500</v>
      </c>
    </row>
    <row r="154" spans="7:7" x14ac:dyDescent="0.2">
      <c r="G154" s="15">
        <f t="shared" si="4"/>
        <v>37400</v>
      </c>
    </row>
    <row r="155" spans="7:7" x14ac:dyDescent="0.2">
      <c r="G155" s="15">
        <f t="shared" si="4"/>
        <v>38300</v>
      </c>
    </row>
    <row r="156" spans="7:7" x14ac:dyDescent="0.2">
      <c r="G156" s="15">
        <f t="shared" si="4"/>
        <v>39200</v>
      </c>
    </row>
    <row r="157" spans="7:7" x14ac:dyDescent="0.2">
      <c r="G157" s="15">
        <f t="shared" si="4"/>
        <v>40199.999999999993</v>
      </c>
    </row>
    <row r="158" spans="7:7" x14ac:dyDescent="0.2">
      <c r="G158" s="15">
        <f t="shared" si="4"/>
        <v>41200</v>
      </c>
    </row>
    <row r="159" spans="7:7" x14ac:dyDescent="0.2">
      <c r="G159" s="15">
        <f t="shared" si="4"/>
        <v>42200</v>
      </c>
    </row>
    <row r="160" spans="7:7" x14ac:dyDescent="0.2">
      <c r="G160" s="15">
        <f t="shared" si="4"/>
        <v>43200</v>
      </c>
    </row>
    <row r="161" spans="7:7" x14ac:dyDescent="0.2">
      <c r="G161" s="15">
        <f t="shared" si="4"/>
        <v>44200</v>
      </c>
    </row>
    <row r="162" spans="7:7" x14ac:dyDescent="0.2">
      <c r="G162" s="15">
        <f t="shared" si="4"/>
        <v>45300</v>
      </c>
    </row>
    <row r="163" spans="7:7" x14ac:dyDescent="0.2">
      <c r="G163" s="15">
        <f t="shared" si="4"/>
        <v>46400</v>
      </c>
    </row>
    <row r="164" spans="7:7" x14ac:dyDescent="0.2">
      <c r="G164" s="15">
        <f>10000*D68</f>
        <v>47500</v>
      </c>
    </row>
    <row r="165" spans="7:7" x14ac:dyDescent="0.2">
      <c r="G165" s="15">
        <f>10000*D69</f>
        <v>48700</v>
      </c>
    </row>
    <row r="166" spans="7:7" x14ac:dyDescent="0.2">
      <c r="G166" s="15">
        <f>10000*D70</f>
        <v>49900</v>
      </c>
    </row>
    <row r="167" spans="7:7" x14ac:dyDescent="0.2">
      <c r="G167" s="15">
        <f>10000*D71</f>
        <v>51100</v>
      </c>
    </row>
    <row r="168" spans="7:7" x14ac:dyDescent="0.2">
      <c r="G168" s="15">
        <f>10000*D72</f>
        <v>52300.000000000007</v>
      </c>
    </row>
    <row r="169" spans="7:7" x14ac:dyDescent="0.2">
      <c r="G169" s="15">
        <f t="shared" ref="G169:G194" si="5">10000*D73</f>
        <v>53600</v>
      </c>
    </row>
    <row r="170" spans="7:7" x14ac:dyDescent="0.2">
      <c r="G170" s="15">
        <f t="shared" si="5"/>
        <v>54900</v>
      </c>
    </row>
    <row r="171" spans="7:7" x14ac:dyDescent="0.2">
      <c r="G171" s="15">
        <f t="shared" si="5"/>
        <v>56200</v>
      </c>
    </row>
    <row r="172" spans="7:7" x14ac:dyDescent="0.2">
      <c r="G172" s="15">
        <f t="shared" si="5"/>
        <v>57600</v>
      </c>
    </row>
    <row r="173" spans="7:7" x14ac:dyDescent="0.2">
      <c r="G173" s="15">
        <f t="shared" si="5"/>
        <v>59000</v>
      </c>
    </row>
    <row r="174" spans="7:7" x14ac:dyDescent="0.2">
      <c r="G174" s="15">
        <f t="shared" si="5"/>
        <v>60400</v>
      </c>
    </row>
    <row r="175" spans="7:7" x14ac:dyDescent="0.2">
      <c r="G175" s="15">
        <f t="shared" si="5"/>
        <v>61900.000000000007</v>
      </c>
    </row>
    <row r="176" spans="7:7" x14ac:dyDescent="0.2">
      <c r="G176" s="15">
        <f t="shared" si="5"/>
        <v>63400</v>
      </c>
    </row>
    <row r="177" spans="7:7" x14ac:dyDescent="0.2">
      <c r="G177" s="15">
        <f t="shared" si="5"/>
        <v>64900</v>
      </c>
    </row>
    <row r="178" spans="7:7" x14ac:dyDescent="0.2">
      <c r="G178" s="15">
        <f t="shared" si="5"/>
        <v>66500</v>
      </c>
    </row>
    <row r="179" spans="7:7" x14ac:dyDescent="0.2">
      <c r="G179" s="15">
        <f t="shared" si="5"/>
        <v>68100</v>
      </c>
    </row>
    <row r="180" spans="7:7" x14ac:dyDescent="0.2">
      <c r="G180" s="15">
        <f t="shared" si="5"/>
        <v>69800</v>
      </c>
    </row>
    <row r="181" spans="7:7" x14ac:dyDescent="0.2">
      <c r="G181" s="15">
        <f t="shared" si="5"/>
        <v>71500</v>
      </c>
    </row>
    <row r="182" spans="7:7" x14ac:dyDescent="0.2">
      <c r="G182" s="15">
        <f t="shared" si="5"/>
        <v>73200</v>
      </c>
    </row>
    <row r="183" spans="7:7" x14ac:dyDescent="0.2">
      <c r="G183" s="15">
        <f t="shared" si="5"/>
        <v>75000</v>
      </c>
    </row>
    <row r="184" spans="7:7" x14ac:dyDescent="0.2">
      <c r="G184" s="15">
        <f t="shared" si="5"/>
        <v>76800</v>
      </c>
    </row>
    <row r="185" spans="7:7" x14ac:dyDescent="0.2">
      <c r="G185" s="15">
        <f t="shared" si="5"/>
        <v>78700</v>
      </c>
    </row>
    <row r="186" spans="7:7" x14ac:dyDescent="0.2">
      <c r="G186" s="15">
        <f t="shared" si="5"/>
        <v>80600</v>
      </c>
    </row>
    <row r="187" spans="7:7" x14ac:dyDescent="0.2">
      <c r="G187" s="15">
        <f t="shared" si="5"/>
        <v>82500</v>
      </c>
    </row>
    <row r="188" spans="7:7" x14ac:dyDescent="0.2">
      <c r="G188" s="15">
        <f t="shared" si="5"/>
        <v>84500</v>
      </c>
    </row>
    <row r="189" spans="7:7" x14ac:dyDescent="0.2">
      <c r="G189" s="15">
        <f t="shared" si="5"/>
        <v>86600</v>
      </c>
    </row>
    <row r="190" spans="7:7" x14ac:dyDescent="0.2">
      <c r="G190" s="15">
        <f t="shared" si="5"/>
        <v>88699.999999999985</v>
      </c>
    </row>
    <row r="191" spans="7:7" x14ac:dyDescent="0.2">
      <c r="G191" s="15">
        <f t="shared" si="5"/>
        <v>90900</v>
      </c>
    </row>
    <row r="192" spans="7:7" x14ac:dyDescent="0.2">
      <c r="G192" s="15">
        <f t="shared" si="5"/>
        <v>93100</v>
      </c>
    </row>
    <row r="193" spans="6:7" x14ac:dyDescent="0.2">
      <c r="G193" s="15">
        <f t="shared" si="5"/>
        <v>95300</v>
      </c>
    </row>
    <row r="194" spans="6:7" x14ac:dyDescent="0.2">
      <c r="G194" s="15">
        <f t="shared" si="5"/>
        <v>97600</v>
      </c>
    </row>
    <row r="195" spans="6:7" x14ac:dyDescent="0.2">
      <c r="F195" t="s">
        <v>60</v>
      </c>
      <c r="G195" s="15">
        <f>100000*D3</f>
        <v>100000</v>
      </c>
    </row>
    <row r="196" spans="6:7" x14ac:dyDescent="0.2">
      <c r="G196" s="15">
        <f t="shared" ref="G196:G258" si="6">100000*D4</f>
        <v>102000</v>
      </c>
    </row>
    <row r="197" spans="6:7" x14ac:dyDescent="0.2">
      <c r="G197" s="15">
        <f t="shared" si="6"/>
        <v>105000</v>
      </c>
    </row>
    <row r="198" spans="6:7" x14ac:dyDescent="0.2">
      <c r="G198" s="15">
        <f t="shared" si="6"/>
        <v>107000</v>
      </c>
    </row>
    <row r="199" spans="6:7" x14ac:dyDescent="0.2">
      <c r="G199" s="15">
        <f t="shared" si="6"/>
        <v>110000.00000000001</v>
      </c>
    </row>
    <row r="200" spans="6:7" x14ac:dyDescent="0.2">
      <c r="G200" s="15">
        <f t="shared" si="6"/>
        <v>112999.99999999999</v>
      </c>
    </row>
    <row r="201" spans="6:7" x14ac:dyDescent="0.2">
      <c r="G201" s="15">
        <f t="shared" si="6"/>
        <v>114999.99999999999</v>
      </c>
    </row>
    <row r="202" spans="6:7" x14ac:dyDescent="0.2">
      <c r="G202" s="15">
        <f t="shared" si="6"/>
        <v>118000</v>
      </c>
    </row>
    <row r="203" spans="6:7" x14ac:dyDescent="0.2">
      <c r="G203" s="15">
        <f t="shared" si="6"/>
        <v>121000</v>
      </c>
    </row>
    <row r="204" spans="6:7" x14ac:dyDescent="0.2">
      <c r="G204" s="15">
        <f t="shared" si="6"/>
        <v>124000</v>
      </c>
    </row>
    <row r="205" spans="6:7" x14ac:dyDescent="0.2">
      <c r="G205" s="15">
        <f t="shared" si="6"/>
        <v>127000</v>
      </c>
    </row>
    <row r="206" spans="6:7" x14ac:dyDescent="0.2">
      <c r="G206" s="15">
        <f t="shared" si="6"/>
        <v>130000</v>
      </c>
    </row>
    <row r="207" spans="6:7" x14ac:dyDescent="0.2">
      <c r="G207" s="15">
        <f t="shared" si="6"/>
        <v>133000</v>
      </c>
    </row>
    <row r="208" spans="6:7" x14ac:dyDescent="0.2">
      <c r="G208" s="15">
        <f t="shared" si="6"/>
        <v>137000</v>
      </c>
    </row>
    <row r="209" spans="7:7" x14ac:dyDescent="0.2">
      <c r="G209" s="15">
        <f t="shared" si="6"/>
        <v>140000</v>
      </c>
    </row>
    <row r="210" spans="7:7" x14ac:dyDescent="0.2">
      <c r="G210" s="15">
        <f t="shared" si="6"/>
        <v>143000</v>
      </c>
    </row>
    <row r="211" spans="7:7" x14ac:dyDescent="0.2">
      <c r="G211" s="15">
        <f t="shared" si="6"/>
        <v>147000</v>
      </c>
    </row>
    <row r="212" spans="7:7" x14ac:dyDescent="0.2">
      <c r="G212" s="15">
        <f t="shared" si="6"/>
        <v>150000</v>
      </c>
    </row>
    <row r="213" spans="7:7" x14ac:dyDescent="0.2">
      <c r="G213" s="15">
        <f t="shared" si="6"/>
        <v>154000</v>
      </c>
    </row>
    <row r="214" spans="7:7" x14ac:dyDescent="0.2">
      <c r="G214" s="15">
        <f t="shared" si="6"/>
        <v>158000</v>
      </c>
    </row>
    <row r="215" spans="7:7" x14ac:dyDescent="0.2">
      <c r="G215" s="15">
        <f t="shared" si="6"/>
        <v>162000</v>
      </c>
    </row>
    <row r="216" spans="7:7" x14ac:dyDescent="0.2">
      <c r="G216" s="15">
        <f t="shared" si="6"/>
        <v>165000</v>
      </c>
    </row>
    <row r="217" spans="7:7" x14ac:dyDescent="0.2">
      <c r="G217" s="15">
        <f t="shared" si="6"/>
        <v>169000</v>
      </c>
    </row>
    <row r="218" spans="7:7" x14ac:dyDescent="0.2">
      <c r="G218" s="15">
        <f t="shared" si="6"/>
        <v>174000</v>
      </c>
    </row>
    <row r="219" spans="7:7" x14ac:dyDescent="0.2">
      <c r="G219" s="15">
        <f t="shared" si="6"/>
        <v>178000</v>
      </c>
    </row>
    <row r="220" spans="7:7" x14ac:dyDescent="0.2">
      <c r="G220" s="15">
        <f t="shared" si="6"/>
        <v>182000</v>
      </c>
    </row>
    <row r="221" spans="7:7" x14ac:dyDescent="0.2">
      <c r="G221" s="15">
        <f t="shared" si="6"/>
        <v>187000</v>
      </c>
    </row>
    <row r="222" spans="7:7" x14ac:dyDescent="0.2">
      <c r="G222" s="15">
        <f t="shared" si="6"/>
        <v>191000</v>
      </c>
    </row>
    <row r="223" spans="7:7" x14ac:dyDescent="0.2">
      <c r="G223" s="15">
        <f t="shared" si="6"/>
        <v>196000</v>
      </c>
    </row>
    <row r="224" spans="7:7" x14ac:dyDescent="0.2">
      <c r="G224" s="15">
        <f t="shared" si="6"/>
        <v>200000</v>
      </c>
    </row>
    <row r="225" spans="7:7" x14ac:dyDescent="0.2">
      <c r="G225" s="15">
        <f t="shared" si="6"/>
        <v>204999.99999999997</v>
      </c>
    </row>
    <row r="226" spans="7:7" x14ac:dyDescent="0.2">
      <c r="G226" s="15">
        <f t="shared" si="6"/>
        <v>210000</v>
      </c>
    </row>
    <row r="227" spans="7:7" x14ac:dyDescent="0.2">
      <c r="G227" s="15">
        <f t="shared" si="6"/>
        <v>215000</v>
      </c>
    </row>
    <row r="228" spans="7:7" x14ac:dyDescent="0.2">
      <c r="G228" s="15">
        <f t="shared" si="6"/>
        <v>221000</v>
      </c>
    </row>
    <row r="229" spans="7:7" x14ac:dyDescent="0.2">
      <c r="G229" s="15">
        <f t="shared" si="6"/>
        <v>225999.99999999997</v>
      </c>
    </row>
    <row r="230" spans="7:7" x14ac:dyDescent="0.2">
      <c r="G230" s="15">
        <f t="shared" si="6"/>
        <v>231999.99999999997</v>
      </c>
    </row>
    <row r="231" spans="7:7" x14ac:dyDescent="0.2">
      <c r="G231" s="15">
        <f t="shared" si="6"/>
        <v>237000</v>
      </c>
    </row>
    <row r="232" spans="7:7" x14ac:dyDescent="0.2">
      <c r="G232" s="15">
        <f t="shared" si="6"/>
        <v>243000.00000000003</v>
      </c>
    </row>
    <row r="233" spans="7:7" x14ac:dyDescent="0.2">
      <c r="G233" s="15">
        <f t="shared" si="6"/>
        <v>249000.00000000003</v>
      </c>
    </row>
    <row r="234" spans="7:7" x14ac:dyDescent="0.2">
      <c r="G234" s="15">
        <f t="shared" si="6"/>
        <v>254999.99999999997</v>
      </c>
    </row>
    <row r="235" spans="7:7" x14ac:dyDescent="0.2">
      <c r="G235" s="15">
        <f t="shared" si="6"/>
        <v>261000</v>
      </c>
    </row>
    <row r="236" spans="7:7" x14ac:dyDescent="0.2">
      <c r="G236" s="15">
        <f t="shared" si="6"/>
        <v>267000</v>
      </c>
    </row>
    <row r="237" spans="7:7" x14ac:dyDescent="0.2">
      <c r="G237" s="15">
        <f t="shared" si="6"/>
        <v>274000</v>
      </c>
    </row>
    <row r="238" spans="7:7" x14ac:dyDescent="0.2">
      <c r="G238" s="15">
        <f t="shared" si="6"/>
        <v>280000</v>
      </c>
    </row>
    <row r="239" spans="7:7" x14ac:dyDescent="0.2">
      <c r="G239" s="15">
        <f t="shared" si="6"/>
        <v>287000</v>
      </c>
    </row>
    <row r="240" spans="7:7" x14ac:dyDescent="0.2">
      <c r="G240" s="15">
        <f t="shared" si="6"/>
        <v>294000</v>
      </c>
    </row>
    <row r="241" spans="7:7" x14ac:dyDescent="0.2">
      <c r="G241" s="15">
        <f t="shared" si="6"/>
        <v>301000</v>
      </c>
    </row>
    <row r="242" spans="7:7" x14ac:dyDescent="0.2">
      <c r="G242" s="15">
        <f t="shared" si="6"/>
        <v>309000</v>
      </c>
    </row>
    <row r="243" spans="7:7" x14ac:dyDescent="0.2">
      <c r="G243" s="15">
        <f t="shared" si="6"/>
        <v>316000</v>
      </c>
    </row>
    <row r="244" spans="7:7" x14ac:dyDescent="0.2">
      <c r="G244" s="15">
        <f t="shared" si="6"/>
        <v>324000</v>
      </c>
    </row>
    <row r="245" spans="7:7" x14ac:dyDescent="0.2">
      <c r="G245" s="15">
        <f t="shared" si="6"/>
        <v>332000</v>
      </c>
    </row>
    <row r="246" spans="7:7" x14ac:dyDescent="0.2">
      <c r="G246" s="15">
        <f t="shared" si="6"/>
        <v>340000</v>
      </c>
    </row>
    <row r="247" spans="7:7" x14ac:dyDescent="0.2">
      <c r="G247" s="15">
        <f t="shared" si="6"/>
        <v>348000</v>
      </c>
    </row>
    <row r="248" spans="7:7" x14ac:dyDescent="0.2">
      <c r="G248" s="15">
        <f t="shared" si="6"/>
        <v>357000</v>
      </c>
    </row>
    <row r="249" spans="7:7" x14ac:dyDescent="0.2">
      <c r="G249" s="15">
        <f t="shared" si="6"/>
        <v>365000</v>
      </c>
    </row>
    <row r="250" spans="7:7" x14ac:dyDescent="0.2">
      <c r="G250" s="15">
        <f t="shared" si="6"/>
        <v>374000</v>
      </c>
    </row>
    <row r="251" spans="7:7" x14ac:dyDescent="0.2">
      <c r="G251" s="15">
        <f t="shared" si="6"/>
        <v>383000</v>
      </c>
    </row>
    <row r="252" spans="7:7" x14ac:dyDescent="0.2">
      <c r="G252" s="15">
        <f t="shared" si="6"/>
        <v>392000</v>
      </c>
    </row>
    <row r="253" spans="7:7" x14ac:dyDescent="0.2">
      <c r="G253" s="15">
        <f t="shared" si="6"/>
        <v>401999.99999999994</v>
      </c>
    </row>
    <row r="254" spans="7:7" x14ac:dyDescent="0.2">
      <c r="G254" s="15">
        <f t="shared" si="6"/>
        <v>412000</v>
      </c>
    </row>
    <row r="255" spans="7:7" x14ac:dyDescent="0.2">
      <c r="G255" s="15">
        <f t="shared" si="6"/>
        <v>422000</v>
      </c>
    </row>
    <row r="256" spans="7:7" x14ac:dyDescent="0.2">
      <c r="G256" s="15">
        <f t="shared" si="6"/>
        <v>432000</v>
      </c>
    </row>
    <row r="257" spans="7:7" x14ac:dyDescent="0.2">
      <c r="G257" s="15">
        <f t="shared" si="6"/>
        <v>442000</v>
      </c>
    </row>
    <row r="258" spans="7:7" x14ac:dyDescent="0.2">
      <c r="G258" s="15">
        <f t="shared" si="6"/>
        <v>453000</v>
      </c>
    </row>
    <row r="259" spans="7:7" x14ac:dyDescent="0.2">
      <c r="G259" s="15">
        <f>100000*D67</f>
        <v>463999.99999999994</v>
      </c>
    </row>
    <row r="260" spans="7:7" x14ac:dyDescent="0.2">
      <c r="G260" s="15">
        <f t="shared" ref="G260:G290" si="7">100000*D68</f>
        <v>475000</v>
      </c>
    </row>
    <row r="261" spans="7:7" x14ac:dyDescent="0.2">
      <c r="G261" s="15">
        <f t="shared" si="7"/>
        <v>487000</v>
      </c>
    </row>
    <row r="262" spans="7:7" x14ac:dyDescent="0.2">
      <c r="G262" s="15">
        <f t="shared" si="7"/>
        <v>499000</v>
      </c>
    </row>
    <row r="263" spans="7:7" x14ac:dyDescent="0.2">
      <c r="G263" s="15">
        <f t="shared" si="7"/>
        <v>511000.00000000006</v>
      </c>
    </row>
    <row r="264" spans="7:7" x14ac:dyDescent="0.2">
      <c r="G264" s="15">
        <f t="shared" si="7"/>
        <v>523000.00000000006</v>
      </c>
    </row>
    <row r="265" spans="7:7" x14ac:dyDescent="0.2">
      <c r="G265" s="15">
        <f t="shared" si="7"/>
        <v>536000</v>
      </c>
    </row>
    <row r="266" spans="7:7" x14ac:dyDescent="0.2">
      <c r="G266" s="15">
        <f t="shared" si="7"/>
        <v>549000</v>
      </c>
    </row>
    <row r="267" spans="7:7" x14ac:dyDescent="0.2">
      <c r="G267" s="15">
        <f t="shared" si="7"/>
        <v>562000</v>
      </c>
    </row>
    <row r="268" spans="7:7" x14ac:dyDescent="0.2">
      <c r="G268" s="15">
        <f t="shared" si="7"/>
        <v>576000</v>
      </c>
    </row>
    <row r="269" spans="7:7" x14ac:dyDescent="0.2">
      <c r="G269" s="15">
        <f t="shared" si="7"/>
        <v>590000</v>
      </c>
    </row>
    <row r="270" spans="7:7" x14ac:dyDescent="0.2">
      <c r="G270" s="15">
        <f t="shared" si="7"/>
        <v>604000</v>
      </c>
    </row>
    <row r="271" spans="7:7" x14ac:dyDescent="0.2">
      <c r="G271" s="15">
        <f t="shared" si="7"/>
        <v>619000</v>
      </c>
    </row>
    <row r="272" spans="7:7" x14ac:dyDescent="0.2">
      <c r="G272" s="15">
        <f t="shared" si="7"/>
        <v>634000</v>
      </c>
    </row>
    <row r="273" spans="7:7" x14ac:dyDescent="0.2">
      <c r="G273" s="15">
        <f t="shared" si="7"/>
        <v>649000</v>
      </c>
    </row>
    <row r="274" spans="7:7" x14ac:dyDescent="0.2">
      <c r="G274" s="15">
        <f t="shared" si="7"/>
        <v>665000</v>
      </c>
    </row>
    <row r="275" spans="7:7" x14ac:dyDescent="0.2">
      <c r="G275" s="15">
        <f t="shared" si="7"/>
        <v>681000</v>
      </c>
    </row>
    <row r="276" spans="7:7" x14ac:dyDescent="0.2">
      <c r="G276" s="15">
        <f t="shared" si="7"/>
        <v>698000</v>
      </c>
    </row>
    <row r="277" spans="7:7" x14ac:dyDescent="0.2">
      <c r="G277" s="15">
        <f t="shared" si="7"/>
        <v>715000</v>
      </c>
    </row>
    <row r="278" spans="7:7" x14ac:dyDescent="0.2">
      <c r="G278" s="15">
        <f t="shared" si="7"/>
        <v>732000</v>
      </c>
    </row>
    <row r="279" spans="7:7" x14ac:dyDescent="0.2">
      <c r="G279" s="15">
        <f t="shared" si="7"/>
        <v>750000</v>
      </c>
    </row>
    <row r="280" spans="7:7" x14ac:dyDescent="0.2">
      <c r="G280" s="15">
        <f t="shared" si="7"/>
        <v>768000</v>
      </c>
    </row>
    <row r="281" spans="7:7" x14ac:dyDescent="0.2">
      <c r="G281" s="15">
        <f t="shared" si="7"/>
        <v>787000</v>
      </c>
    </row>
    <row r="282" spans="7:7" x14ac:dyDescent="0.2">
      <c r="G282" s="15">
        <f t="shared" si="7"/>
        <v>806000</v>
      </c>
    </row>
    <row r="283" spans="7:7" x14ac:dyDescent="0.2">
      <c r="G283" s="15">
        <f t="shared" si="7"/>
        <v>825000</v>
      </c>
    </row>
    <row r="284" spans="7:7" x14ac:dyDescent="0.2">
      <c r="G284" s="15">
        <f t="shared" si="7"/>
        <v>844999.99999999988</v>
      </c>
    </row>
    <row r="285" spans="7:7" x14ac:dyDescent="0.2">
      <c r="G285" s="15">
        <f t="shared" si="7"/>
        <v>866000</v>
      </c>
    </row>
    <row r="286" spans="7:7" x14ac:dyDescent="0.2">
      <c r="G286" s="15">
        <f t="shared" si="7"/>
        <v>886999.99999999988</v>
      </c>
    </row>
    <row r="287" spans="7:7" x14ac:dyDescent="0.2">
      <c r="G287" s="15">
        <f t="shared" si="7"/>
        <v>909000</v>
      </c>
    </row>
    <row r="288" spans="7:7" x14ac:dyDescent="0.2">
      <c r="G288" s="15">
        <f t="shared" si="7"/>
        <v>931000</v>
      </c>
    </row>
    <row r="289" spans="6:7" x14ac:dyDescent="0.2">
      <c r="G289" s="15">
        <f t="shared" si="7"/>
        <v>952999.99999999988</v>
      </c>
    </row>
    <row r="290" spans="6:7" x14ac:dyDescent="0.2">
      <c r="G290" s="15">
        <f t="shared" si="7"/>
        <v>976000</v>
      </c>
    </row>
    <row r="291" spans="6:7" x14ac:dyDescent="0.2">
      <c r="F291" t="s">
        <v>61</v>
      </c>
      <c r="G291" s="15">
        <f>1000000*D3</f>
        <v>1000000</v>
      </c>
    </row>
    <row r="292" spans="6:7" x14ac:dyDescent="0.2">
      <c r="F292" t="s">
        <v>63</v>
      </c>
      <c r="G292" s="15">
        <v>10000000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R39"/>
  <sheetViews>
    <sheetView workbookViewId="0">
      <selection activeCell="F11" sqref="F11"/>
    </sheetView>
  </sheetViews>
  <sheetFormatPr defaultRowHeight="12.75" x14ac:dyDescent="0.2"/>
  <cols>
    <col min="2" max="2" width="12" customWidth="1"/>
    <col min="3" max="3" width="9.140625" customWidth="1"/>
    <col min="4" max="4" width="12.7109375" customWidth="1"/>
    <col min="7" max="7" width="12.7109375" hidden="1" customWidth="1"/>
    <col min="8" max="9" width="11.5703125" hidden="1" customWidth="1"/>
    <col min="10" max="10" width="24.140625" hidden="1" customWidth="1"/>
    <col min="11" max="11" width="12" hidden="1" customWidth="1"/>
    <col min="12" max="12" width="11.85546875" hidden="1" customWidth="1"/>
    <col min="13" max="13" width="13.28515625" hidden="1" customWidth="1"/>
    <col min="14" max="14" width="10.85546875" hidden="1" customWidth="1"/>
    <col min="15" max="15" width="15.85546875" hidden="1" customWidth="1"/>
    <col min="16" max="16" width="14.42578125" hidden="1" customWidth="1"/>
    <col min="17" max="17" width="20.5703125" customWidth="1"/>
    <col min="18" max="18" width="12" customWidth="1"/>
  </cols>
  <sheetData>
    <row r="2" spans="2:18" ht="13.5" thickBot="1" x14ac:dyDescent="0.25"/>
    <row r="3" spans="2:18" s="66" customFormat="1" ht="39" thickBot="1" x14ac:dyDescent="0.25">
      <c r="B3" s="65" t="s">
        <v>129</v>
      </c>
      <c r="C3" s="49">
        <v>-23313</v>
      </c>
      <c r="D3" s="65" t="s">
        <v>134</v>
      </c>
      <c r="E3" s="51">
        <v>-864</v>
      </c>
      <c r="G3" s="70" t="s">
        <v>4</v>
      </c>
      <c r="H3" s="70" t="s">
        <v>145</v>
      </c>
      <c r="I3" s="75" t="s">
        <v>144</v>
      </c>
      <c r="J3" s="67" t="s">
        <v>152</v>
      </c>
      <c r="K3" s="67" t="s">
        <v>146</v>
      </c>
      <c r="L3" s="68" t="s">
        <v>147</v>
      </c>
      <c r="M3" s="68" t="s">
        <v>148</v>
      </c>
      <c r="N3" s="68" t="s">
        <v>149</v>
      </c>
      <c r="O3" s="68" t="s">
        <v>150</v>
      </c>
      <c r="P3" s="68" t="s">
        <v>151</v>
      </c>
      <c r="Q3" s="72" t="s">
        <v>154</v>
      </c>
      <c r="R3" s="73" t="s">
        <v>4</v>
      </c>
    </row>
    <row r="4" spans="2:18" ht="13.5" thickBot="1" x14ac:dyDescent="0.25">
      <c r="B4" s="61" t="s">
        <v>130</v>
      </c>
      <c r="C4" s="5">
        <v>39961</v>
      </c>
      <c r="D4" s="63" t="s">
        <v>135</v>
      </c>
      <c r="E4" s="52">
        <v>1624</v>
      </c>
      <c r="G4" s="71">
        <f>Accuracy!F4</f>
        <v>-55</v>
      </c>
      <c r="H4" s="71">
        <f>Accuracy!G4</f>
        <v>963849</v>
      </c>
      <c r="I4" s="76">
        <v>18441</v>
      </c>
      <c r="J4">
        <f>ROUND(32768 * (H4+$C$11)/(H4 +$C$11 + I4),0)</f>
        <v>32153</v>
      </c>
      <c r="K4">
        <f>ROUND(J4 -((32768-J4)*$C$11)/I4,0)</f>
        <v>32153</v>
      </c>
      <c r="L4">
        <f>$C$9-((32768-K4)*($C$9-$C$10)/(32768-$C$10))</f>
        <v>11703</v>
      </c>
      <c r="M4">
        <f>K4*$C$9/L4</f>
        <v>32153</v>
      </c>
      <c r="N4">
        <f>(16384 * M4)/($C$3*(M4/32767)^4  + $C$4*(M4/32767)^3 + $C$5*(M4/32767)^2+ $C$6 * (M4/32767) + $C$7)</f>
        <v>29014.037364187858</v>
      </c>
      <c r="O4">
        <f>$E$3*(N4/32767)^3 + $E$4*(N4/32767)^2 + $E$5*(N4/32767) + $E$6</f>
        <v>2246.1018405340346</v>
      </c>
      <c r="P4">
        <f>O4/10-273.15</f>
        <v>-48.539815946596519</v>
      </c>
      <c r="Q4" s="77">
        <f>P4-G4</f>
        <v>6.4601840534034807</v>
      </c>
      <c r="R4" s="74">
        <f>G4</f>
        <v>-55</v>
      </c>
    </row>
    <row r="5" spans="2:18" ht="13.5" thickBot="1" x14ac:dyDescent="0.25">
      <c r="B5" s="61" t="s">
        <v>131</v>
      </c>
      <c r="C5" s="5">
        <v>-31531</v>
      </c>
      <c r="D5" s="64" t="s">
        <v>136</v>
      </c>
      <c r="E5" s="52">
        <v>-4048</v>
      </c>
      <c r="G5" s="71">
        <f>Accuracy!F5</f>
        <v>-50</v>
      </c>
      <c r="H5" s="71">
        <f>Accuracy!G5</f>
        <v>670166</v>
      </c>
      <c r="I5" s="76">
        <v>18394</v>
      </c>
      <c r="J5">
        <f t="shared" ref="J5:J39" si="0">ROUND(32768 * (H5+$C$11)/(H5 +$C$11 + I5),0)</f>
        <v>31893</v>
      </c>
      <c r="K5">
        <f t="shared" ref="K5:K39" si="1">ROUND(J5 -((32768-J5)*$C$11)/I5,0)</f>
        <v>31893</v>
      </c>
      <c r="L5">
        <f t="shared" ref="L5:L39" si="2">$C$9-((32768-K5)*($C$9-$C$10)/(32768-$C$10))</f>
        <v>11703</v>
      </c>
      <c r="M5">
        <f t="shared" ref="M5:M39" si="3">K5*$C$9/L5</f>
        <v>31893</v>
      </c>
      <c r="N5">
        <f t="shared" ref="N5:N39" si="4">(16384 * M5)/($C$3*(M5/32767)^4  + $C$4*(M5/32767)^3 + $C$5*(M5/32767)^2+ $C$6 * (M5/32767) + $C$7)</f>
        <v>28751.936625923892</v>
      </c>
      <c r="O5">
        <f t="shared" ref="O5:O39" si="5">$E$3*(N5/32767)^3 + $E$4*(N5/32767)^2 + $E$5*(N5/32767) + $E$6</f>
        <v>2271.6899981692959</v>
      </c>
      <c r="P5">
        <f t="shared" ref="P5:P39" si="6">O5/10-273.15</f>
        <v>-45.981000183070392</v>
      </c>
      <c r="Q5" s="77">
        <f t="shared" ref="Q5:Q39" si="7">P5-G5</f>
        <v>4.0189998169296075</v>
      </c>
      <c r="R5" s="74">
        <f t="shared" ref="R5:R39" si="8">G5</f>
        <v>-50</v>
      </c>
    </row>
    <row r="6" spans="2:18" ht="13.5" thickBot="1" x14ac:dyDescent="0.25">
      <c r="B6" s="61" t="s">
        <v>132</v>
      </c>
      <c r="C6" s="5">
        <v>31986</v>
      </c>
      <c r="D6" s="64" t="s">
        <v>137</v>
      </c>
      <c r="E6" s="52">
        <v>5157</v>
      </c>
      <c r="G6" s="71">
        <f>Accuracy!F6</f>
        <v>-45</v>
      </c>
      <c r="H6" s="71">
        <f>Accuracy!G6</f>
        <v>471985</v>
      </c>
      <c r="I6" s="76">
        <v>18348</v>
      </c>
      <c r="J6">
        <f t="shared" si="0"/>
        <v>31542</v>
      </c>
      <c r="K6">
        <f t="shared" si="1"/>
        <v>31542</v>
      </c>
      <c r="L6">
        <f t="shared" si="2"/>
        <v>11703</v>
      </c>
      <c r="M6">
        <f t="shared" si="3"/>
        <v>31542</v>
      </c>
      <c r="N6">
        <f t="shared" si="4"/>
        <v>28413.621571071533</v>
      </c>
      <c r="O6">
        <f t="shared" si="5"/>
        <v>2304.5960770023121</v>
      </c>
      <c r="P6">
        <f t="shared" si="6"/>
        <v>-42.690392299768774</v>
      </c>
      <c r="Q6" s="77">
        <f t="shared" si="7"/>
        <v>2.3096077002312256</v>
      </c>
      <c r="R6" s="74">
        <f t="shared" si="8"/>
        <v>-45</v>
      </c>
    </row>
    <row r="7" spans="2:18" ht="13.5" thickBot="1" x14ac:dyDescent="0.25">
      <c r="B7" s="61" t="s">
        <v>133</v>
      </c>
      <c r="C7" s="54">
        <v>988</v>
      </c>
      <c r="G7" s="71">
        <f>Accuracy!F7</f>
        <v>-40</v>
      </c>
      <c r="H7" s="71">
        <f>Accuracy!G7</f>
        <v>336479</v>
      </c>
      <c r="I7" s="76">
        <v>18301</v>
      </c>
      <c r="J7">
        <f t="shared" si="0"/>
        <v>31078</v>
      </c>
      <c r="K7">
        <f t="shared" si="1"/>
        <v>31078</v>
      </c>
      <c r="L7">
        <f t="shared" si="2"/>
        <v>11703</v>
      </c>
      <c r="M7">
        <f t="shared" si="3"/>
        <v>31078</v>
      </c>
      <c r="N7">
        <f t="shared" si="4"/>
        <v>27991.869078226071</v>
      </c>
      <c r="O7">
        <f t="shared" si="5"/>
        <v>2345.4321286214772</v>
      </c>
      <c r="P7">
        <f t="shared" si="6"/>
        <v>-38.606787137852251</v>
      </c>
      <c r="Q7" s="77">
        <f t="shared" si="7"/>
        <v>1.3932128621477489</v>
      </c>
      <c r="R7" s="74">
        <f t="shared" si="8"/>
        <v>-40</v>
      </c>
    </row>
    <row r="8" spans="2:18" ht="13.5" thickBot="1" x14ac:dyDescent="0.25">
      <c r="G8" s="71">
        <f>Accuracy!F8</f>
        <v>-35</v>
      </c>
      <c r="H8" s="71">
        <f>Accuracy!G8</f>
        <v>242681</v>
      </c>
      <c r="I8" s="76">
        <v>18255</v>
      </c>
      <c r="J8">
        <f t="shared" si="0"/>
        <v>30476</v>
      </c>
      <c r="K8">
        <f t="shared" si="1"/>
        <v>30476</v>
      </c>
      <c r="L8">
        <f t="shared" si="2"/>
        <v>11703</v>
      </c>
      <c r="M8">
        <f t="shared" si="3"/>
        <v>30476</v>
      </c>
      <c r="N8">
        <f t="shared" si="4"/>
        <v>27484.090683450959</v>
      </c>
      <c r="O8">
        <f t="shared" si="5"/>
        <v>2394.339122076301</v>
      </c>
      <c r="P8">
        <f t="shared" si="6"/>
        <v>-33.716087792369876</v>
      </c>
      <c r="Q8" s="77">
        <f t="shared" si="7"/>
        <v>1.2839122076301237</v>
      </c>
      <c r="R8" s="74">
        <f t="shared" si="8"/>
        <v>-35</v>
      </c>
    </row>
    <row r="9" spans="2:18" ht="13.5" thickBot="1" x14ac:dyDescent="0.25">
      <c r="B9" s="61" t="s">
        <v>141</v>
      </c>
      <c r="C9" s="62">
        <v>11703</v>
      </c>
      <c r="G9" s="71">
        <f>Accuracy!F9</f>
        <v>-30</v>
      </c>
      <c r="H9" s="71">
        <f>Accuracy!G9</f>
        <v>176973.99999999997</v>
      </c>
      <c r="I9" s="76">
        <v>18213</v>
      </c>
      <c r="J9">
        <f t="shared" si="0"/>
        <v>29710</v>
      </c>
      <c r="K9">
        <f t="shared" si="1"/>
        <v>29710</v>
      </c>
      <c r="L9">
        <f t="shared" si="2"/>
        <v>11703</v>
      </c>
      <c r="M9">
        <f t="shared" si="3"/>
        <v>29710</v>
      </c>
      <c r="N9">
        <f t="shared" si="4"/>
        <v>26895.191227570867</v>
      </c>
      <c r="O9">
        <f t="shared" si="5"/>
        <v>2450.7297336460788</v>
      </c>
      <c r="P9">
        <f t="shared" si="6"/>
        <v>-28.077026635392087</v>
      </c>
      <c r="Q9" s="77">
        <f t="shared" si="7"/>
        <v>1.9229733646079126</v>
      </c>
      <c r="R9" s="74">
        <f t="shared" si="8"/>
        <v>-30</v>
      </c>
    </row>
    <row r="10" spans="2:18" ht="13.5" thickBot="1" x14ac:dyDescent="0.25">
      <c r="B10" s="61" t="s">
        <v>142</v>
      </c>
      <c r="C10" s="62">
        <v>11703</v>
      </c>
      <c r="G10" s="71">
        <f>Accuracy!F10</f>
        <v>-25</v>
      </c>
      <c r="H10" s="71">
        <f>Accuracy!G10</f>
        <v>130421</v>
      </c>
      <c r="I10" s="76">
        <v>18171</v>
      </c>
      <c r="J10">
        <f t="shared" si="0"/>
        <v>28761</v>
      </c>
      <c r="K10">
        <f t="shared" si="1"/>
        <v>28761</v>
      </c>
      <c r="L10">
        <f t="shared" si="2"/>
        <v>11703</v>
      </c>
      <c r="M10">
        <f t="shared" si="3"/>
        <v>28761</v>
      </c>
      <c r="N10">
        <f t="shared" si="4"/>
        <v>26242.383225347297</v>
      </c>
      <c r="O10">
        <f t="shared" si="5"/>
        <v>2512.8610979610457</v>
      </c>
      <c r="P10">
        <f t="shared" si="6"/>
        <v>-21.863890203895409</v>
      </c>
      <c r="Q10" s="77">
        <f t="shared" si="7"/>
        <v>3.1361097961045914</v>
      </c>
      <c r="R10" s="74">
        <f t="shared" si="8"/>
        <v>-25</v>
      </c>
    </row>
    <row r="11" spans="2:18" ht="13.5" thickBot="1" x14ac:dyDescent="0.25">
      <c r="B11" s="61" t="s">
        <v>143</v>
      </c>
      <c r="C11" s="62">
        <v>0</v>
      </c>
      <c r="D11" s="59"/>
      <c r="G11" s="71">
        <f>Accuracy!F11</f>
        <v>-20</v>
      </c>
      <c r="H11" s="71">
        <f>Accuracy!G11</f>
        <v>97081</v>
      </c>
      <c r="I11" s="76">
        <v>18129</v>
      </c>
      <c r="J11">
        <f t="shared" si="0"/>
        <v>27612</v>
      </c>
      <c r="K11">
        <f t="shared" si="1"/>
        <v>27612</v>
      </c>
      <c r="L11">
        <f t="shared" si="2"/>
        <v>11703</v>
      </c>
      <c r="M11">
        <f t="shared" si="3"/>
        <v>27612</v>
      </c>
      <c r="N11">
        <f t="shared" si="4"/>
        <v>25547.160628514765</v>
      </c>
      <c r="O11">
        <f t="shared" si="5"/>
        <v>2578.6358406948557</v>
      </c>
      <c r="P11">
        <f t="shared" si="6"/>
        <v>-15.286415930514409</v>
      </c>
      <c r="Q11" s="77">
        <f t="shared" si="7"/>
        <v>4.7135840694855915</v>
      </c>
      <c r="R11" s="74">
        <f t="shared" si="8"/>
        <v>-20</v>
      </c>
    </row>
    <row r="12" spans="2:18" x14ac:dyDescent="0.2">
      <c r="B12" s="20"/>
      <c r="C12" s="8"/>
      <c r="D12" s="59"/>
      <c r="G12" s="71">
        <f>Accuracy!F12</f>
        <v>-15</v>
      </c>
      <c r="H12" s="71">
        <f>Accuracy!G12</f>
        <v>72957</v>
      </c>
      <c r="I12" s="76">
        <v>18086</v>
      </c>
      <c r="J12">
        <f t="shared" si="0"/>
        <v>26259</v>
      </c>
      <c r="K12">
        <f t="shared" si="1"/>
        <v>26259</v>
      </c>
      <c r="L12">
        <f t="shared" si="2"/>
        <v>11703</v>
      </c>
      <c r="M12">
        <f t="shared" si="3"/>
        <v>26259</v>
      </c>
      <c r="N12">
        <f t="shared" si="4"/>
        <v>24836.323339276172</v>
      </c>
      <c r="O12">
        <f t="shared" si="5"/>
        <v>2645.5188113209524</v>
      </c>
      <c r="P12">
        <f t="shared" si="6"/>
        <v>-8.5981188679047591</v>
      </c>
      <c r="Q12" s="77">
        <f t="shared" si="7"/>
        <v>6.4018811320952409</v>
      </c>
      <c r="R12" s="74">
        <f t="shared" si="8"/>
        <v>-15</v>
      </c>
    </row>
    <row r="13" spans="2:18" x14ac:dyDescent="0.2">
      <c r="G13" s="71">
        <f>Accuracy!F13</f>
        <v>-10</v>
      </c>
      <c r="H13" s="71">
        <f>Accuracy!G13</f>
        <v>55329</v>
      </c>
      <c r="I13" s="76">
        <v>18047</v>
      </c>
      <c r="J13">
        <f t="shared" si="0"/>
        <v>24709</v>
      </c>
      <c r="K13">
        <f t="shared" si="1"/>
        <v>24709</v>
      </c>
      <c r="L13">
        <f t="shared" si="2"/>
        <v>11703</v>
      </c>
      <c r="M13">
        <f t="shared" si="3"/>
        <v>24709</v>
      </c>
      <c r="N13">
        <f t="shared" si="4"/>
        <v>24132.612221377443</v>
      </c>
      <c r="O13">
        <f t="shared" si="5"/>
        <v>2711.4152760226302</v>
      </c>
      <c r="P13">
        <f t="shared" si="6"/>
        <v>-2.0084723977369663</v>
      </c>
      <c r="Q13" s="77">
        <f t="shared" si="7"/>
        <v>7.9915276022630337</v>
      </c>
      <c r="R13" s="74">
        <f t="shared" si="8"/>
        <v>-10</v>
      </c>
    </row>
    <row r="14" spans="2:18" x14ac:dyDescent="0.2">
      <c r="B14" s="91" t="s">
        <v>153</v>
      </c>
      <c r="C14" s="91"/>
      <c r="D14" s="91"/>
      <c r="E14" s="91"/>
      <c r="G14" s="71">
        <f>Accuracy!F14</f>
        <v>-5</v>
      </c>
      <c r="H14" s="71">
        <f>Accuracy!G14</f>
        <v>42327</v>
      </c>
      <c r="I14" s="76">
        <v>18008</v>
      </c>
      <c r="J14">
        <f t="shared" si="0"/>
        <v>22988</v>
      </c>
      <c r="K14">
        <f t="shared" si="1"/>
        <v>22988</v>
      </c>
      <c r="L14">
        <f t="shared" si="2"/>
        <v>11703</v>
      </c>
      <c r="M14">
        <f t="shared" si="3"/>
        <v>22988</v>
      </c>
      <c r="N14">
        <f t="shared" si="4"/>
        <v>23451.898273374834</v>
      </c>
      <c r="O14">
        <f t="shared" si="5"/>
        <v>2774.907581972614</v>
      </c>
      <c r="P14">
        <f t="shared" si="6"/>
        <v>4.3407581972614366</v>
      </c>
      <c r="Q14" s="77">
        <f t="shared" si="7"/>
        <v>9.3407581972614366</v>
      </c>
      <c r="R14" s="74">
        <f t="shared" si="8"/>
        <v>-5</v>
      </c>
    </row>
    <row r="15" spans="2:18" x14ac:dyDescent="0.2">
      <c r="B15" s="91"/>
      <c r="C15" s="91"/>
      <c r="D15" s="91"/>
      <c r="E15" s="91"/>
      <c r="G15" s="71">
        <f>Accuracy!F15</f>
        <v>0</v>
      </c>
      <c r="H15" s="71">
        <f>Accuracy!G15</f>
        <v>32650</v>
      </c>
      <c r="I15" s="76">
        <v>17969</v>
      </c>
      <c r="J15">
        <f t="shared" si="0"/>
        <v>21136</v>
      </c>
      <c r="K15">
        <f t="shared" si="1"/>
        <v>21136</v>
      </c>
      <c r="L15">
        <f t="shared" si="2"/>
        <v>11703</v>
      </c>
      <c r="M15">
        <f t="shared" si="3"/>
        <v>21136</v>
      </c>
      <c r="N15">
        <f t="shared" si="4"/>
        <v>22797.441504671202</v>
      </c>
      <c r="O15">
        <f t="shared" si="5"/>
        <v>2835.7621237097005</v>
      </c>
      <c r="P15">
        <f t="shared" si="6"/>
        <v>10.426212370970063</v>
      </c>
      <c r="Q15" s="77">
        <f t="shared" si="7"/>
        <v>10.426212370970063</v>
      </c>
      <c r="R15" s="74">
        <f t="shared" si="8"/>
        <v>0</v>
      </c>
    </row>
    <row r="16" spans="2:18" x14ac:dyDescent="0.2">
      <c r="G16" s="71">
        <f>Accuracy!F16</f>
        <v>5</v>
      </c>
      <c r="H16" s="71">
        <f>Accuracy!G16</f>
        <v>25392</v>
      </c>
      <c r="I16" s="76">
        <v>17930</v>
      </c>
      <c r="J16">
        <f t="shared" si="0"/>
        <v>19206</v>
      </c>
      <c r="K16">
        <f t="shared" si="1"/>
        <v>19206</v>
      </c>
      <c r="L16">
        <f t="shared" si="2"/>
        <v>11703</v>
      </c>
      <c r="M16">
        <f t="shared" si="3"/>
        <v>19206</v>
      </c>
      <c r="N16">
        <f t="shared" si="4"/>
        <v>22161.720174231046</v>
      </c>
      <c r="O16">
        <f t="shared" si="5"/>
        <v>2894.7371552936061</v>
      </c>
      <c r="P16">
        <f t="shared" si="6"/>
        <v>16.323715529360641</v>
      </c>
      <c r="Q16" s="77">
        <f t="shared" si="7"/>
        <v>11.323715529360641</v>
      </c>
      <c r="R16" s="74">
        <f t="shared" si="8"/>
        <v>5</v>
      </c>
    </row>
    <row r="17" spans="7:18" s="69" customFormat="1" x14ac:dyDescent="0.2">
      <c r="G17" s="71">
        <f>Accuracy!F17</f>
        <v>10</v>
      </c>
      <c r="H17" s="71">
        <f>Accuracy!G17</f>
        <v>19901</v>
      </c>
      <c r="I17" s="76">
        <v>17891</v>
      </c>
      <c r="J17">
        <f t="shared" si="0"/>
        <v>17255</v>
      </c>
      <c r="K17">
        <f t="shared" si="1"/>
        <v>17255</v>
      </c>
      <c r="L17" s="69">
        <f t="shared" si="2"/>
        <v>11703</v>
      </c>
      <c r="M17" s="69">
        <f>K17*$C$9/L17</f>
        <v>17255</v>
      </c>
      <c r="N17" s="69">
        <f t="shared" si="4"/>
        <v>21530.084242996338</v>
      </c>
      <c r="O17" s="69">
        <f t="shared" si="5"/>
        <v>2953.2368702231124</v>
      </c>
      <c r="P17" s="69">
        <f t="shared" si="6"/>
        <v>22.173687022311242</v>
      </c>
      <c r="Q17" s="77">
        <f t="shared" si="7"/>
        <v>12.173687022311242</v>
      </c>
      <c r="R17" s="74">
        <f t="shared" si="8"/>
        <v>10</v>
      </c>
    </row>
    <row r="18" spans="7:18" x14ac:dyDescent="0.2">
      <c r="G18" s="71">
        <f>Accuracy!F18</f>
        <v>15</v>
      </c>
      <c r="H18" s="71">
        <f>Accuracy!G18</f>
        <v>15712</v>
      </c>
      <c r="I18" s="76">
        <v>17856</v>
      </c>
      <c r="J18">
        <f t="shared" si="0"/>
        <v>15338</v>
      </c>
      <c r="K18">
        <f t="shared" si="1"/>
        <v>15338</v>
      </c>
      <c r="L18">
        <f t="shared" si="2"/>
        <v>11703</v>
      </c>
      <c r="M18">
        <f t="shared" si="3"/>
        <v>15338</v>
      </c>
      <c r="N18">
        <f t="shared" si="4"/>
        <v>20887.601366233761</v>
      </c>
      <c r="O18">
        <f t="shared" si="5"/>
        <v>3012.6810864050158</v>
      </c>
      <c r="P18">
        <f t="shared" si="6"/>
        <v>28.118108640501589</v>
      </c>
      <c r="Q18" s="77">
        <f t="shared" si="7"/>
        <v>13.118108640501589</v>
      </c>
      <c r="R18" s="74">
        <f t="shared" si="8"/>
        <v>15</v>
      </c>
    </row>
    <row r="19" spans="7:18" x14ac:dyDescent="0.2">
      <c r="G19" s="71">
        <f>Accuracy!F19</f>
        <v>20</v>
      </c>
      <c r="H19" s="71">
        <f>Accuracy!G19</f>
        <v>12493</v>
      </c>
      <c r="I19" s="76">
        <v>17822</v>
      </c>
      <c r="J19">
        <f t="shared" si="0"/>
        <v>13504</v>
      </c>
      <c r="K19">
        <f t="shared" si="1"/>
        <v>13504</v>
      </c>
      <c r="L19">
        <f t="shared" si="2"/>
        <v>11703</v>
      </c>
      <c r="M19">
        <f t="shared" si="3"/>
        <v>13504</v>
      </c>
      <c r="N19">
        <f t="shared" si="4"/>
        <v>20225.037723964222</v>
      </c>
      <c r="O19">
        <f t="shared" si="5"/>
        <v>3073.9608695837087</v>
      </c>
      <c r="P19">
        <f t="shared" si="6"/>
        <v>34.246086958370881</v>
      </c>
      <c r="Q19" s="77">
        <f t="shared" si="7"/>
        <v>14.246086958370881</v>
      </c>
      <c r="R19" s="74">
        <f t="shared" si="8"/>
        <v>20</v>
      </c>
    </row>
    <row r="20" spans="7:18" x14ac:dyDescent="0.2">
      <c r="G20" s="71">
        <f>Accuracy!F20</f>
        <v>25</v>
      </c>
      <c r="H20" s="71">
        <f>Accuracy!G20</f>
        <v>10000</v>
      </c>
      <c r="I20" s="76">
        <v>17787</v>
      </c>
      <c r="J20">
        <f t="shared" si="0"/>
        <v>11793</v>
      </c>
      <c r="K20">
        <f t="shared" si="1"/>
        <v>11793</v>
      </c>
      <c r="L20">
        <f t="shared" si="2"/>
        <v>11703</v>
      </c>
      <c r="M20">
        <f t="shared" si="3"/>
        <v>11793</v>
      </c>
      <c r="N20">
        <f t="shared" si="4"/>
        <v>19541.602102480989</v>
      </c>
      <c r="O20">
        <f t="shared" si="5"/>
        <v>3137.1922154560311</v>
      </c>
      <c r="P20">
        <f t="shared" si="6"/>
        <v>40.569221545603114</v>
      </c>
      <c r="Q20" s="77">
        <f t="shared" si="7"/>
        <v>15.569221545603114</v>
      </c>
      <c r="R20" s="74">
        <f t="shared" si="8"/>
        <v>25</v>
      </c>
    </row>
    <row r="21" spans="7:18" x14ac:dyDescent="0.2">
      <c r="G21" s="71">
        <f>Accuracy!F21</f>
        <v>30</v>
      </c>
      <c r="H21" s="71">
        <f>Accuracy!G21</f>
        <v>8057</v>
      </c>
      <c r="I21" s="76">
        <v>17753</v>
      </c>
      <c r="J21">
        <f t="shared" si="0"/>
        <v>10229</v>
      </c>
      <c r="K21">
        <f t="shared" si="1"/>
        <v>10229</v>
      </c>
      <c r="L21">
        <f t="shared" si="2"/>
        <v>11703</v>
      </c>
      <c r="M21">
        <f t="shared" si="3"/>
        <v>10229</v>
      </c>
      <c r="N21">
        <f t="shared" si="4"/>
        <v>18841.748637741512</v>
      </c>
      <c r="O21">
        <f t="shared" si="5"/>
        <v>3202.013421516509</v>
      </c>
      <c r="P21">
        <f t="shared" si="6"/>
        <v>47.051342151650942</v>
      </c>
      <c r="Q21" s="77">
        <f t="shared" si="7"/>
        <v>17.051342151650942</v>
      </c>
      <c r="R21" s="74">
        <f t="shared" si="8"/>
        <v>30</v>
      </c>
    </row>
    <row r="22" spans="7:18" x14ac:dyDescent="0.2">
      <c r="G22" s="71">
        <f>Accuracy!F22</f>
        <v>35</v>
      </c>
      <c r="H22" s="71">
        <f>Accuracy!G22</f>
        <v>6531</v>
      </c>
      <c r="I22" s="76">
        <v>17718</v>
      </c>
      <c r="J22">
        <f t="shared" si="0"/>
        <v>8825</v>
      </c>
      <c r="K22">
        <f t="shared" si="1"/>
        <v>8825</v>
      </c>
      <c r="L22">
        <f t="shared" si="2"/>
        <v>11703</v>
      </c>
      <c r="M22">
        <f t="shared" si="3"/>
        <v>8825</v>
      </c>
      <c r="N22">
        <f t="shared" si="4"/>
        <v>18133.612809544873</v>
      </c>
      <c r="O22">
        <f t="shared" si="5"/>
        <v>3267.7259638596752</v>
      </c>
      <c r="P22">
        <f t="shared" si="6"/>
        <v>53.62259638596754</v>
      </c>
      <c r="Q22" s="77">
        <f t="shared" si="7"/>
        <v>18.62259638596754</v>
      </c>
      <c r="R22" s="74">
        <f t="shared" si="8"/>
        <v>35</v>
      </c>
    </row>
    <row r="23" spans="7:18" x14ac:dyDescent="0.2">
      <c r="G23" s="71">
        <f>Accuracy!F23</f>
        <v>40</v>
      </c>
      <c r="H23" s="71">
        <f>Accuracy!G23</f>
        <v>5326</v>
      </c>
      <c r="I23" s="76">
        <v>17684</v>
      </c>
      <c r="J23">
        <f t="shared" si="0"/>
        <v>7585</v>
      </c>
      <c r="K23">
        <f t="shared" si="1"/>
        <v>7585</v>
      </c>
      <c r="L23">
        <f t="shared" si="2"/>
        <v>11703</v>
      </c>
      <c r="M23">
        <f t="shared" si="3"/>
        <v>7585</v>
      </c>
      <c r="N23">
        <f t="shared" si="4"/>
        <v>17426.178126965511</v>
      </c>
      <c r="O23">
        <f t="shared" si="5"/>
        <v>3333.5502278968625</v>
      </c>
      <c r="P23">
        <f t="shared" si="6"/>
        <v>60.205022789686268</v>
      </c>
      <c r="Q23" s="77">
        <f t="shared" si="7"/>
        <v>20.205022789686268</v>
      </c>
      <c r="R23" s="74">
        <f t="shared" si="8"/>
        <v>40</v>
      </c>
    </row>
    <row r="24" spans="7:18" x14ac:dyDescent="0.2">
      <c r="G24" s="71">
        <f>Accuracy!F24</f>
        <v>45</v>
      </c>
      <c r="H24" s="71">
        <f>Accuracy!G24</f>
        <v>4368</v>
      </c>
      <c r="I24" s="76">
        <v>17649</v>
      </c>
      <c r="J24">
        <f t="shared" si="0"/>
        <v>6501</v>
      </c>
      <c r="K24">
        <f t="shared" si="1"/>
        <v>6501</v>
      </c>
      <c r="L24">
        <f t="shared" si="2"/>
        <v>11703</v>
      </c>
      <c r="M24">
        <f t="shared" si="3"/>
        <v>6501</v>
      </c>
      <c r="N24">
        <f t="shared" si="4"/>
        <v>16723.942146892619</v>
      </c>
      <c r="O24">
        <f t="shared" si="5"/>
        <v>3399.1170125005069</v>
      </c>
      <c r="P24">
        <f t="shared" si="6"/>
        <v>66.761701250050692</v>
      </c>
      <c r="Q24" s="77">
        <f t="shared" si="7"/>
        <v>21.761701250050692</v>
      </c>
      <c r="R24" s="74">
        <f t="shared" si="8"/>
        <v>45</v>
      </c>
    </row>
    <row r="25" spans="7:18" x14ac:dyDescent="0.2">
      <c r="G25" s="71">
        <f>Accuracy!F25</f>
        <v>50</v>
      </c>
      <c r="H25" s="71">
        <f>Accuracy!G25</f>
        <v>3602</v>
      </c>
      <c r="I25" s="76">
        <v>17623</v>
      </c>
      <c r="J25">
        <f t="shared" si="0"/>
        <v>5561</v>
      </c>
      <c r="K25">
        <f t="shared" si="1"/>
        <v>5561</v>
      </c>
      <c r="L25">
        <f t="shared" si="2"/>
        <v>11703</v>
      </c>
      <c r="M25">
        <f t="shared" si="3"/>
        <v>5561</v>
      </c>
      <c r="N25">
        <f t="shared" si="4"/>
        <v>16028.681470802811</v>
      </c>
      <c r="O25">
        <f t="shared" si="5"/>
        <v>3464.3048096625662</v>
      </c>
      <c r="P25">
        <f t="shared" si="6"/>
        <v>73.280480966256619</v>
      </c>
      <c r="Q25" s="77">
        <f t="shared" si="7"/>
        <v>23.280480966256619</v>
      </c>
      <c r="R25" s="74">
        <f t="shared" si="8"/>
        <v>50</v>
      </c>
    </row>
    <row r="26" spans="7:18" x14ac:dyDescent="0.2">
      <c r="G26" s="71">
        <f>Accuracy!F26</f>
        <v>55</v>
      </c>
      <c r="H26" s="71">
        <f>Accuracy!G26</f>
        <v>2985.9999999999995</v>
      </c>
      <c r="I26" s="76">
        <v>17597</v>
      </c>
      <c r="J26">
        <f t="shared" si="0"/>
        <v>4754</v>
      </c>
      <c r="K26">
        <f t="shared" si="1"/>
        <v>4754</v>
      </c>
      <c r="L26">
        <f t="shared" si="2"/>
        <v>11703</v>
      </c>
      <c r="M26">
        <f t="shared" si="3"/>
        <v>4754</v>
      </c>
      <c r="N26">
        <f t="shared" si="4"/>
        <v>15342.604783870971</v>
      </c>
      <c r="O26">
        <f t="shared" si="5"/>
        <v>3528.9455908390437</v>
      </c>
      <c r="P26">
        <f t="shared" si="6"/>
        <v>79.744559083904392</v>
      </c>
      <c r="Q26" s="77">
        <f t="shared" si="7"/>
        <v>24.744559083904392</v>
      </c>
      <c r="R26" s="74">
        <f t="shared" si="8"/>
        <v>55</v>
      </c>
    </row>
    <row r="27" spans="7:18" x14ac:dyDescent="0.2">
      <c r="G27" s="71">
        <f>Accuracy!F27</f>
        <v>60</v>
      </c>
      <c r="H27" s="71">
        <f>Accuracy!G27</f>
        <v>2488</v>
      </c>
      <c r="I27" s="76">
        <v>17570</v>
      </c>
      <c r="J27">
        <f t="shared" si="0"/>
        <v>4065</v>
      </c>
      <c r="K27">
        <f t="shared" si="1"/>
        <v>4065</v>
      </c>
      <c r="L27">
        <f t="shared" si="2"/>
        <v>11703</v>
      </c>
      <c r="M27">
        <f t="shared" si="3"/>
        <v>4065</v>
      </c>
      <c r="N27">
        <f t="shared" si="4"/>
        <v>14664.602428943448</v>
      </c>
      <c r="O27">
        <f t="shared" si="5"/>
        <v>3593.1789009930362</v>
      </c>
      <c r="P27">
        <f t="shared" si="6"/>
        <v>86.167890099303634</v>
      </c>
      <c r="Q27" s="77">
        <f t="shared" si="7"/>
        <v>26.167890099303634</v>
      </c>
      <c r="R27" s="74">
        <f t="shared" si="8"/>
        <v>60</v>
      </c>
    </row>
    <row r="28" spans="7:18" x14ac:dyDescent="0.2">
      <c r="G28" s="71">
        <f>Accuracy!F28</f>
        <v>65</v>
      </c>
      <c r="H28" s="71">
        <f>Accuracy!G28</f>
        <v>2083</v>
      </c>
      <c r="I28" s="76">
        <v>17544</v>
      </c>
      <c r="J28">
        <f t="shared" si="0"/>
        <v>3478</v>
      </c>
      <c r="K28">
        <f t="shared" si="1"/>
        <v>3478</v>
      </c>
      <c r="L28">
        <f t="shared" si="2"/>
        <v>11703</v>
      </c>
      <c r="M28">
        <f t="shared" si="3"/>
        <v>3478</v>
      </c>
      <c r="N28">
        <f t="shared" si="4"/>
        <v>13991.628409120996</v>
      </c>
      <c r="O28">
        <f t="shared" si="5"/>
        <v>3657.32860289891</v>
      </c>
      <c r="P28">
        <f t="shared" si="6"/>
        <v>92.582860289891016</v>
      </c>
      <c r="Q28" s="77">
        <f t="shared" si="7"/>
        <v>27.582860289891016</v>
      </c>
      <c r="R28" s="74">
        <f t="shared" si="8"/>
        <v>65</v>
      </c>
    </row>
    <row r="29" spans="7:18" x14ac:dyDescent="0.2">
      <c r="G29" s="71">
        <f>Accuracy!F29</f>
        <v>70</v>
      </c>
      <c r="H29" s="71">
        <f>Accuracy!G29</f>
        <v>1752</v>
      </c>
      <c r="I29" s="76">
        <v>17518</v>
      </c>
      <c r="J29">
        <f t="shared" si="0"/>
        <v>2979</v>
      </c>
      <c r="K29">
        <f t="shared" si="1"/>
        <v>2979</v>
      </c>
      <c r="L29">
        <f t="shared" si="2"/>
        <v>11703</v>
      </c>
      <c r="M29">
        <f t="shared" si="3"/>
        <v>2979</v>
      </c>
      <c r="N29">
        <f t="shared" si="4"/>
        <v>13321.622516793277</v>
      </c>
      <c r="O29">
        <f t="shared" si="5"/>
        <v>3721.6287590721968</v>
      </c>
      <c r="P29">
        <f t="shared" si="6"/>
        <v>99.012875907219723</v>
      </c>
      <c r="Q29" s="77">
        <f t="shared" si="7"/>
        <v>29.012875907219723</v>
      </c>
      <c r="R29" s="74">
        <f t="shared" si="8"/>
        <v>70</v>
      </c>
    </row>
    <row r="30" spans="7:18" x14ac:dyDescent="0.2">
      <c r="G30" s="71">
        <f>Accuracy!F30</f>
        <v>75</v>
      </c>
      <c r="H30" s="71">
        <f>Accuracy!G30</f>
        <v>1480</v>
      </c>
      <c r="I30" s="76">
        <v>17498</v>
      </c>
      <c r="J30">
        <f t="shared" si="0"/>
        <v>2555</v>
      </c>
      <c r="K30">
        <f t="shared" si="1"/>
        <v>2555</v>
      </c>
      <c r="L30">
        <f t="shared" si="2"/>
        <v>11703</v>
      </c>
      <c r="M30">
        <f t="shared" si="3"/>
        <v>2555</v>
      </c>
      <c r="N30">
        <f t="shared" si="4"/>
        <v>12652.695624664282</v>
      </c>
      <c r="O30">
        <f t="shared" si="5"/>
        <v>3786.3010000783106</v>
      </c>
      <c r="P30">
        <f t="shared" si="6"/>
        <v>105.48010000783108</v>
      </c>
      <c r="Q30" s="77">
        <f t="shared" si="7"/>
        <v>30.480100007831084</v>
      </c>
      <c r="R30" s="74">
        <f t="shared" si="8"/>
        <v>75</v>
      </c>
    </row>
    <row r="31" spans="7:18" x14ac:dyDescent="0.2">
      <c r="G31" s="71">
        <f>Accuracy!F31</f>
        <v>80</v>
      </c>
      <c r="H31" s="71">
        <f>Accuracy!G31</f>
        <v>1255</v>
      </c>
      <c r="I31" s="76">
        <v>17478</v>
      </c>
      <c r="J31">
        <f t="shared" si="0"/>
        <v>2195</v>
      </c>
      <c r="K31">
        <f t="shared" si="1"/>
        <v>2195</v>
      </c>
      <c r="L31">
        <f t="shared" si="2"/>
        <v>11703</v>
      </c>
      <c r="M31">
        <f t="shared" si="3"/>
        <v>2195</v>
      </c>
      <c r="N31">
        <f t="shared" si="4"/>
        <v>11984.699521784161</v>
      </c>
      <c r="O31">
        <f t="shared" si="5"/>
        <v>3851.4015295869112</v>
      </c>
      <c r="P31">
        <f t="shared" si="6"/>
        <v>111.99015295869117</v>
      </c>
      <c r="Q31" s="77">
        <f t="shared" si="7"/>
        <v>31.990152958691169</v>
      </c>
      <c r="R31" s="74">
        <f t="shared" si="8"/>
        <v>80</v>
      </c>
    </row>
    <row r="32" spans="7:18" x14ac:dyDescent="0.2">
      <c r="G32" s="71">
        <f>Accuracy!F32</f>
        <v>85</v>
      </c>
      <c r="H32" s="71">
        <f>Accuracy!G32</f>
        <v>1070</v>
      </c>
      <c r="I32" s="76">
        <v>17457</v>
      </c>
      <c r="J32">
        <f t="shared" si="0"/>
        <v>1892</v>
      </c>
      <c r="K32">
        <f t="shared" si="1"/>
        <v>1892</v>
      </c>
      <c r="L32">
        <f t="shared" si="2"/>
        <v>11703</v>
      </c>
      <c r="M32">
        <f t="shared" si="3"/>
        <v>1892</v>
      </c>
      <c r="N32">
        <f t="shared" si="4"/>
        <v>11324.851069380458</v>
      </c>
      <c r="O32">
        <f t="shared" si="5"/>
        <v>3916.2594636266031</v>
      </c>
      <c r="P32">
        <f t="shared" si="6"/>
        <v>118.47594636266035</v>
      </c>
      <c r="Q32" s="77">
        <f t="shared" si="7"/>
        <v>33.475946362660352</v>
      </c>
      <c r="R32" s="74">
        <f t="shared" si="8"/>
        <v>85</v>
      </c>
    </row>
    <row r="33" spans="7:18" x14ac:dyDescent="0.2">
      <c r="G33" s="71">
        <f>Accuracy!F33</f>
        <v>90</v>
      </c>
      <c r="H33" s="71">
        <f>Accuracy!G33</f>
        <v>915.50000000000011</v>
      </c>
      <c r="I33" s="76">
        <v>17437</v>
      </c>
      <c r="J33">
        <f t="shared" si="0"/>
        <v>1635</v>
      </c>
      <c r="K33">
        <f t="shared" si="1"/>
        <v>1635</v>
      </c>
      <c r="L33">
        <f t="shared" si="2"/>
        <v>11703</v>
      </c>
      <c r="M33">
        <f t="shared" si="3"/>
        <v>1635</v>
      </c>
      <c r="N33">
        <f t="shared" si="4"/>
        <v>10670.981997952405</v>
      </c>
      <c r="O33">
        <f t="shared" si="5"/>
        <v>3981.1121121008218</v>
      </c>
      <c r="P33">
        <f t="shared" si="6"/>
        <v>124.96121121008218</v>
      </c>
      <c r="Q33" s="77">
        <f t="shared" si="7"/>
        <v>34.961211210082183</v>
      </c>
      <c r="R33" s="74">
        <f t="shared" si="8"/>
        <v>90</v>
      </c>
    </row>
    <row r="34" spans="7:18" x14ac:dyDescent="0.2">
      <c r="G34" s="71">
        <f>Accuracy!F34</f>
        <v>95</v>
      </c>
      <c r="H34" s="71">
        <f>Accuracy!G34</f>
        <v>786.6</v>
      </c>
      <c r="I34" s="76">
        <v>17417</v>
      </c>
      <c r="J34">
        <f t="shared" si="0"/>
        <v>1416</v>
      </c>
      <c r="K34">
        <f t="shared" si="1"/>
        <v>1416</v>
      </c>
      <c r="L34">
        <f t="shared" si="2"/>
        <v>11703</v>
      </c>
      <c r="M34">
        <f t="shared" si="3"/>
        <v>1416</v>
      </c>
      <c r="N34">
        <f t="shared" si="4"/>
        <v>10023.608588316854</v>
      </c>
      <c r="O34">
        <f t="shared" si="5"/>
        <v>4045.9322514757614</v>
      </c>
      <c r="P34">
        <f t="shared" si="6"/>
        <v>131.44322514757619</v>
      </c>
      <c r="Q34" s="77">
        <f t="shared" si="7"/>
        <v>36.443225147576186</v>
      </c>
      <c r="R34" s="74">
        <f t="shared" si="8"/>
        <v>95</v>
      </c>
    </row>
    <row r="35" spans="7:18" x14ac:dyDescent="0.2">
      <c r="G35" s="71">
        <f>Accuracy!F35</f>
        <v>100</v>
      </c>
      <c r="H35" s="71">
        <f>Accuracy!G35</f>
        <v>678.6</v>
      </c>
      <c r="I35" s="76"/>
      <c r="J35">
        <f t="shared" si="0"/>
        <v>32768</v>
      </c>
      <c r="K35" t="e">
        <f t="shared" si="1"/>
        <v>#DIV/0!</v>
      </c>
      <c r="L35" t="e">
        <f t="shared" si="2"/>
        <v>#DIV/0!</v>
      </c>
      <c r="M35" t="e">
        <f t="shared" si="3"/>
        <v>#DIV/0!</v>
      </c>
      <c r="N35" t="e">
        <f t="shared" si="4"/>
        <v>#DIV/0!</v>
      </c>
      <c r="O35" t="e">
        <f t="shared" si="5"/>
        <v>#DIV/0!</v>
      </c>
      <c r="P35" t="e">
        <f t="shared" si="6"/>
        <v>#DIV/0!</v>
      </c>
      <c r="Q35" s="74" t="e">
        <f t="shared" si="7"/>
        <v>#DIV/0!</v>
      </c>
      <c r="R35" s="74">
        <f t="shared" si="8"/>
        <v>100</v>
      </c>
    </row>
    <row r="36" spans="7:18" x14ac:dyDescent="0.2">
      <c r="G36" s="71">
        <f>Accuracy!F36</f>
        <v>105</v>
      </c>
      <c r="H36" s="71">
        <f>Accuracy!G36</f>
        <v>587.6</v>
      </c>
      <c r="I36" s="76"/>
      <c r="J36">
        <f t="shared" si="0"/>
        <v>32768</v>
      </c>
      <c r="K36" t="e">
        <f t="shared" si="1"/>
        <v>#DIV/0!</v>
      </c>
      <c r="L36" t="e">
        <f t="shared" si="2"/>
        <v>#DIV/0!</v>
      </c>
      <c r="M36" t="e">
        <f t="shared" si="3"/>
        <v>#DIV/0!</v>
      </c>
      <c r="N36" t="e">
        <f t="shared" si="4"/>
        <v>#DIV/0!</v>
      </c>
      <c r="O36" t="e">
        <f t="shared" si="5"/>
        <v>#DIV/0!</v>
      </c>
      <c r="P36" t="e">
        <f t="shared" si="6"/>
        <v>#DIV/0!</v>
      </c>
      <c r="Q36" s="74" t="e">
        <f t="shared" si="7"/>
        <v>#DIV/0!</v>
      </c>
      <c r="R36" s="74">
        <f t="shared" si="8"/>
        <v>105</v>
      </c>
    </row>
    <row r="37" spans="7:18" x14ac:dyDescent="0.2">
      <c r="G37" s="71">
        <f>Accuracy!F37</f>
        <v>0</v>
      </c>
      <c r="H37" s="71">
        <f>Accuracy!G37</f>
        <v>0</v>
      </c>
      <c r="I37" s="76"/>
      <c r="J37" t="e">
        <f t="shared" si="0"/>
        <v>#DIV/0!</v>
      </c>
      <c r="K37" t="e">
        <f t="shared" si="1"/>
        <v>#DIV/0!</v>
      </c>
      <c r="L37" t="e">
        <f t="shared" si="2"/>
        <v>#DIV/0!</v>
      </c>
      <c r="M37" t="e">
        <f t="shared" si="3"/>
        <v>#DIV/0!</v>
      </c>
      <c r="N37" t="e">
        <f t="shared" si="4"/>
        <v>#DIV/0!</v>
      </c>
      <c r="O37" t="e">
        <f t="shared" si="5"/>
        <v>#DIV/0!</v>
      </c>
      <c r="P37" t="e">
        <f t="shared" si="6"/>
        <v>#DIV/0!</v>
      </c>
      <c r="Q37" s="74" t="e">
        <f t="shared" si="7"/>
        <v>#DIV/0!</v>
      </c>
      <c r="R37" s="74">
        <f t="shared" si="8"/>
        <v>0</v>
      </c>
    </row>
    <row r="38" spans="7:18" x14ac:dyDescent="0.2">
      <c r="G38" s="71">
        <f>Accuracy!F38</f>
        <v>0</v>
      </c>
      <c r="H38" s="71">
        <f>Accuracy!G38</f>
        <v>0</v>
      </c>
      <c r="I38" s="76"/>
      <c r="J38" t="e">
        <f t="shared" si="0"/>
        <v>#DIV/0!</v>
      </c>
      <c r="K38" t="e">
        <f t="shared" si="1"/>
        <v>#DIV/0!</v>
      </c>
      <c r="L38" t="e">
        <f t="shared" si="2"/>
        <v>#DIV/0!</v>
      </c>
      <c r="M38" t="e">
        <f t="shared" si="3"/>
        <v>#DIV/0!</v>
      </c>
      <c r="N38" t="e">
        <f t="shared" si="4"/>
        <v>#DIV/0!</v>
      </c>
      <c r="O38" t="e">
        <f t="shared" si="5"/>
        <v>#DIV/0!</v>
      </c>
      <c r="P38" t="e">
        <f t="shared" si="6"/>
        <v>#DIV/0!</v>
      </c>
      <c r="Q38" s="74" t="e">
        <f t="shared" si="7"/>
        <v>#DIV/0!</v>
      </c>
      <c r="R38" s="74">
        <f t="shared" si="8"/>
        <v>0</v>
      </c>
    </row>
    <row r="39" spans="7:18" x14ac:dyDescent="0.2">
      <c r="G39" s="71">
        <f>Accuracy!F39</f>
        <v>0</v>
      </c>
      <c r="H39" s="71">
        <f>Accuracy!G39</f>
        <v>0</v>
      </c>
      <c r="I39" s="76"/>
      <c r="J39" t="e">
        <f t="shared" si="0"/>
        <v>#DIV/0!</v>
      </c>
      <c r="K39" t="e">
        <f t="shared" si="1"/>
        <v>#DIV/0!</v>
      </c>
      <c r="L39" t="e">
        <f t="shared" si="2"/>
        <v>#DIV/0!</v>
      </c>
      <c r="M39" t="e">
        <f t="shared" si="3"/>
        <v>#DIV/0!</v>
      </c>
      <c r="N39" t="e">
        <f t="shared" si="4"/>
        <v>#DIV/0!</v>
      </c>
      <c r="O39" t="e">
        <f t="shared" si="5"/>
        <v>#DIV/0!</v>
      </c>
      <c r="P39" t="e">
        <f t="shared" si="6"/>
        <v>#DIV/0!</v>
      </c>
      <c r="Q39" s="74" t="e">
        <f t="shared" si="7"/>
        <v>#DIV/0!</v>
      </c>
      <c r="R39" s="74">
        <f t="shared" si="8"/>
        <v>0</v>
      </c>
    </row>
  </sheetData>
  <mergeCells count="1">
    <mergeCell ref="B14:E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BE75A9-4EB1-4D0F-B956-942753B1E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98C9C21-2D15-4E90-BE1A-81BE14C3391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BC3A4B-C84A-4615-A640-FF9D167607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Accuracy</vt:lpstr>
      <vt:lpstr>Thermistor</vt:lpstr>
      <vt:lpstr>Resistor Network</vt:lpstr>
      <vt:lpstr>Digital</vt:lpstr>
      <vt:lpstr>best fit</vt:lpstr>
      <vt:lpstr>Thermistor Database</vt:lpstr>
      <vt:lpstr>Sheet1</vt:lpstr>
      <vt:lpstr>What If</vt:lpstr>
      <vt:lpstr>E96Resistor</vt:lpstr>
      <vt:lpstr>Tolerance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a0797214</dc:creator>
  <cp:lastModifiedBy>User</cp:lastModifiedBy>
  <cp:lastPrinted>2023-08-24T09:04:31Z</cp:lastPrinted>
  <dcterms:created xsi:type="dcterms:W3CDTF">2008-01-21T19:57:04Z</dcterms:created>
  <dcterms:modified xsi:type="dcterms:W3CDTF">2023-08-24T09:31:35Z</dcterms:modified>
</cp:coreProperties>
</file>