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ESSA\Documents\Documents_Marine\OUTILS_LOCAL\PATTERN\"/>
    </mc:Choice>
  </mc:AlternateContent>
  <xr:revisionPtr revIDLastSave="0" documentId="13_ncr:1_{993D4587-957D-4C61-9264-70D35E204146}" xr6:coauthVersionLast="45" xr6:coauthVersionMax="46" xr10:uidLastSave="{00000000-0000-0000-0000-000000000000}"/>
  <bookViews>
    <workbookView xWindow="-23148" yWindow="-996" windowWidth="23256" windowHeight="12576" xr2:uid="{00000000-000D-0000-FFFF-FFFF00000000}"/>
  </bookViews>
  <sheets>
    <sheet name="TPS5433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8" i="5" l="1"/>
  <c r="F56" i="5"/>
  <c r="F55" i="5"/>
  <c r="E40" i="5"/>
  <c r="C41" i="5"/>
  <c r="C40" i="5" l="1"/>
  <c r="E39" i="5"/>
  <c r="E38" i="5"/>
  <c r="C38" i="5"/>
  <c r="C39" i="5"/>
  <c r="C34" i="5"/>
  <c r="C33" i="5"/>
  <c r="C31" i="5"/>
  <c r="C23" i="5"/>
  <c r="C22" i="5"/>
  <c r="C21" i="5"/>
  <c r="H23" i="5"/>
  <c r="E6" i="5"/>
  <c r="E9" i="5" s="1"/>
  <c r="E10" i="5" s="1"/>
  <c r="D6" i="5"/>
  <c r="E8" i="5"/>
  <c r="D8" i="5"/>
  <c r="E13" i="5"/>
  <c r="D13" i="5"/>
  <c r="E15" i="5"/>
  <c r="D15" i="5"/>
  <c r="C66" i="5"/>
  <c r="H15" i="5"/>
  <c r="H11" i="5"/>
  <c r="C9" i="5"/>
  <c r="C10" i="5" s="1"/>
  <c r="C5" i="5"/>
  <c r="C7" i="5" s="1"/>
  <c r="E17" i="5"/>
  <c r="C17" i="5"/>
  <c r="D9" i="5" l="1"/>
  <c r="D10" i="5" s="1"/>
  <c r="C14" i="5"/>
  <c r="C55" i="5" l="1"/>
  <c r="C56" i="5" s="1"/>
  <c r="F63" i="5"/>
  <c r="C54" i="5"/>
  <c r="H22" i="5"/>
  <c r="F38" i="5" l="1"/>
  <c r="F57" i="5" s="1"/>
  <c r="F60" i="5" s="1"/>
  <c r="F61" i="5" s="1"/>
  <c r="F64" i="5" s="1"/>
  <c r="C19" i="5"/>
  <c r="G64" i="5" l="1"/>
  <c r="F62" i="5"/>
  <c r="G65" i="5" s="1"/>
  <c r="C18" i="5"/>
  <c r="F65" i="5" l="1"/>
  <c r="C32" i="5"/>
  <c r="C57" i="5"/>
  <c r="C71" i="5"/>
  <c r="C70" i="5"/>
  <c r="C61" i="5"/>
  <c r="D17" i="5"/>
  <c r="C35" i="5" l="1"/>
  <c r="C6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Olivier LEMARCHAND</author>
  </authors>
  <commentList>
    <comment ref="G16" authorId="0" shapeId="0" xr:uid="{8BE8F492-7CDC-4871-B513-DF59808BFB01}">
      <text>
        <r>
          <rPr>
            <b/>
            <sz val="9"/>
            <color indexed="81"/>
            <rFont val="Tahoma"/>
            <family val="2"/>
          </rPr>
          <t>Olivier LEMARCHAND:</t>
        </r>
        <r>
          <rPr>
            <sz val="9"/>
            <color indexed="81"/>
            <rFont val="Tahoma"/>
            <family val="2"/>
          </rPr>
          <t xml:space="preserve">
slow start stop timing requirement</t>
        </r>
      </text>
    </comment>
  </commentList>
</comments>
</file>

<file path=xl/sharedStrings.xml><?xml version="1.0" encoding="utf-8"?>
<sst xmlns="http://schemas.openxmlformats.org/spreadsheetml/2006/main" count="101" uniqueCount="97">
  <si>
    <t>Rout_H</t>
  </si>
  <si>
    <t>resistors precision (%)</t>
  </si>
  <si>
    <t>Δvin</t>
  </si>
  <si>
    <t>paramètres d'entrée</t>
  </si>
  <si>
    <t>min</t>
  </si>
  <si>
    <t>max</t>
  </si>
  <si>
    <t>input voltage range (V)</t>
  </si>
  <si>
    <t>output voltage</t>
  </si>
  <si>
    <t>nominal</t>
  </si>
  <si>
    <t>transient response</t>
  </si>
  <si>
    <t>Input ripple voltage</t>
  </si>
  <si>
    <t>Output ripple voltage</t>
  </si>
  <si>
    <t>output current</t>
  </si>
  <si>
    <t>+/-5%</t>
  </si>
  <si>
    <t>operating frequency (Hz)</t>
  </si>
  <si>
    <t>input capacitor</t>
  </si>
  <si>
    <t>ESR</t>
  </si>
  <si>
    <t>output filter components</t>
  </si>
  <si>
    <t>Lmin</t>
  </si>
  <si>
    <t>inductor value</t>
  </si>
  <si>
    <t>Iripple</t>
  </si>
  <si>
    <t>selected L value</t>
  </si>
  <si>
    <t>I rms</t>
  </si>
  <si>
    <t>IL peak</t>
  </si>
  <si>
    <t>capacitor value</t>
  </si>
  <si>
    <t>Co min</t>
  </si>
  <si>
    <t>Co min for transient load response</t>
  </si>
  <si>
    <t>Resr max</t>
  </si>
  <si>
    <t>Icout (rms)</t>
  </si>
  <si>
    <t>compensation Components</t>
  </si>
  <si>
    <t xml:space="preserve">capacitor value </t>
  </si>
  <si>
    <t>pole frequency of the modulator (Hz)</t>
  </si>
  <si>
    <t>value of Rcomp</t>
  </si>
  <si>
    <t>error amplifier transconductance</t>
  </si>
  <si>
    <t>crossover frequency</t>
  </si>
  <si>
    <t>Ccomp</t>
  </si>
  <si>
    <t>gain at crossover frequency</t>
  </si>
  <si>
    <t>C//Comp</t>
  </si>
  <si>
    <t>design checklist</t>
  </si>
  <si>
    <t>bootstrap capacitor</t>
  </si>
  <si>
    <t>diélectric</t>
  </si>
  <si>
    <t>value</t>
  </si>
  <si>
    <t>ceramic type</t>
  </si>
  <si>
    <t>X7R</t>
  </si>
  <si>
    <t>0,1µF</t>
  </si>
  <si>
    <t>Yes</t>
  </si>
  <si>
    <t>Catch Diode</t>
  </si>
  <si>
    <t>Reverse voltage min</t>
  </si>
  <si>
    <t>catch diode</t>
  </si>
  <si>
    <t>reverse voltage</t>
  </si>
  <si>
    <t>peak current</t>
  </si>
  <si>
    <t>peak current min</t>
  </si>
  <si>
    <t>Slow start stop</t>
  </si>
  <si>
    <t>Tss (s)</t>
  </si>
  <si>
    <t>Vref</t>
  </si>
  <si>
    <t>component parameters</t>
  </si>
  <si>
    <t>Iss</t>
  </si>
  <si>
    <t>Css(F)</t>
  </si>
  <si>
    <t>output voltage limitations</t>
  </si>
  <si>
    <t>Vomax</t>
  </si>
  <si>
    <t>duty cycle max</t>
  </si>
  <si>
    <t>minimum controlable ON time</t>
  </si>
  <si>
    <t>series resistance</t>
  </si>
  <si>
    <t>Vomin</t>
  </si>
  <si>
    <t>RdsOn</t>
  </si>
  <si>
    <t>catch diode forward voltage</t>
  </si>
  <si>
    <t>Gdc</t>
  </si>
  <si>
    <t>MCA CO min</t>
  </si>
  <si>
    <t>MCA Vopp</t>
  </si>
  <si>
    <t>Ren1</t>
  </si>
  <si>
    <t>Ren2</t>
  </si>
  <si>
    <t>Vstop</t>
  </si>
  <si>
    <t>VEN</t>
  </si>
  <si>
    <t>Gain</t>
  </si>
  <si>
    <t>ESR max</t>
  </si>
  <si>
    <t>phase loss PL</t>
  </si>
  <si>
    <t>Phase boost</t>
  </si>
  <si>
    <t>k</t>
  </si>
  <si>
    <t>Fz1</t>
  </si>
  <si>
    <t>Fp1</t>
  </si>
  <si>
    <t>Rz</t>
  </si>
  <si>
    <t>cz</t>
  </si>
  <si>
    <t>cp</t>
  </si>
  <si>
    <t>Phase Margin (deg)</t>
  </si>
  <si>
    <t>output setpoint</t>
  </si>
  <si>
    <t>Rout_L calc</t>
  </si>
  <si>
    <t>Rout_L choix</t>
  </si>
  <si>
    <t>Vstart souhaité</t>
  </si>
  <si>
    <t>Vstop souhaité</t>
  </si>
  <si>
    <t>Ren1 choix</t>
  </si>
  <si>
    <t>Ren2 choix</t>
  </si>
  <si>
    <t xml:space="preserve">Vstart </t>
  </si>
  <si>
    <t>Rapport cyclique D</t>
  </si>
  <si>
    <t>Ro -continu</t>
  </si>
  <si>
    <t>Ro -variation</t>
  </si>
  <si>
    <t>Icout</t>
  </si>
  <si>
    <t>max voltage CIN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</si>
</sst>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quotePrefix="1"/>
    <xf numFmtId="11" fontId="0" fillId="0" borderId="0" xfId="0" applyNumberFormat="1"/>
    <xf numFmtId="0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1" fontId="7" fillId="0" borderId="0" xfId="0" applyNumberFormat="1" applyFont="1"/>
    <xf numFmtId="0" fontId="7" fillId="0" borderId="0" xfId="0" applyFont="1"/>
    <xf numFmtId="11" fontId="1" fillId="0" borderId="1" xfId="0" applyNumberFormat="1" applyFont="1" applyBorder="1"/>
    <xf numFmtId="11" fontId="0" fillId="2" borderId="0" xfId="0" applyNumberFormat="1" applyFill="1"/>
    <xf numFmtId="0" fontId="0" fillId="2" borderId="0" xfId="0" applyFill="1"/>
    <xf numFmtId="164" fontId="0" fillId="0" borderId="0" xfId="0" applyNumberFormat="1"/>
    <xf numFmtId="11" fontId="8" fillId="0" borderId="1" xfId="0" applyNumberFormat="1" applyFont="1" applyBorder="1"/>
    <xf numFmtId="0" fontId="1" fillId="0" borderId="2" xfId="0" applyFont="1" applyBorder="1"/>
    <xf numFmtId="0" fontId="1" fillId="0" borderId="3" xfId="0" applyFont="1" applyBorder="1"/>
    <xf numFmtId="0" fontId="9" fillId="0" borderId="0" xfId="0" applyFont="1"/>
    <xf numFmtId="0" fontId="10" fillId="0" borderId="0" xfId="0" applyFont="1"/>
    <xf numFmtId="11" fontId="10" fillId="0" borderId="0" xfId="0" applyNumberFormat="1" applyFont="1"/>
    <xf numFmtId="0" fontId="11" fillId="0" borderId="0" xfId="0" applyFont="1"/>
    <xf numFmtId="0" fontId="12" fillId="0" borderId="0" xfId="0" applyFont="1"/>
    <xf numFmtId="11" fontId="1" fillId="2" borderId="1" xfId="0" applyNumberFormat="1" applyFont="1" applyFill="1" applyBorder="1"/>
    <xf numFmtId="0" fontId="0" fillId="2" borderId="0" xfId="0" applyNumberFormat="1" applyFill="1"/>
  </cellXfs>
  <cellStyles count="1">
    <cellStyle name="Normal" xfId="0" builtinId="0"/>
  </cellStyles>
  <dxfs count="4"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CBE4E-1BC4-4FF5-B8F2-465DACB52439}">
  <dimension ref="B2:O71"/>
  <sheetViews>
    <sheetView tabSelected="1" topLeftCell="A10" zoomScale="85" zoomScaleNormal="85" workbookViewId="0">
      <selection activeCell="C43" sqref="C43"/>
    </sheetView>
  </sheetViews>
  <sheetFormatPr baseColWidth="10" defaultRowHeight="14.4" x14ac:dyDescent="0.3"/>
  <cols>
    <col min="2" max="2" width="20.6640625" customWidth="1"/>
    <col min="3" max="3" width="13" bestFit="1" customWidth="1"/>
    <col min="4" max="4" width="12.44140625" bestFit="1" customWidth="1"/>
    <col min="5" max="5" width="12.21875" customWidth="1"/>
    <col min="6" max="6" width="9.44140625" bestFit="1" customWidth="1"/>
    <col min="7" max="7" width="31" bestFit="1" customWidth="1"/>
    <col min="8" max="8" width="12.44140625" bestFit="1" customWidth="1"/>
    <col min="9" max="10" width="6.33203125" bestFit="1" customWidth="1"/>
    <col min="11" max="11" width="3.6640625" customWidth="1"/>
    <col min="12" max="12" width="35.109375" bestFit="1" customWidth="1"/>
    <col min="13" max="13" width="24.77734375" bestFit="1" customWidth="1"/>
    <col min="14" max="16" width="8.33203125" bestFit="1" customWidth="1"/>
    <col min="19" max="19" width="22.21875" bestFit="1" customWidth="1"/>
    <col min="20" max="20" width="35.88671875" bestFit="1" customWidth="1"/>
    <col min="21" max="22" width="8.33203125" bestFit="1" customWidth="1"/>
  </cols>
  <sheetData>
    <row r="2" spans="2:15" ht="23.4" x14ac:dyDescent="0.45">
      <c r="G2" s="7" t="s">
        <v>3</v>
      </c>
      <c r="L2" s="7" t="s">
        <v>55</v>
      </c>
    </row>
    <row r="3" spans="2:15" x14ac:dyDescent="0.3">
      <c r="C3" t="s">
        <v>8</v>
      </c>
      <c r="D3" t="s">
        <v>4</v>
      </c>
      <c r="E3" t="s">
        <v>5</v>
      </c>
      <c r="H3" t="s">
        <v>8</v>
      </c>
      <c r="I3" t="s">
        <v>4</v>
      </c>
      <c r="J3" t="s">
        <v>5</v>
      </c>
      <c r="L3" s="4" t="s">
        <v>54</v>
      </c>
      <c r="M3">
        <v>0.8</v>
      </c>
    </row>
    <row r="4" spans="2:15" ht="15.6" x14ac:dyDescent="0.3">
      <c r="G4" s="22" t="s">
        <v>6</v>
      </c>
      <c r="H4" s="23">
        <v>24</v>
      </c>
      <c r="I4" s="23">
        <v>23.5</v>
      </c>
      <c r="J4" s="23">
        <v>24.5</v>
      </c>
      <c r="L4" s="4" t="s">
        <v>56</v>
      </c>
      <c r="M4" s="2">
        <v>1.9999999999999999E-6</v>
      </c>
    </row>
    <row r="5" spans="2:15" ht="15.6" x14ac:dyDescent="0.3">
      <c r="B5" s="4" t="s">
        <v>69</v>
      </c>
      <c r="C5">
        <f>(H7-H8)/(3*10^-6)</f>
        <v>333333.33333333331</v>
      </c>
      <c r="G5" s="22" t="s">
        <v>7</v>
      </c>
      <c r="H5" s="23">
        <v>5</v>
      </c>
      <c r="I5" s="23">
        <v>4.7</v>
      </c>
      <c r="J5" s="23">
        <v>5.3</v>
      </c>
      <c r="L5" s="4" t="s">
        <v>60</v>
      </c>
      <c r="M5" s="2">
        <v>0.91</v>
      </c>
    </row>
    <row r="6" spans="2:15" ht="15.6" x14ac:dyDescent="0.3">
      <c r="B6" s="4" t="s">
        <v>89</v>
      </c>
      <c r="C6" s="11">
        <v>330000</v>
      </c>
      <c r="D6" s="19">
        <f>C6*(1-H$14/100)</f>
        <v>326700</v>
      </c>
      <c r="E6" s="19">
        <f>C6*(1+H$14/100)</f>
        <v>333300</v>
      </c>
      <c r="G6" s="22" t="s">
        <v>12</v>
      </c>
      <c r="H6" s="23">
        <v>0.3</v>
      </c>
      <c r="I6" s="23">
        <v>0.1</v>
      </c>
      <c r="J6" s="23">
        <v>1</v>
      </c>
      <c r="L6" s="4"/>
      <c r="M6" s="2"/>
    </row>
    <row r="7" spans="2:15" x14ac:dyDescent="0.3">
      <c r="B7" s="4" t="s">
        <v>70</v>
      </c>
      <c r="C7">
        <f>M10/((1*10^-6)+(H7-M10)/C5)</f>
        <v>23430.178069353329</v>
      </c>
      <c r="G7" s="4" t="s">
        <v>87</v>
      </c>
      <c r="H7" s="11">
        <v>18.7</v>
      </c>
      <c r="L7" s="4" t="s">
        <v>64</v>
      </c>
      <c r="M7" s="2">
        <v>0.08</v>
      </c>
      <c r="N7" s="2">
        <v>0.06</v>
      </c>
      <c r="O7" s="2">
        <v>0.115</v>
      </c>
    </row>
    <row r="8" spans="2:15" x14ac:dyDescent="0.3">
      <c r="B8" s="4" t="s">
        <v>90</v>
      </c>
      <c r="C8" s="11">
        <v>23200</v>
      </c>
      <c r="D8" s="19">
        <f>C8*(1-H$14/100)</f>
        <v>22968</v>
      </c>
      <c r="E8" s="19">
        <f>C8*(1+H$14/100)</f>
        <v>23432</v>
      </c>
      <c r="G8" s="4" t="s">
        <v>88</v>
      </c>
      <c r="H8" s="11">
        <v>17.7</v>
      </c>
      <c r="L8" s="4" t="s">
        <v>61</v>
      </c>
      <c r="M8" s="2">
        <v>1.05E-7</v>
      </c>
    </row>
    <row r="9" spans="2:15" x14ac:dyDescent="0.3">
      <c r="B9" s="4" t="s">
        <v>91</v>
      </c>
      <c r="C9" s="17">
        <f>M10+C6*(-1*10^-6+M10/C8)</f>
        <v>18.700172413793105</v>
      </c>
      <c r="D9" s="21">
        <f>M10+D6*(-1*10^-6+M10/E8)</f>
        <v>18.351389791737798</v>
      </c>
      <c r="E9" s="20">
        <f>M10+E6*(-1*10^-6+M10/D8)</f>
        <v>19.056067816091954</v>
      </c>
      <c r="L9" s="4" t="s">
        <v>14</v>
      </c>
      <c r="M9" s="2">
        <v>1000000</v>
      </c>
    </row>
    <row r="10" spans="2:15" x14ac:dyDescent="0.3">
      <c r="B10" s="4" t="s">
        <v>71</v>
      </c>
      <c r="C10" s="18">
        <f>-3*C6*10^-6+C9</f>
        <v>17.710172413793106</v>
      </c>
      <c r="D10" s="20">
        <f>-3*D6*10^-6+D9</f>
        <v>17.371289791737798</v>
      </c>
      <c r="E10" s="20">
        <f>-3*E6*10^-6+E9</f>
        <v>18.056167816091953</v>
      </c>
      <c r="G10" s="4" t="s">
        <v>9</v>
      </c>
      <c r="H10" s="1" t="s">
        <v>13</v>
      </c>
      <c r="L10" s="4" t="s">
        <v>72</v>
      </c>
      <c r="M10" s="2">
        <v>1.25</v>
      </c>
    </row>
    <row r="11" spans="2:15" x14ac:dyDescent="0.3">
      <c r="G11" s="4" t="s">
        <v>10</v>
      </c>
      <c r="H11" s="11">
        <f>J4-I4</f>
        <v>1</v>
      </c>
      <c r="L11" s="4"/>
    </row>
    <row r="12" spans="2:15" x14ac:dyDescent="0.3">
      <c r="G12" s="4" t="s">
        <v>11</v>
      </c>
      <c r="H12" s="10">
        <v>0.02</v>
      </c>
    </row>
    <row r="13" spans="2:15" x14ac:dyDescent="0.3">
      <c r="B13" s="4" t="s">
        <v>0</v>
      </c>
      <c r="C13" s="11">
        <v>23200</v>
      </c>
      <c r="D13" s="19">
        <f>C13*(1-H$14/100)</f>
        <v>22968</v>
      </c>
      <c r="E13" s="19">
        <f>C13*(1+H$14/100)</f>
        <v>23432</v>
      </c>
    </row>
    <row r="14" spans="2:15" x14ac:dyDescent="0.3">
      <c r="B14" s="4" t="s">
        <v>85</v>
      </c>
      <c r="C14">
        <f>C13*M3/(H5-M3)</f>
        <v>4419.0476190476193</v>
      </c>
      <c r="E14" s="4"/>
      <c r="G14" s="4" t="s">
        <v>1</v>
      </c>
      <c r="H14" s="11">
        <v>1</v>
      </c>
    </row>
    <row r="15" spans="2:15" x14ac:dyDescent="0.3">
      <c r="B15" s="4" t="s">
        <v>86</v>
      </c>
      <c r="C15" s="11">
        <v>4400</v>
      </c>
      <c r="D15" s="19">
        <f>C15*(1-H$14/100)</f>
        <v>4356</v>
      </c>
      <c r="E15" s="19">
        <f>C15*(1+H$14/100)</f>
        <v>4444</v>
      </c>
      <c r="G15" s="4" t="s">
        <v>92</v>
      </c>
      <c r="H15">
        <f>H5/H4</f>
        <v>0.20833333333333334</v>
      </c>
    </row>
    <row r="16" spans="2:15" x14ac:dyDescent="0.3">
      <c r="G16" s="4" t="s">
        <v>53</v>
      </c>
      <c r="H16" s="10">
        <v>4.0000000000000001E-3</v>
      </c>
    </row>
    <row r="17" spans="2:14" x14ac:dyDescent="0.3">
      <c r="B17" s="4" t="s">
        <v>84</v>
      </c>
      <c r="C17">
        <f>M3*(C13/C15 + 1)</f>
        <v>5.0181818181818185</v>
      </c>
      <c r="D17">
        <f>M3*(C13*(1-H14/100)/C15*(1-H14/100) + 1)</f>
        <v>4.93424</v>
      </c>
      <c r="E17">
        <f>M3*(C13*(1+H14/100)/(C15*(1-H14/100))+1)</f>
        <v>5.1033976124885214</v>
      </c>
      <c r="G17" s="4" t="s">
        <v>33</v>
      </c>
      <c r="H17" s="2">
        <v>9.2E-5</v>
      </c>
      <c r="M17" s="3"/>
    </row>
    <row r="18" spans="2:14" x14ac:dyDescent="0.3">
      <c r="B18" s="4" t="s">
        <v>15</v>
      </c>
      <c r="C18" s="10">
        <f>0.0000047*2</f>
        <v>9.3999999999999998E-6</v>
      </c>
      <c r="G18" s="4" t="s">
        <v>34</v>
      </c>
      <c r="H18" s="2">
        <v>20000</v>
      </c>
      <c r="M18" s="1"/>
    </row>
    <row r="19" spans="2:14" x14ac:dyDescent="0.3">
      <c r="B19" s="4" t="s">
        <v>16</v>
      </c>
      <c r="C19" s="11">
        <f>0.005/2</f>
        <v>2.5000000000000001E-3</v>
      </c>
    </row>
    <row r="20" spans="2:14" x14ac:dyDescent="0.3">
      <c r="B20" s="4"/>
      <c r="G20" s="4" t="s">
        <v>83</v>
      </c>
      <c r="H20">
        <v>24</v>
      </c>
    </row>
    <row r="21" spans="2:14" x14ac:dyDescent="0.3">
      <c r="B21" s="5" t="s">
        <v>2</v>
      </c>
      <c r="C21" s="2">
        <f>J6*0.25/(C18*M9)+J6*C19</f>
        <v>2.9095744680851063E-2</v>
      </c>
      <c r="L21" t="s">
        <v>38</v>
      </c>
    </row>
    <row r="22" spans="2:14" x14ac:dyDescent="0.3">
      <c r="B22" s="5" t="s">
        <v>95</v>
      </c>
      <c r="C22">
        <f>J6/2</f>
        <v>0.5</v>
      </c>
      <c r="G22" s="4" t="s">
        <v>93</v>
      </c>
      <c r="H22">
        <f>H5/H6</f>
        <v>16.666666666666668</v>
      </c>
      <c r="L22" s="4" t="s">
        <v>39</v>
      </c>
      <c r="M22" t="s">
        <v>40</v>
      </c>
      <c r="N22" t="s">
        <v>43</v>
      </c>
    </row>
    <row r="23" spans="2:14" x14ac:dyDescent="0.3">
      <c r="B23" s="5" t="s">
        <v>96</v>
      </c>
      <c r="C23" s="3">
        <f>J4+C21/2</f>
        <v>24.514547872340426</v>
      </c>
      <c r="G23" t="s">
        <v>94</v>
      </c>
      <c r="H23">
        <f>(J4-I4)/(J5-I5)</f>
        <v>1.6666666666666676</v>
      </c>
      <c r="M23" t="s">
        <v>41</v>
      </c>
      <c r="N23" t="s">
        <v>44</v>
      </c>
    </row>
    <row r="24" spans="2:14" x14ac:dyDescent="0.3">
      <c r="M24" t="s">
        <v>42</v>
      </c>
      <c r="N24" t="s">
        <v>45</v>
      </c>
    </row>
    <row r="26" spans="2:14" x14ac:dyDescent="0.3">
      <c r="L26" t="s">
        <v>48</v>
      </c>
      <c r="M26" t="s">
        <v>49</v>
      </c>
      <c r="N26">
        <v>30</v>
      </c>
    </row>
    <row r="27" spans="2:14" x14ac:dyDescent="0.3">
      <c r="G27" s="4"/>
      <c r="M27" t="s">
        <v>50</v>
      </c>
      <c r="N27">
        <v>5</v>
      </c>
    </row>
    <row r="28" spans="2:14" ht="21" x14ac:dyDescent="0.4">
      <c r="B28" s="6" t="s">
        <v>17</v>
      </c>
      <c r="M28" t="s">
        <v>65</v>
      </c>
      <c r="N28">
        <v>0.7</v>
      </c>
    </row>
    <row r="29" spans="2:14" x14ac:dyDescent="0.3">
      <c r="M29" t="s">
        <v>62</v>
      </c>
      <c r="N29">
        <v>0.2</v>
      </c>
    </row>
    <row r="30" spans="2:14" x14ac:dyDescent="0.3">
      <c r="B30" s="4" t="s">
        <v>19</v>
      </c>
    </row>
    <row r="31" spans="2:14" x14ac:dyDescent="0.3">
      <c r="B31" s="4" t="s">
        <v>18</v>
      </c>
      <c r="C31" s="12">
        <f>J5*(J4-H5)/(J4*0.3*H6*M9*0.8)</f>
        <v>5.8588435374149664E-5</v>
      </c>
    </row>
    <row r="32" spans="2:14" x14ac:dyDescent="0.3">
      <c r="B32" s="4" t="s">
        <v>21</v>
      </c>
      <c r="C32" s="10">
        <f>0.0000047</f>
        <v>4.6999999999999999E-6</v>
      </c>
    </row>
    <row r="33" spans="2:11" x14ac:dyDescent="0.3">
      <c r="B33" s="4" t="s">
        <v>20</v>
      </c>
      <c r="C33" s="2">
        <f>H5*(J4-H5)/(J4*C32*M9*0.8)</f>
        <v>1.0584020842379505</v>
      </c>
    </row>
    <row r="34" spans="2:11" x14ac:dyDescent="0.3">
      <c r="B34" s="4" t="s">
        <v>22</v>
      </c>
      <c r="C34" s="2">
        <f xml:space="preserve"> SQRT( POWER(H5*(J4-H5)/(J4*C32*M9*0.8),2)/12+POWER(J6,2))</f>
        <v>1.0456343757068896</v>
      </c>
    </row>
    <row r="35" spans="2:11" x14ac:dyDescent="0.3">
      <c r="B35" s="4" t="s">
        <v>23</v>
      </c>
      <c r="C35" s="2">
        <f>J6+H5*(J4-H5)/(1.6*J4*C32*M9)</f>
        <v>1.5292010421189752</v>
      </c>
    </row>
    <row r="37" spans="2:11" x14ac:dyDescent="0.3">
      <c r="B37" s="4" t="s">
        <v>24</v>
      </c>
      <c r="F37" t="s">
        <v>16</v>
      </c>
    </row>
    <row r="38" spans="2:11" x14ac:dyDescent="0.3">
      <c r="B38" t="s">
        <v>25</v>
      </c>
      <c r="C38" s="12">
        <f>(J6-I6)*2/(M9*(J5-I5))</f>
        <v>3.0000000000000018E-6</v>
      </c>
      <c r="D38" t="s">
        <v>67</v>
      </c>
      <c r="E38" s="24">
        <f>1/(2*PI()*(H5/H6)*H18)</f>
        <v>4.7746482927568602E-7</v>
      </c>
      <c r="F38" s="13">
        <f>0.003/2</f>
        <v>1.5E-3</v>
      </c>
    </row>
    <row r="39" spans="2:11" x14ac:dyDescent="0.3">
      <c r="B39" t="s">
        <v>26</v>
      </c>
      <c r="C39" s="12">
        <f xml:space="preserve"> 1/(8*M9)*1/H12/C33</f>
        <v>5.9051282051282045E-6</v>
      </c>
      <c r="D39" t="s">
        <v>68</v>
      </c>
      <c r="E39" s="13">
        <f>C33*(((H15-0.5)/(4*M9*C42))+F38)</f>
        <v>7.6659087129645885E-4</v>
      </c>
    </row>
    <row r="40" spans="2:11" x14ac:dyDescent="0.3">
      <c r="B40" t="s">
        <v>27</v>
      </c>
      <c r="C40" s="2">
        <f>H12/C33</f>
        <v>1.8896410256410257E-2</v>
      </c>
      <c r="D40" t="s">
        <v>74</v>
      </c>
      <c r="E40" s="13">
        <f>H12/C33-((H15-0.5)/(4*M9*C42))</f>
        <v>1.9672119476268412E-2</v>
      </c>
    </row>
    <row r="41" spans="2:11" x14ac:dyDescent="0.3">
      <c r="B41" t="s">
        <v>28</v>
      </c>
      <c r="C41" s="2">
        <f>1/SQRT(12)*(H5*(J4-H5)/(J4*C32*M9*3))</f>
        <v>8.1475830432752236E-2</v>
      </c>
    </row>
    <row r="42" spans="2:11" x14ac:dyDescent="0.3">
      <c r="B42" t="s">
        <v>30</v>
      </c>
      <c r="C42" s="16">
        <v>9.3999999999999994E-5</v>
      </c>
    </row>
    <row r="47" spans="2:11" x14ac:dyDescent="0.3">
      <c r="K47" s="15"/>
    </row>
    <row r="52" spans="2:7" x14ac:dyDescent="0.3">
      <c r="B52" s="4" t="s">
        <v>29</v>
      </c>
    </row>
    <row r="54" spans="2:7" ht="43.2" x14ac:dyDescent="0.3">
      <c r="B54" s="8" t="s">
        <v>31</v>
      </c>
      <c r="C54" s="2">
        <f>J6/(2*3.14*H5*C42)</f>
        <v>338.79929529746579</v>
      </c>
      <c r="E54" s="9" t="s">
        <v>36</v>
      </c>
      <c r="F54">
        <v>5</v>
      </c>
    </row>
    <row r="55" spans="2:7" x14ac:dyDescent="0.3">
      <c r="B55" s="4" t="s">
        <v>32</v>
      </c>
      <c r="C55" s="2">
        <f>(POWER(10,(-F54/20))/H17)*(H5/0.8)</f>
        <v>38202.535678692191</v>
      </c>
      <c r="E55" s="14" t="s">
        <v>66</v>
      </c>
      <c r="F55" s="14">
        <f>800*0.8/H5</f>
        <v>128</v>
      </c>
    </row>
    <row r="56" spans="2:7" x14ac:dyDescent="0.3">
      <c r="B56" s="4" t="s">
        <v>35</v>
      </c>
      <c r="C56" s="2">
        <f>1/(2*3.14*C55*H18/10)</f>
        <v>2.0840981620838333E-9</v>
      </c>
      <c r="E56" s="14" t="s">
        <v>73</v>
      </c>
      <c r="F56" s="13">
        <f>-20*LOG(2*PI()*H18*C42*(1/12))</f>
        <v>0.13687056851660026</v>
      </c>
    </row>
    <row r="57" spans="2:7" x14ac:dyDescent="0.3">
      <c r="B57" s="4" t="s">
        <v>37</v>
      </c>
      <c r="C57" s="2">
        <f>1/(2*3.14*C55*H18*10)</f>
        <v>2.0840981620838331E-11</v>
      </c>
      <c r="E57" s="14" t="s">
        <v>75</v>
      </c>
      <c r="F57" s="25">
        <f>ATAN(2*PI()*H18*F38*C42)-ATAN(2*PI()*(H5/H6)*C42)-10</f>
        <v>-9.9921266103809394</v>
      </c>
    </row>
    <row r="58" spans="2:7" x14ac:dyDescent="0.3">
      <c r="E58" s="14" t="s">
        <v>76</v>
      </c>
      <c r="F58" s="25">
        <f>(H20-90)-F57</f>
        <v>-56.007873389619064</v>
      </c>
    </row>
    <row r="60" spans="2:7" x14ac:dyDescent="0.3">
      <c r="B60" s="4" t="s">
        <v>46</v>
      </c>
      <c r="E60" s="14" t="s">
        <v>77</v>
      </c>
      <c r="F60" s="13">
        <f>TAN((F58/2)+45)</f>
        <v>3.4426271409815339</v>
      </c>
    </row>
    <row r="61" spans="2:7" x14ac:dyDescent="0.3">
      <c r="B61" s="4" t="s">
        <v>47</v>
      </c>
      <c r="C61">
        <f>J4+0.5</f>
        <v>25</v>
      </c>
      <c r="E61" s="14" t="s">
        <v>78</v>
      </c>
      <c r="F61" s="13">
        <f>H18/F60</f>
        <v>5809.5167385155055</v>
      </c>
    </row>
    <row r="62" spans="2:7" x14ac:dyDescent="0.3">
      <c r="B62" s="4" t="s">
        <v>51</v>
      </c>
      <c r="C62" s="2">
        <f>C35</f>
        <v>1.5292010421189752</v>
      </c>
      <c r="E62" s="14" t="s">
        <v>79</v>
      </c>
      <c r="F62" s="13">
        <f>H18*F60</f>
        <v>68852.542819630675</v>
      </c>
    </row>
    <row r="63" spans="2:7" x14ac:dyDescent="0.3">
      <c r="E63" s="14" t="s">
        <v>80</v>
      </c>
      <c r="F63" s="13">
        <f>(2*PI()*H18*H5*C42*8.696*10^6)/(12*800*0.8)</f>
        <v>66875.344616353716</v>
      </c>
      <c r="G63" s="11">
        <v>36000</v>
      </c>
    </row>
    <row r="64" spans="2:7" x14ac:dyDescent="0.3">
      <c r="E64" s="14" t="s">
        <v>81</v>
      </c>
      <c r="F64" s="13">
        <f>1/(2*PI()*F61*F63)</f>
        <v>4.0965106785823132E-10</v>
      </c>
      <c r="G64" s="2">
        <f>1/(2*PI()*F61*G63)</f>
        <v>7.6098767598545889E-10</v>
      </c>
    </row>
    <row r="65" spans="2:7" x14ac:dyDescent="0.3">
      <c r="B65" s="4" t="s">
        <v>52</v>
      </c>
      <c r="E65" s="14" t="s">
        <v>82</v>
      </c>
      <c r="F65" s="13">
        <f>1/(2*PI()*F62*F63)</f>
        <v>3.456480528115826E-11</v>
      </c>
      <c r="G65" s="2">
        <f>1/(2*PI()*F62*G63)</f>
        <v>6.4209257354850603E-11</v>
      </c>
    </row>
    <row r="66" spans="2:7" x14ac:dyDescent="0.3">
      <c r="B66" s="4" t="s">
        <v>57</v>
      </c>
      <c r="C66" s="2">
        <f>H16*M4/M3</f>
        <v>1E-8</v>
      </c>
    </row>
    <row r="67" spans="2:7" x14ac:dyDescent="0.3">
      <c r="B67" s="4"/>
    </row>
    <row r="69" spans="2:7" x14ac:dyDescent="0.3">
      <c r="B69" t="s">
        <v>58</v>
      </c>
    </row>
    <row r="70" spans="2:7" x14ac:dyDescent="0.3">
      <c r="B70" s="4" t="s">
        <v>59</v>
      </c>
      <c r="C70">
        <f>M5*((I4-J6*O7)+N28)-(J6*N29)-N28</f>
        <v>21.017350000000004</v>
      </c>
    </row>
    <row r="71" spans="2:7" x14ac:dyDescent="0.3">
      <c r="B71" s="4" t="s">
        <v>63</v>
      </c>
      <c r="C71">
        <f>M8*((J4-I6*M8)+N29)-(J18*N30)-N29</f>
        <v>-0.19999740650000111</v>
      </c>
    </row>
  </sheetData>
  <conditionalFormatting sqref="N27">
    <cfRule type="cellIs" dxfId="3" priority="9" operator="lessThan">
      <formula>$C$62</formula>
    </cfRule>
    <cfRule type="cellIs" dxfId="2" priority="10" operator="greaterThan">
      <formula>$C$62</formula>
    </cfRule>
  </conditionalFormatting>
  <conditionalFormatting sqref="N26">
    <cfRule type="cellIs" dxfId="1" priority="11" operator="lessThan">
      <formula>$C$61</formula>
    </cfRule>
    <cfRule type="cellIs" dxfId="0" priority="12" operator="greaterThan">
      <formula>$C$61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9DAA2379-C0EF-497E-9C84-DF777A5A4D4E}">
          <x14:formula1>
            <xm:f>#REF!</xm:f>
          </x14:formula1>
          <xm:sqref>N24</xm:sqref>
        </x14:dataValidation>
        <x14:dataValidation type="list" allowBlank="1" showInputMessage="1" showErrorMessage="1" xr:uid="{3731041F-7FAC-4F2C-9C15-32A2B9702282}">
          <x14:formula1>
            <xm:f>#REF!</xm:f>
          </x14:formula1>
          <xm:sqref>N22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TPS54332</vt:lpstr>
    </vt:vector>
  </TitlesOfParts>
  <Company>AB SKF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LEMARCHAND</dc:creator>
  <cp:lastModifiedBy>Marine CHESSA</cp:lastModifiedBy>
  <dcterms:created xsi:type="dcterms:W3CDTF">2019-03-06T17:31:10Z</dcterms:created>
  <dcterms:modified xsi:type="dcterms:W3CDTF">2021-03-04T14:33:02Z</dcterms:modified>
</cp:coreProperties>
</file>