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9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 codeName="{E757BCB4-07E6-AE0B-56E0-F0EEF7A6E26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Development\kargo-lonestar-hw\Documents\"/>
    </mc:Choice>
  </mc:AlternateContent>
  <xr:revisionPtr revIDLastSave="0" documentId="13_ncr:1_{5C12865D-488D-41A8-88A1-2A2EEBA5CCC6}" xr6:coauthVersionLast="47" xr6:coauthVersionMax="47" xr10:uidLastSave="{00000000-0000-0000-0000-000000000000}"/>
  <workbookProtection workbookAlgorithmName="SHA-512" workbookHashValue="wKQkeMAckAXvFum8ri5Jn+JS2dJ/CYWostaWQ9OmZlDWxWdxoNM1ixjkqUiCMMVo6bwXnSaqkFyi3uNYsQi0AQ==" workbookSaltValue="ZrnZfwAC5PJB6BlDrcF99w==" workbookSpinCount="100000" lockStructure="1"/>
  <bookViews>
    <workbookView xWindow="-120" yWindow="-120" windowWidth="38640" windowHeight="21240" tabRatio="565" xr2:uid="{00000000-000D-0000-FFFF-FFFF00000000}"/>
  </bookViews>
  <sheets>
    <sheet name="Design Converter" sheetId="1" r:id="rId1"/>
    <sheet name="BOM &amp; Schematic" sheetId="16" r:id="rId2"/>
    <sheet name="Licenses" sheetId="23" r:id="rId3"/>
    <sheet name="EVMs" sheetId="14" state="hidden" r:id="rId4"/>
    <sheet name="Variable Management" sheetId="2" state="hidden" r:id="rId5"/>
    <sheet name="Schematic Management" sheetId="22" state="hidden" r:id="rId6"/>
    <sheet name="Efficiency Plot Management" sheetId="19" state="hidden" r:id="rId7"/>
    <sheet name="Efficiency vs VIN Calculations" sheetId="20" state="hidden" r:id="rId8"/>
    <sheet name="Efficiency vs Load Calculations" sheetId="21" state="hidden" r:id="rId9"/>
    <sheet name="Stability Calculations" sheetId="17" state="hidden" r:id="rId10"/>
    <sheet name="Standard Value Calculator" sheetId="8" state="hidden" r:id="rId11"/>
    <sheet name="Snubber" sheetId="11" state="hidden" r:id="rId12"/>
    <sheet name="Parallel Output Caps" sheetId="6" state="hidden" r:id="rId13"/>
  </sheets>
  <externalReferences>
    <externalReference r:id="rId14"/>
  </externalReferences>
  <definedNames>
    <definedName name="_Don1" localSheetId="2">'[1]Variable Management'!$B$48</definedName>
    <definedName name="_Don1">'Variable Management'!$B$48</definedName>
    <definedName name="_Don2" localSheetId="2">'[1]Variable Management'!$B$69</definedName>
    <definedName name="_Don2">'Variable Management'!$B$69</definedName>
    <definedName name="Acs" localSheetId="2">'[1]Variable Management'!$B$294</definedName>
    <definedName name="Acs">'Variable Management'!$B$294</definedName>
    <definedName name="Adc" localSheetId="2">'[1]Stability Calculations'!$Q$3</definedName>
    <definedName name="Adc">'Stability Calculations'!$Q$3</definedName>
    <definedName name="AEA" localSheetId="2">'[1]Variable Management'!$B$292</definedName>
    <definedName name="AEA">'Variable Management'!$B$292</definedName>
    <definedName name="Afb" localSheetId="2">'[1]Variable Management'!$B$293</definedName>
    <definedName name="Afb">'Variable Management'!$B$293</definedName>
    <definedName name="Am" localSheetId="2">'[1]Variable Management'!$B$297</definedName>
    <definedName name="Am">'Variable Management'!$B$297</definedName>
    <definedName name="Am_boost" localSheetId="2">'[1]Variable Management'!$B$296</definedName>
    <definedName name="Am_boost">'Variable Management'!$B$296</definedName>
    <definedName name="Am_buck" localSheetId="2">'[1]Variable Management'!$B$295</definedName>
    <definedName name="Am_buck">'Variable Management'!$B$295</definedName>
    <definedName name="Boost_CS_Threshold" localSheetId="2">'[1]Variable Management'!$B$112</definedName>
    <definedName name="Boost_CS_Threshold">'Variable Management'!$B$112</definedName>
    <definedName name="Boost_CS_Threshold_max">'Variable Management'!$B$113</definedName>
    <definedName name="Boost_CS_Threshold_min">'Variable Management'!$B$111</definedName>
    <definedName name="Buck_CS_threshold" localSheetId="2">'[1]Variable Management'!$B$108</definedName>
    <definedName name="Buck_CS_threshold">'Variable Management'!$B$108</definedName>
    <definedName name="Buck_CS_threshold_max">'Variable Management'!$B$109</definedName>
    <definedName name="Buck_CS_threshold_min">'Variable Management'!$B$107</definedName>
    <definedName name="Cb">'Variable Management'!$B$233</definedName>
    <definedName name="Cbw" localSheetId="2">'[1]Variable Management'!$B$288</definedName>
    <definedName name="Cbw">'Variable Management'!$B$288</definedName>
    <definedName name="Cby">'Variable Management'!$B$232</definedName>
    <definedName name="Cc1ea" localSheetId="2">'[1]Variable Management'!$B$319</definedName>
    <definedName name="Cc1ea">'Variable Management'!$B$318</definedName>
    <definedName name="Cc1ea_u" localSheetId="2">'[1]Variable Management'!$B$324</definedName>
    <definedName name="Cc1ea_u">'Variable Management'!$B$323</definedName>
    <definedName name="Cc2ea" localSheetId="2">'[1]Variable Management'!$B$320</definedName>
    <definedName name="Cc2ea">'Variable Management'!$B$319</definedName>
    <definedName name="Cc2ea_u" localSheetId="2">'[1]Variable Management'!$B$325</definedName>
    <definedName name="Cc2ea_u">'Variable Management'!$B$324</definedName>
    <definedName name="Cdither" localSheetId="2">'[1]Variable Management'!$B$232</definedName>
    <definedName name="Cdither">'Variable Management'!$B$232</definedName>
    <definedName name="CFG">'[1]Variable Management'!$O$10</definedName>
    <definedName name="Cin" localSheetId="2">'[1]Variable Management'!$B$189</definedName>
    <definedName name="Cin">'Variable Management'!$B$189</definedName>
    <definedName name="CinEsrMax" localSheetId="2">'[1]Variable Management'!$B$192</definedName>
    <definedName name="CinEsrMax">'Variable Management'!$B$192</definedName>
    <definedName name="Cinmin" localSheetId="2">'[1]Variable Management'!$B$187</definedName>
    <definedName name="Cinmin">'Variable Management'!$B$187</definedName>
    <definedName name="Constant_Current_Loop_Setpoint" localSheetId="2">'[1]Variable Management'!$B$154</definedName>
    <definedName name="Constant_Current_Loop_Setpoint">'Variable Management'!$B$154</definedName>
    <definedName name="Cout" localSheetId="2">'[1]Variable Management'!$B$169</definedName>
    <definedName name="Cout">'Variable Management'!$B$169</definedName>
    <definedName name="CoutEsr" localSheetId="2">'[1]Variable Management'!$B$173</definedName>
    <definedName name="CoutEsr">'Variable Management'!$B$173</definedName>
    <definedName name="CoutEsrMax" localSheetId="2">'[1]Variable Management'!$B$170</definedName>
    <definedName name="CoutEsrMax">'Variable Management'!$B$170</definedName>
    <definedName name="Coutmin" localSheetId="2">'[1]Variable Management'!$B$167</definedName>
    <definedName name="Coutmin">'Variable Management'!$B$167</definedName>
    <definedName name="CSAmp_gain" localSheetId="2">'[1]Variable Management'!$B$237</definedName>
    <definedName name="CSAmp_gain">'Variable Management'!$B$237</definedName>
    <definedName name="Csb" localSheetId="2">'[1]Variable Management'!$B$230</definedName>
    <definedName name="Csb">'Variable Management'!$B$230</definedName>
    <definedName name="Csby" localSheetId="2">'[1]Variable Management'!$B$231</definedName>
    <definedName name="Csby">'Variable Management'!$B$231</definedName>
    <definedName name="Csideal">'Variable Management'!$B$139</definedName>
    <definedName name="Cslope" localSheetId="2">'[1]Variable Management'!$B$240</definedName>
    <definedName name="Cslope">'Variable Management'!$B$141</definedName>
    <definedName name="Cslope_ideal">'Variable Management'!$B$139</definedName>
    <definedName name="Css" localSheetId="2">'[1]Variable Management'!$B$205</definedName>
    <definedName name="Css">'Variable Management'!$B$205</definedName>
    <definedName name="Css_u" localSheetId="2">'[1]Variable Management'!$B$206</definedName>
    <definedName name="Css_u">'Variable Management'!$B$206</definedName>
    <definedName name="D_max_buck_BB" localSheetId="2">'[1]Variable Management'!$B$34</definedName>
    <definedName name="D_max_buck_BB">'Variable Management'!$B$34</definedName>
    <definedName name="D_max_buck_enterBB">'Variable Management'!$B$38</definedName>
    <definedName name="D_max_exitBB_to_buck" localSheetId="2">'[1]Variable Management'!$B$37</definedName>
    <definedName name="D_max_exitBB_to_buck">'Variable Management'!$B$37</definedName>
    <definedName name="D_min_boost">'Variable Management'!$B$32</definedName>
    <definedName name="D_min_boost_exitBB_to_buck" localSheetId="2">'[1]Variable Management'!$B$36</definedName>
    <definedName name="D_min_boost_exitBB_to_buck">'Variable Management'!$B$36</definedName>
    <definedName name="Deadtime" localSheetId="2">'[1]Variable Management'!$B$362</definedName>
    <definedName name="Deadtime">'Variable Management'!$B$361</definedName>
    <definedName name="DITHER" localSheetId="2">'[1]Variable Management'!$O$10</definedName>
    <definedName name="DITHER">'Variable Management'!$O$10</definedName>
    <definedName name="Doff1">'Variable Management'!$B$49</definedName>
    <definedName name="Doff2" localSheetId="2">'[1]Variable Management'!$B$70</definedName>
    <definedName name="Doff2">'Variable Management'!$B$70</definedName>
    <definedName name="Don_buckboost" localSheetId="2">'[1]Variable Management'!$B$54</definedName>
    <definedName name="Don_buckboost">'Variable Management'!$B$54</definedName>
    <definedName name="Don_Vinmax" localSheetId="2">'[1]Variable Management'!$B$53</definedName>
    <definedName name="Don_Vinmax">'Variable Management'!$B$53</definedName>
    <definedName name="Don_Vinmax_2" localSheetId="2">'[1]Variable Management'!$B$74</definedName>
    <definedName name="Don_Vinmax_2">'Variable Management'!$B$74</definedName>
    <definedName name="Don_Vinmin" localSheetId="2">'[1]Variable Management'!$B$51</definedName>
    <definedName name="Don_Vinmin">'Variable Management'!$B$51</definedName>
    <definedName name="Don_Vinmin_2" localSheetId="2">'[1]Variable Management'!$B$72</definedName>
    <definedName name="Don_Vinmin_2">'Variable Management'!$B$72</definedName>
    <definedName name="Don_Vinnom" localSheetId="2">'[1]Variable Management'!$B$52</definedName>
    <definedName name="Don_Vinnom">'Variable Management'!$B$52</definedName>
    <definedName name="Don_Vinnom_2" localSheetId="2">'[1]Variable Management'!$B$73</definedName>
    <definedName name="Don_Vinnom_2">'Variable Management'!$B$73</definedName>
    <definedName name="EFF_IOUT">'Efficiency Plot Management'!$B$5</definedName>
    <definedName name="EFF_VIN">'Efficiency Plot Management'!$B$7</definedName>
    <definedName name="Efficiency" localSheetId="2">'[1]Variable Management'!$B$16</definedName>
    <definedName name="Efficiency">'Variable Management'!$B$16</definedName>
    <definedName name="Fcross" localSheetId="2">'[1]Variable Management'!$B$317</definedName>
    <definedName name="Fcross">'Variable Management'!$B$316</definedName>
    <definedName name="Fdither">'Variable Management'!$B$230</definedName>
    <definedName name="Fesr" localSheetId="2">'[1]Variable Management'!$B$312</definedName>
    <definedName name="Fesr">'Variable Management'!$B$312</definedName>
    <definedName name="Fload_boost">'[1]Variable Management'!$B$307</definedName>
    <definedName name="Fload_buck">'[1]Variable Management'!$B$306</definedName>
    <definedName name="Fload_u">'Variable Management'!$B$306</definedName>
    <definedName name="Fp_dominant" localSheetId="2">'[1]Variable Management'!$B$308</definedName>
    <definedName name="Fp_dominant">'Variable Management'!$B$308</definedName>
    <definedName name="Fp1_u" localSheetId="2">'[1]Variable Management'!$B$310</definedName>
    <definedName name="Fp1_u">'Variable Management'!$B$310</definedName>
    <definedName name="Fp2_u" localSheetId="2">'[1]Variable Management'!$B$311</definedName>
    <definedName name="Fp2_u">'Variable Management'!$B$311</definedName>
    <definedName name="Frhp" localSheetId="2">'[1]Variable Management'!$B$313</definedName>
    <definedName name="Frhp">'Variable Management'!$B$313</definedName>
    <definedName name="Frhp_Vinmin">'[1]Variable Management'!$B$314</definedName>
    <definedName name="Fsw" localSheetId="2">'[1]Variable Management'!$B$22</definedName>
    <definedName name="Fsw">'Variable Management'!$B$22</definedName>
    <definedName name="Fz1_u" localSheetId="2">'[1]Variable Management'!$B$330</definedName>
    <definedName name="Fz1_u">'Variable Management'!$B$329</definedName>
    <definedName name="GBW" localSheetId="2">'[1]Variable Management'!$B$287</definedName>
    <definedName name="GBW">'Variable Management'!$B$287</definedName>
    <definedName name="GdrvDelay">[1]Timings!$B$2</definedName>
    <definedName name="Gfs_Q1" localSheetId="2">'[1]Variable Management'!$B$373</definedName>
    <definedName name="Gfs_Q1">'Variable Management'!$B$372</definedName>
    <definedName name="Gfs_Q2" localSheetId="2">'[1]Variable Management'!$D$373</definedName>
    <definedName name="Gfs_Q2">'Variable Management'!$D$372</definedName>
    <definedName name="Gfs_Q3" localSheetId="2">'[1]Variable Management'!$B$390</definedName>
    <definedName name="Gfs_Q3">'Variable Management'!$B$389</definedName>
    <definedName name="Gfs_Q4" localSheetId="2">'[1]Variable Management'!$D$390</definedName>
    <definedName name="Gfs_Q4">'Variable Management'!$D$389</definedName>
    <definedName name="gm" localSheetId="2">'[1]Variable Management'!$B$239</definedName>
    <definedName name="gm">'Variable Management'!$B$239</definedName>
    <definedName name="gm_slopecomp" localSheetId="2">'[1]Variable Management'!$B$241</definedName>
    <definedName name="gm_slopecomp">'Variable Management'!$B$241</definedName>
    <definedName name="I_T12_FSW">[1]Timings!$B$17</definedName>
    <definedName name="I_T12_max">[1]Timings!$B$12</definedName>
    <definedName name="I_T23_FSW">[1]Timings!$B$18</definedName>
    <definedName name="I_T23_max">[1]Timings!$B$13</definedName>
    <definedName name="Iconst">[1]Timings!$B$9</definedName>
    <definedName name="Icoutrms">'Variable Management'!$B$160</definedName>
    <definedName name="Ifsw_2M">[1]Timings!$B$8</definedName>
    <definedName name="Iin_Vinmax" localSheetId="2">'[1]Variable Management'!$B$20</definedName>
    <definedName name="Iin_Vinmax">'Variable Management'!$B$20</definedName>
    <definedName name="Iin_Vinmin" localSheetId="2">'[1]Variable Management'!$B$18</definedName>
    <definedName name="Iin_Vinmin">'Variable Management'!$B$18</definedName>
    <definedName name="Iin_Vinnom" localSheetId="2">'[1]Variable Management'!$B$19</definedName>
    <definedName name="Iin_Vinnom">'Variable Management'!$B$19</definedName>
    <definedName name="IL_peak_OCP" localSheetId="2">'[1]Variable Management'!$B$137</definedName>
    <definedName name="IL_peak_OCP">'Variable Management'!$B$137</definedName>
    <definedName name="IlDir">[1]Timings!$B$6</definedName>
    <definedName name="Ilimit_DC" localSheetId="2">'[1]Variable Management'!$B$100</definedName>
    <definedName name="Ilimit_DC">'Variable Management'!$B$100</definedName>
    <definedName name="IlNeg">[1]Timings!$B$5</definedName>
    <definedName name="ILpeak_OCP_Vinmax">'Variable Management'!$B$134</definedName>
    <definedName name="ILpeak_OCP_Vinmin">'Variable Management'!$B$132</definedName>
    <definedName name="ILpeak_OCP_Vinnom">'Variable Management'!$B$133</definedName>
    <definedName name="IlPos">[1]Timings!$B$4</definedName>
    <definedName name="Iout" localSheetId="2">'[1]Variable Management'!$B$13</definedName>
    <definedName name="Iout">'Variable Management'!$B$13</definedName>
    <definedName name="Iout_OCP_Vinmax" localSheetId="2">'[1]Variable Management'!$B$129</definedName>
    <definedName name="Iout_OCP_Vinmax">'Variable Management'!$B$129</definedName>
    <definedName name="Iout_OCP_Vinmin" localSheetId="2">'[1]Variable Management'!$B$127</definedName>
    <definedName name="Iout_OCP_Vinmin">'Variable Management'!$B$127</definedName>
    <definedName name="Iout_OCP_Vinnom" localSheetId="2">'[1]Variable Management'!$B$128</definedName>
    <definedName name="Iout_OCP_Vinnom">'Variable Management'!$B$128</definedName>
    <definedName name="Iout_threshold" localSheetId="2">'[1]Variable Management'!$B$155</definedName>
    <definedName name="Iout_threshold">'Variable Management'!$B$155</definedName>
    <definedName name="Iq" localSheetId="2">'[1]Variable Management'!$B$364</definedName>
    <definedName name="Iq">'Variable Management'!$B$363</definedName>
    <definedName name="Ireverse" localSheetId="2">'[1]Variable Management'!$B$402</definedName>
    <definedName name="Ireverse">'Variable Management'!$B$401</definedName>
    <definedName name="Iripple_edgebuckboost" localSheetId="2">'[1]Variable Management'!$B$81</definedName>
    <definedName name="Iripple_edgebuckboost">'Variable Management'!$B$81</definedName>
    <definedName name="Iripple_Vinmax" localSheetId="2">'[1]Variable Management'!$B$80</definedName>
    <definedName name="Iripple_Vinmax">'Variable Management'!$B$80</definedName>
    <definedName name="Iripple_Vinmin" localSheetId="2">'[1]Variable Management'!$B$78</definedName>
    <definedName name="Iripple_Vinmin">'Variable Management'!$B$78</definedName>
    <definedName name="Iripple_Vinnom" localSheetId="2">'[1]Variable Management'!$B$79</definedName>
    <definedName name="Iripple_Vinnom">'Variable Management'!$B$79</definedName>
    <definedName name="Isc_const" localSheetId="2">'[1]Variable Management'!$B$242</definedName>
    <definedName name="Isc_const">'Variable Management'!$B$242</definedName>
    <definedName name="Islope_fixed" localSheetId="2">'[1]Variable Management'!$B$143</definedName>
    <definedName name="Islope_fixed">'Variable Management'!$B$143</definedName>
    <definedName name="Iss" localSheetId="2">'[1]Variable Management'!$B$204</definedName>
    <definedName name="Iss">'Variable Management'!$B$204</definedName>
    <definedName name="Iuvlo_hys">'Variable Management'!$B$223</definedName>
    <definedName name="Iuvlo1" localSheetId="2">'[1]Variable Management'!$B$221</definedName>
    <definedName name="Iuvlo1">'Variable Management'!$B$221</definedName>
    <definedName name="Iuvlo2" localSheetId="2">'[1]Variable Management'!$B$222</definedName>
    <definedName name="Iuvlo2">'Variable Management'!$B$222</definedName>
    <definedName name="k" localSheetId="2">'[1]Variable Management'!$B$279</definedName>
    <definedName name="k">'Variable Management'!$B$279</definedName>
    <definedName name="K_1" localSheetId="2">'[1]Variable Management'!$B$283</definedName>
    <definedName name="K_1">'Variable Management'!$B$283</definedName>
    <definedName name="k_boost" localSheetId="2">'[1]Variable Management'!$B$276</definedName>
    <definedName name="k_boost">'Variable Management'!$B$276</definedName>
    <definedName name="k_buck" localSheetId="2">'[1]Variable Management'!$B$274</definedName>
    <definedName name="k_buck">'Variable Management'!$B$274</definedName>
    <definedName name="K_SL" localSheetId="2">'[1]Variable Management'!$B$251</definedName>
    <definedName name="K_SL">'Variable Management'!$B$251</definedName>
    <definedName name="KD">'Variable Management'!$B$284</definedName>
    <definedName name="Kgain_12">[1]Timings!$B$14</definedName>
    <definedName name="KM" localSheetId="2">'[1]Variable Management'!$B$282</definedName>
    <definedName name="KM">'Variable Management'!$B$282</definedName>
    <definedName name="Kratio_23">[1]Timings!$B$15</definedName>
    <definedName name="Lf" localSheetId="2">'[1]Variable Management'!$B$66</definedName>
    <definedName name="Lf">'Variable Management'!$B$66</definedName>
    <definedName name="Lopt" localSheetId="2">'[1]Variable Management'!$B$64</definedName>
    <definedName name="Lopt">'Variable Management'!$B$64</definedName>
    <definedName name="Ltc" localSheetId="2">'[1]Variable Management'!$B$350</definedName>
    <definedName name="Ltc">'Variable Management'!$B$349</definedName>
    <definedName name="MaxTlRise">[1]Timings!$B$41</definedName>
    <definedName name="MaxToffBoost">[1]Timings!$B$35</definedName>
    <definedName name="MaxTonBoost">[1]Timings!$B$34</definedName>
    <definedName name="MaxTonBuck">[1]Timings!$B$30</definedName>
    <definedName name="mc" localSheetId="2">'[1]Variable Management'!$B$278</definedName>
    <definedName name="mc">'Variable Management'!$B$278</definedName>
    <definedName name="mc_boost" localSheetId="2">'[1]Variable Management'!$B$275</definedName>
    <definedName name="mc_boost">'Variable Management'!$B$275</definedName>
    <definedName name="mc_buck" localSheetId="2">'[1]Variable Management'!$B$273</definedName>
    <definedName name="mc_buck">'Variable Management'!$B$273</definedName>
    <definedName name="MinT1FallCtrl">[1]Timings!$B$25</definedName>
    <definedName name="MinT1RiseCtrl">[1]Timings!$B$26</definedName>
    <definedName name="MinTlFall">[1]Timings!$B$37</definedName>
    <definedName name="MinTlRise">[1]Timings!$B$36</definedName>
    <definedName name="MinToffBoost">[1]Timings!$B$33</definedName>
    <definedName name="MinToffBuck">[1]Timings!$B$29</definedName>
    <definedName name="MinTonBoost">[1]Timings!$B$32</definedName>
    <definedName name="MinTonBuck">[1]Timings!$B$28</definedName>
    <definedName name="Pi" localSheetId="2">'[1]Variable Management'!$B$236</definedName>
    <definedName name="Pi">'Variable Management'!$B$236</definedName>
    <definedName name="PICTURE" localSheetId="2">INDIRECT('[1]Efficiency Plot Management'!$A$2)</definedName>
    <definedName name="PICTURE">INDIRECT('Efficiency Plot Management'!$A$2)</definedName>
    <definedName name="PICTURE2" localSheetId="0">INDIRECT('Schematic Management'!$A$2)</definedName>
    <definedName name="PICTURE2" localSheetId="5">INDIRECT('Schematic Management'!$A$2)</definedName>
    <definedName name="PICTURE2">INDIRECT('[1]Schematic Management'!$A$2)</definedName>
    <definedName name="Pin" localSheetId="2">'[1]Variable Management'!$B$17</definedName>
    <definedName name="Pin">'Variable Management'!$B$17</definedName>
    <definedName name="PLOT_TYPE" localSheetId="2">'[1]Variable Management'!$L$10</definedName>
    <definedName name="PLOT_TYPE">'Variable Management'!$L$10</definedName>
    <definedName name="pole1" localSheetId="2">'[1]Stability Calculations'!$K$4</definedName>
    <definedName name="pole1">'Stability Calculations'!$K$4</definedName>
    <definedName name="Pole2" localSheetId="2">'[1]Stability Calculations'!$C$5</definedName>
    <definedName name="Pole2">'Stability Calculations'!$C$5</definedName>
    <definedName name="pole3" localSheetId="2">'[1]Stability Calculations'!$N$3</definedName>
    <definedName name="pole3">'Stability Calculations'!$N$3</definedName>
    <definedName name="pole4" localSheetId="2">'[1]Stability Calculations'!$C$7</definedName>
    <definedName name="pole4">'Stability Calculations'!$C$7</definedName>
    <definedName name="Pout" localSheetId="2">'[1]Variable Management'!$B$15</definedName>
    <definedName name="Pout">'Variable Management'!$B$15</definedName>
    <definedName name="_xlnm.Print_Area" localSheetId="1">'BOM &amp; Schematic'!$A$1:$J$81</definedName>
    <definedName name="_xlnm.Print_Area" localSheetId="0">'Design Converter'!$A$1:$Q$114</definedName>
    <definedName name="pterm1" localSheetId="2">'[1]Stability Calculations'!$N$4</definedName>
    <definedName name="pterm1">'Stability Calculations'!$N$4</definedName>
    <definedName name="pterm2" localSheetId="2">'[1]Stability Calculations'!$N$5</definedName>
    <definedName name="pterm2">'Stability Calculations'!$N$5</definedName>
    <definedName name="Q" localSheetId="2">'[1]Variable Management'!$B$280</definedName>
    <definedName name="Q">'Variable Management'!$B$280</definedName>
    <definedName name="Qg_Q1" localSheetId="2">'[1]Variable Management'!$B$369</definedName>
    <definedName name="Qg_Q1">'Variable Management'!$B$368</definedName>
    <definedName name="Qg_Q2" localSheetId="2">'[1]Variable Management'!$D$369</definedName>
    <definedName name="Qg_Q2">'Variable Management'!$D$368</definedName>
    <definedName name="Qg_Q3" localSheetId="2">'[1]Variable Management'!$B$386</definedName>
    <definedName name="Qg_Q3">'Variable Management'!$B$385</definedName>
    <definedName name="Qg_Q4" localSheetId="2">'[1]Variable Management'!$D$386</definedName>
    <definedName name="Qg_Q4">'Variable Management'!$D$385</definedName>
    <definedName name="Qgd_Q1" localSheetId="2">'[1]Variable Management'!$B$370</definedName>
    <definedName name="Qgd_Q1">'Variable Management'!$B$369</definedName>
    <definedName name="Qgd_Q2">'Variable Management'!$D$369</definedName>
    <definedName name="Qgd_Q3">'Variable Management'!$B$386</definedName>
    <definedName name="Qgd_Q4" localSheetId="2">'[1]Variable Management'!$D$387</definedName>
    <definedName name="Qgd_Q4">'Variable Management'!$D$386</definedName>
    <definedName name="Qgs_Q1" localSheetId="2">'[1]Variable Management'!$B$371</definedName>
    <definedName name="Qgs_Q1">'Variable Management'!$B$370</definedName>
    <definedName name="Qgs_Q2">'Variable Management'!$D$370</definedName>
    <definedName name="Qgs_Q3">'Variable Management'!$B$387</definedName>
    <definedName name="Qgs_Q4" localSheetId="2">'[1]Variable Management'!$D$388</definedName>
    <definedName name="Qgs_Q4">'Variable Management'!$D$387</definedName>
    <definedName name="Qrr_Q1">'Variable Management'!$B$377</definedName>
    <definedName name="Qrr_Q2" localSheetId="2">'[1]Variable Management'!$D$378</definedName>
    <definedName name="Qrr_Q2">'Variable Management'!$D$377</definedName>
    <definedName name="Qrr_Q3" localSheetId="2">'[1]Variable Management'!$B$395</definedName>
    <definedName name="Qrr_Q3">'Variable Management'!$B$394</definedName>
    <definedName name="Qrr_Q4">'Variable Management'!$D$394</definedName>
    <definedName name="QrrSky_Q2" localSheetId="2">'[1]Variable Management'!$B$401</definedName>
    <definedName name="QrrSky_Q2">'Variable Management'!$B$400</definedName>
    <definedName name="QrrSky_Q3" localSheetId="2">'[1]Variable Management'!$D$401</definedName>
    <definedName name="QrrSky_Q3">'Variable Management'!$D$400</definedName>
    <definedName name="radconv" localSheetId="2">'[1]Stability Calculations'!$Q$6</definedName>
    <definedName name="radconv">'Stability Calculations'!$Q$6</definedName>
    <definedName name="Rcea1" localSheetId="2">'[1]Variable Management'!$B$318</definedName>
    <definedName name="Rcea1">'Variable Management'!$B$317</definedName>
    <definedName name="Rcea1_u" localSheetId="2">'[1]Variable Management'!$B$323</definedName>
    <definedName name="Rcea1_u">'Variable Management'!$B$322</definedName>
    <definedName name="RCinEsr" localSheetId="2">'[1]Variable Management'!$B$194</definedName>
    <definedName name="RCinEsr">'Variable Management'!$B$194</definedName>
    <definedName name="RCoutEsr" localSheetId="2">'[1]Variable Management'!$B$173</definedName>
    <definedName name="RCoutEsr">'Variable Management'!$B$173</definedName>
    <definedName name="Rdcr" localSheetId="2">'[1]Variable Management'!$B$67</definedName>
    <definedName name="Rdcr">'Variable Management'!$B$67</definedName>
    <definedName name="Rdson1" localSheetId="2">'[1]Variable Management'!$B$367</definedName>
    <definedName name="Rdson1">'Variable Management'!$B$366</definedName>
    <definedName name="Rdson2" localSheetId="2">'[1]Variable Management'!$D$367</definedName>
    <definedName name="Rdson2">'Variable Management'!$D$366</definedName>
    <definedName name="Rdson3" localSheetId="2">'[1]Variable Management'!$B$384</definedName>
    <definedName name="Rdson3">'Variable Management'!$B$383</definedName>
    <definedName name="Rdson4" localSheetId="2">'[1]Variable Management'!$D$384</definedName>
    <definedName name="Rdson4">'Variable Management'!$D$383</definedName>
    <definedName name="RdsonBotTc" localSheetId="2">'[1]Variable Management'!$B$385</definedName>
    <definedName name="RdsonBotTc">'Variable Management'!$B$384</definedName>
    <definedName name="RdsonDRB" localSheetId="2">'[1]Variable Management'!$B$359</definedName>
    <definedName name="RdsonDRB">'Variable Management'!$B$358</definedName>
    <definedName name="RdsonDRB2" localSheetId="2">'[1]Variable Management'!$B$360</definedName>
    <definedName name="RdsonDRB2">'Variable Management'!$B$359</definedName>
    <definedName name="RdsonDRT" localSheetId="2">'[1]Variable Management'!$B$356</definedName>
    <definedName name="RdsonDRT">'Variable Management'!$B$355</definedName>
    <definedName name="RdsonDRT2" localSheetId="2">'[1]Variable Management'!$B$357</definedName>
    <definedName name="RdsonDRT2">'Variable Management'!$B$356</definedName>
    <definedName name="RdsonTopTc" localSheetId="2">'[1]Variable Management'!$B$368</definedName>
    <definedName name="RdsonTopTc">'Variable Management'!$B$367</definedName>
    <definedName name="Rfadj" localSheetId="2">'[1]Variable Management'!$B$26</definedName>
    <definedName name="Rfadj">'Variable Management'!$B$25</definedName>
    <definedName name="Rfb1_" localSheetId="2">'[1]Variable Management'!$B$333</definedName>
    <definedName name="Rfb1_">'Variable Management'!$B$332</definedName>
    <definedName name="Rfb2_" localSheetId="2">'[1]Variable Management'!$B$334</definedName>
    <definedName name="Rfb2_">'Variable Management'!$B$333</definedName>
    <definedName name="Rfb2_u" localSheetId="2">'[1]Variable Management'!$B$335</definedName>
    <definedName name="Rfb2_u">'Variable Management'!$B$334</definedName>
    <definedName name="Rfets">'Variable Management'!$B$338</definedName>
    <definedName name="Rgate1" localSheetId="2">'[1]Variable Management'!$B$372</definedName>
    <definedName name="Rgate1">'Variable Management'!$B$371</definedName>
    <definedName name="Rgate2" localSheetId="2">'[1]Variable Management'!$D$372</definedName>
    <definedName name="Rgate2">'Variable Management'!$D$371</definedName>
    <definedName name="Rgate3">'Variable Management'!$B$388</definedName>
    <definedName name="Rgate4" localSheetId="2">'[1]Variable Management'!$D$389</definedName>
    <definedName name="Rgate4">'Variable Management'!$D$388</definedName>
    <definedName name="Ri" localSheetId="2">'[1]Variable Management'!$B$238</definedName>
    <definedName name="Ri">'Variable Management'!$B$238</definedName>
    <definedName name="Ro" localSheetId="2">'[1]Variable Management'!$B$303</definedName>
    <definedName name="Ro">'Variable Management'!$B$303</definedName>
    <definedName name="RoEA" localSheetId="2">'[1]Variable Management'!$B$289</definedName>
    <definedName name="RoEA">'Variable Management'!$B$289</definedName>
    <definedName name="Rout" localSheetId="2">'[1]Variable Management'!$B$14</definedName>
    <definedName name="Rout">'Variable Management'!$B$14</definedName>
    <definedName name="Rpg">'Variable Management'!$B$225</definedName>
    <definedName name="Rs" localSheetId="2">'[1]Variable Management'!$B$122</definedName>
    <definedName name="Rs">'Variable Management'!$B$122</definedName>
    <definedName name="Rs_ideal" localSheetId="2">'[1]Variable Management'!$B$121</definedName>
    <definedName name="Rs_ideal">'Variable Management'!$B$121</definedName>
    <definedName name="Rsb">'Variable Management'!$B$226</definedName>
    <definedName name="Rshunt" localSheetId="2">'[1]Variable Management'!$B$156</definedName>
    <definedName name="Rshunt">'Variable Management'!$B$156</definedName>
    <definedName name="Rshunt_std" localSheetId="2">'[1]Standard Value Calculator'!$O$21</definedName>
    <definedName name="Rshunt_std">'Standard Value Calculator'!$O$21</definedName>
    <definedName name="Rslope">'[1]Variable Management'!$B$141</definedName>
    <definedName name="Rslope_ideal">'[1]Variable Management'!$B$139</definedName>
    <definedName name="Ruvlo1" localSheetId="2">'[1]Variable Management'!$B$212</definedName>
    <definedName name="Ruvlo1">'Variable Management'!$B$212</definedName>
    <definedName name="Ruvlo2" localSheetId="2">'[1]Variable Management'!$B$213</definedName>
    <definedName name="Ruvlo2">'Variable Management'!$B$213</definedName>
    <definedName name="SCH_DITH">'Schematic Management'!$B$5</definedName>
    <definedName name="SCH_NO_DITH">'Schematic Management'!$B$8</definedName>
    <definedName name="SCH_WITH_DITH">'Schematic Management'!$B$5</definedName>
    <definedName name="Se" localSheetId="2">'[1]Variable Management'!$B$246</definedName>
    <definedName name="Se">'Variable Management'!$B$246</definedName>
    <definedName name="Se_ext" localSheetId="2">'[1]Variable Management'!$B$254</definedName>
    <definedName name="Se_ext">'Variable Management'!$B$254</definedName>
    <definedName name="Se_fixed" localSheetId="2">'[1]Variable Management'!$B$244</definedName>
    <definedName name="Se_fixed">'Variable Management'!$B$244</definedName>
    <definedName name="Se_proportional" localSheetId="2">'[1]Variable Management'!$B$245</definedName>
    <definedName name="Se_proportional">'Variable Management'!$B$245</definedName>
    <definedName name="Sf" localSheetId="2">'[1]Variable Management'!$B$256</definedName>
    <definedName name="Sf">'Variable Management'!$B$256</definedName>
    <definedName name="Sn" localSheetId="2">'[1]Variable Management'!$B$255</definedName>
    <definedName name="Sn">'Variable Management'!$B$255</definedName>
    <definedName name="T1_to_T2_Fsw">[1]Timings!$B$20</definedName>
    <definedName name="T12_min">[1]Timings!$B$10</definedName>
    <definedName name="T2_to_T3_Fsw">[1]Timings!$B$21</definedName>
    <definedName name="T23_min">[1]Timings!$B$11</definedName>
    <definedName name="T3_to_T4_Fsw">[1]Timings!$B$22</definedName>
    <definedName name="Ta" localSheetId="2">'[1]Variable Management'!$B$348</definedName>
    <definedName name="Ta">'Variable Management'!$B$347</definedName>
    <definedName name="TBubo">[1]Timings!$B$39</definedName>
    <definedName name="Tf_boost" localSheetId="2">'[1]Variable Management'!$D$409</definedName>
    <definedName name="Tf_boost">'Variable Management'!$D$408</definedName>
    <definedName name="Tf_buck" localSheetId="2">'[1]Variable Management'!$B$409</definedName>
    <definedName name="Tf_buck">'Variable Management'!$B$408</definedName>
    <definedName name="ThetaCa" localSheetId="2">'[1]Variable Management'!$B$351</definedName>
    <definedName name="ThetaCa">'Variable Management'!$B$350</definedName>
    <definedName name="ThetaJA_Q1" localSheetId="2">'[1]Variable Management'!$B$380</definedName>
    <definedName name="ThetaJA_Q1">'Variable Management'!$B$379</definedName>
    <definedName name="ThetaJA_Q2" localSheetId="2">'[1]Variable Management'!$D$380</definedName>
    <definedName name="ThetaJA_Q2">'Variable Management'!$D$379</definedName>
    <definedName name="ThetaJA_Q3" localSheetId="2">'[1]Variable Management'!$B$397</definedName>
    <definedName name="ThetaJA_Q3">'Variable Management'!$B$396</definedName>
    <definedName name="ThetaJA_Q4" localSheetId="2">'[1]Variable Management'!$D$397</definedName>
    <definedName name="ThetaJA_Q4">'Variable Management'!$D$396</definedName>
    <definedName name="ThetaJaCtrl" localSheetId="2">'[1]Variable Management'!$B$405</definedName>
    <definedName name="ThetaJaCtrl">'Variable Management'!$B$404</definedName>
    <definedName name="TL">'Variable Management'!$B$96</definedName>
    <definedName name="Toff_min_buck">'Variable Management'!$B$28</definedName>
    <definedName name="Toff_Vinmax" localSheetId="2">'[1]Variable Management'!$B$262</definedName>
    <definedName name="Toff_Vinmax">'Variable Management'!$B$262</definedName>
    <definedName name="Ton_min_boost">'Variable Management'!$B$29</definedName>
    <definedName name="Ton_Vinmin" localSheetId="2">'[1]Variable Management'!$B$264</definedName>
    <definedName name="Ton_Vinmin">'Variable Management'!$B$264</definedName>
    <definedName name="TonBubo">[1]Timings!$B$40</definedName>
    <definedName name="Tr_boost" localSheetId="2">'[1]Variable Management'!$D$408</definedName>
    <definedName name="Tr_boost">'Variable Management'!$D$407</definedName>
    <definedName name="Tr_buck" localSheetId="2">'[1]Variable Management'!$B$408</definedName>
    <definedName name="Tr_buck">'Variable Management'!$B$407</definedName>
    <definedName name="Trr_Q1">'Variable Management'!$B$378</definedName>
    <definedName name="Trr_Q2" localSheetId="2">'[1]Variable Management'!$D$379</definedName>
    <definedName name="Trr_Q2">'Variable Management'!$D$378</definedName>
    <definedName name="Trr_Q3">'Variable Management'!$B$395</definedName>
    <definedName name="Trr_Q4">'Variable Management'!$D$395</definedName>
    <definedName name="Ts">'Variable Management'!$B$23</definedName>
    <definedName name="Tss" localSheetId="2">'[1]Variable Management'!$B$203</definedName>
    <definedName name="Tss">'Variable Management'!$B$203</definedName>
    <definedName name="V_sc_fixed" localSheetId="2">'[1]Variable Management'!$B$248</definedName>
    <definedName name="V_sc_fixed">'Variable Management'!$B$248</definedName>
    <definedName name="V_sc_proportional">'Variable Management'!$B$249</definedName>
    <definedName name="V_sc_total">'Variable Management'!$B$250</definedName>
    <definedName name="Vdd" localSheetId="2">'[1]Variable Management'!$B$354</definedName>
    <definedName name="Vdd">'Variable Management'!$B$353</definedName>
    <definedName name="VfdSky_Q2" localSheetId="2">'[1]Variable Management'!$B$400</definedName>
    <definedName name="VfdSky_Q2">'Variable Management'!$B$399</definedName>
    <definedName name="VfdSky_Q3" localSheetId="2">'[1]Variable Management'!$D$400</definedName>
    <definedName name="VfdSky_Q3">'Variable Management'!$D$399</definedName>
    <definedName name="Vin" localSheetId="2">'[1]Variable Management'!$B$8</definedName>
    <definedName name="Vin">'Variable Management'!$B$8</definedName>
    <definedName name="VIN_BB_to_boost">'[1]Variable Management'!$B$40</definedName>
    <definedName name="VIN_BB_to_buck" localSheetId="2">'[1]Variable Management'!$B$43</definedName>
    <definedName name="VIN_BB_to_buck">'Variable Management'!$B$43</definedName>
    <definedName name="VIN_boost_to_BB" localSheetId="2">'[1]Variable Management'!$B$41</definedName>
    <definedName name="VIN_boost_to_BB">'Variable Management'!$B$41</definedName>
    <definedName name="VIN_edgebuckboost" localSheetId="2">'[1]Variable Management'!$B$10</definedName>
    <definedName name="VIN_edgebuckboost">'Variable Management'!$B$10</definedName>
    <definedName name="VIN_max" localSheetId="2">'[1]Variable Management'!$B$9</definedName>
    <definedName name="VIN_max">'Variable Management'!$B$9</definedName>
    <definedName name="VIN_min" localSheetId="2">'[1]Variable Management'!$B$7</definedName>
    <definedName name="VIN_min">'Variable Management'!$B$7</definedName>
    <definedName name="VIN_nom" localSheetId="2">'[1]Variable Management'!$B$8</definedName>
    <definedName name="VIN_nom">'Variable Management'!$B$8</definedName>
    <definedName name="Vinripple1" localSheetId="2">'[1]Variable Management'!$B$183</definedName>
    <definedName name="Vinripple1">'Variable Management'!$B$183</definedName>
    <definedName name="Vinripple2" localSheetId="2">'[1]Variable Management'!$B$198</definedName>
    <definedName name="Vinripple2">'Variable Management'!$B$198</definedName>
    <definedName name="VINuvlo_off">'Variable Management'!$B$211</definedName>
    <definedName name="VINuvlo_on" localSheetId="2">'[1]Variable Management'!$B$210</definedName>
    <definedName name="VINuvlo_on">'Variable Management'!$B$210</definedName>
    <definedName name="Vout" localSheetId="2">'[1]Variable Management'!$B$12</definedName>
    <definedName name="Vout">'Variable Management'!$B$12</definedName>
    <definedName name="Vref" localSheetId="2">'[1]Variable Management'!$B$24</definedName>
    <definedName name="Vref">'Variable Management'!$B$24</definedName>
    <definedName name="Vripple1" localSheetId="2">'[1]Variable Management'!$B$76</definedName>
    <definedName name="Vripple1">'Variable Management'!$B$76</definedName>
    <definedName name="Vripple2" localSheetId="2">'[1]Variable Management'!$B$174</definedName>
    <definedName name="Vripple2">'Variable Management'!$B$174</definedName>
    <definedName name="Vsd_Q1" localSheetId="2">'[1]Variable Management'!$B$377</definedName>
    <definedName name="Vsd_Q1">'Variable Management'!$B$376</definedName>
    <definedName name="Vsd_Q2" localSheetId="2">'[1]Variable Management'!$D$377</definedName>
    <definedName name="Vsd_Q2">'Variable Management'!$D$376</definedName>
    <definedName name="Vsd_Q3" localSheetId="2">'[1]Variable Management'!$B$394</definedName>
    <definedName name="Vsd_Q3">'Variable Management'!$B$393</definedName>
    <definedName name="Vsd_Q4" localSheetId="2">'[1]Variable Management'!$D$394</definedName>
    <definedName name="Vsd_Q4">'Variable Management'!$D$393</definedName>
    <definedName name="Vsp_Q1" localSheetId="2">'[1]Variable Management'!$B$375</definedName>
    <definedName name="Vsp_Q1">'Variable Management'!$B$374</definedName>
    <definedName name="Vsp_Q2">'Variable Management'!$D$374</definedName>
    <definedName name="Vsp_Q3">'Variable Management'!$B$391</definedName>
    <definedName name="Vsp_Q4" localSheetId="2">'[1]Variable Management'!$D$392</definedName>
    <definedName name="Vsp_Q4">'Variable Management'!$D$391</definedName>
    <definedName name="Vth_Q1" localSheetId="2">'[1]Variable Management'!$B$374</definedName>
    <definedName name="Vth_Q1">'Variable Management'!$B$373</definedName>
    <definedName name="Vth_Q2" localSheetId="2">'[1]Variable Management'!$D$374</definedName>
    <definedName name="Vth_Q2">'Variable Management'!$D$373</definedName>
    <definedName name="Vth_Q3" localSheetId="2">'[1]Variable Management'!$B$391</definedName>
    <definedName name="Vth_Q3">'Variable Management'!$B$390</definedName>
    <definedName name="Vth_Q4" localSheetId="2">'[1]Variable Management'!$D$391</definedName>
    <definedName name="Vth_Q4">'Variable Management'!$D$390</definedName>
    <definedName name="Vuvlo_hys">'Variable Management'!$B$220</definedName>
    <definedName name="Vuvlo_off" localSheetId="2">'[1]Variable Management'!$B$219</definedName>
    <definedName name="Vuvlo_off">'Variable Management'!$B$219</definedName>
    <definedName name="Vuvlo_on" localSheetId="2">'[1]Variable Management'!$B$218</definedName>
    <definedName name="Vuvlo_on">'Variable Management'!$B$218</definedName>
    <definedName name="With_RCS">'[1]Variable Management'!$B$157</definedName>
    <definedName name="z_RHP" localSheetId="2">'[1]Stability Calculations'!$K$5</definedName>
    <definedName name="z_RHP">'Stability Calculations'!$K$5</definedName>
    <definedName name="Zero1" localSheetId="2">'[1]Stability Calculations'!$K$3</definedName>
    <definedName name="Zero1">'Stability Calculations'!$K$3</definedName>
    <definedName name="Zero2" localSheetId="2">'[1]Stability Calculations'!$C$4</definedName>
    <definedName name="Zero2">'Stability Calculations'!$C$4</definedName>
  </definedNames>
  <calcPr calcId="191029"/>
</workbook>
</file>

<file path=xl/calcChain.xml><?xml version="1.0" encoding="utf-8"?>
<calcChain xmlns="http://schemas.openxmlformats.org/spreadsheetml/2006/main">
  <c r="B290" i="2" l="1"/>
  <c r="B291" i="2" s="1"/>
  <c r="D61" i="1" l="1"/>
  <c r="C450" i="2"/>
  <c r="F60" i="1"/>
  <c r="F61" i="1"/>
  <c r="A2" i="22"/>
  <c r="B353" i="2" l="1"/>
  <c r="B68" i="21" l="1"/>
  <c r="B69" i="21" s="1"/>
  <c r="B60" i="21"/>
  <c r="B55" i="21"/>
  <c r="B35" i="21"/>
  <c r="B33" i="21"/>
  <c r="B30" i="21"/>
  <c r="B28" i="21"/>
  <c r="B27" i="21"/>
  <c r="B21" i="21"/>
  <c r="B15" i="21"/>
  <c r="B29" i="2"/>
  <c r="B60" i="20"/>
  <c r="B55" i="20"/>
  <c r="B35" i="20"/>
  <c r="B33" i="20"/>
  <c r="B30" i="20"/>
  <c r="B28" i="20"/>
  <c r="B27" i="20"/>
  <c r="B21" i="20"/>
  <c r="B15" i="20"/>
  <c r="A2" i="19"/>
  <c r="D400" i="2" l="1"/>
  <c r="D399" i="2"/>
  <c r="D396" i="2"/>
  <c r="D394" i="2"/>
  <c r="D393" i="2"/>
  <c r="D390" i="2"/>
  <c r="D389" i="2"/>
  <c r="D387" i="2"/>
  <c r="D386" i="2"/>
  <c r="D385" i="2"/>
  <c r="D383" i="2"/>
  <c r="D379" i="2"/>
  <c r="D377" i="2"/>
  <c r="B54" i="21" s="1"/>
  <c r="D376" i="2"/>
  <c r="B53" i="21" s="1"/>
  <c r="D373" i="2"/>
  <c r="D372" i="2"/>
  <c r="D371" i="2"/>
  <c r="B52" i="21" s="1"/>
  <c r="D370" i="2"/>
  <c r="D369" i="2"/>
  <c r="D368" i="2"/>
  <c r="B51" i="21" s="1"/>
  <c r="D366" i="2"/>
  <c r="B49" i="21" s="1"/>
  <c r="B56" i="20" l="1"/>
  <c r="B56" i="21"/>
  <c r="B52" i="20"/>
  <c r="B54" i="20"/>
  <c r="B51" i="20"/>
  <c r="B53" i="20"/>
  <c r="B49" i="20"/>
  <c r="K175" i="2"/>
  <c r="B389" i="2"/>
  <c r="B390" i="2"/>
  <c r="B386" i="2"/>
  <c r="B387" i="2"/>
  <c r="B377" i="2"/>
  <c r="B438" i="2"/>
  <c r="A55" i="16"/>
  <c r="C72" i="16" l="1"/>
  <c r="B424" i="2"/>
  <c r="A424" i="2"/>
  <c r="A426" i="2"/>
  <c r="B434" i="2"/>
  <c r="A56" i="16"/>
  <c r="A433" i="2"/>
  <c r="V13" i="17"/>
  <c r="V14" i="17"/>
  <c r="V15" i="17"/>
  <c r="V16" i="17"/>
  <c r="V17" i="17"/>
  <c r="V18" i="17"/>
  <c r="V19" i="17"/>
  <c r="V20" i="17"/>
  <c r="V21" i="17"/>
  <c r="V22" i="17"/>
  <c r="V23" i="17"/>
  <c r="V24" i="17"/>
  <c r="V25" i="17"/>
  <c r="V26" i="17"/>
  <c r="V27" i="17"/>
  <c r="V28" i="17"/>
  <c r="V29" i="17"/>
  <c r="V30" i="17"/>
  <c r="V31" i="17"/>
  <c r="V32" i="17"/>
  <c r="V33" i="17"/>
  <c r="V34" i="17"/>
  <c r="V35" i="17"/>
  <c r="V36" i="17"/>
  <c r="V37" i="17"/>
  <c r="V38" i="17"/>
  <c r="V39" i="17"/>
  <c r="V40" i="17"/>
  <c r="V41" i="17"/>
  <c r="V42" i="17"/>
  <c r="V43" i="17"/>
  <c r="V44" i="17"/>
  <c r="V45" i="17"/>
  <c r="V46" i="17"/>
  <c r="V47" i="17"/>
  <c r="V48" i="17"/>
  <c r="V49" i="17"/>
  <c r="V50" i="17"/>
  <c r="V51" i="17"/>
  <c r="V52" i="17"/>
  <c r="V53" i="17"/>
  <c r="V54" i="17"/>
  <c r="V55" i="17"/>
  <c r="V56" i="17"/>
  <c r="V57" i="17"/>
  <c r="V58" i="17"/>
  <c r="V59" i="17"/>
  <c r="V60" i="17"/>
  <c r="V61" i="17"/>
  <c r="V62" i="17"/>
  <c r="V63" i="17"/>
  <c r="V64" i="17"/>
  <c r="V65" i="17"/>
  <c r="V66" i="17"/>
  <c r="V67" i="17"/>
  <c r="V68" i="17"/>
  <c r="V69" i="17"/>
  <c r="V70" i="17"/>
  <c r="V71" i="17"/>
  <c r="V72" i="17"/>
  <c r="V73" i="17"/>
  <c r="V74" i="17"/>
  <c r="V75" i="17"/>
  <c r="V76" i="17"/>
  <c r="V77" i="17"/>
  <c r="V78" i="17"/>
  <c r="V79" i="17"/>
  <c r="V80" i="17"/>
  <c r="V81" i="17"/>
  <c r="V82" i="17"/>
  <c r="V83" i="17"/>
  <c r="V84" i="17"/>
  <c r="V85" i="17"/>
  <c r="V86" i="17"/>
  <c r="V87" i="17"/>
  <c r="V88" i="17"/>
  <c r="V89" i="17"/>
  <c r="V90" i="17"/>
  <c r="V91" i="17"/>
  <c r="V92" i="17"/>
  <c r="V93" i="17"/>
  <c r="V94" i="17"/>
  <c r="V95" i="17"/>
  <c r="V96" i="17"/>
  <c r="V97" i="17"/>
  <c r="V98" i="17"/>
  <c r="V99" i="17"/>
  <c r="V100" i="17"/>
  <c r="V101" i="17"/>
  <c r="V102" i="17"/>
  <c r="V103" i="17"/>
  <c r="V104" i="17"/>
  <c r="V105" i="17"/>
  <c r="V106" i="17"/>
  <c r="V107" i="17"/>
  <c r="V108" i="17"/>
  <c r="V109" i="17"/>
  <c r="V110" i="17"/>
  <c r="V111" i="17"/>
  <c r="V112" i="17"/>
  <c r="V113" i="17"/>
  <c r="V114" i="17"/>
  <c r="V115" i="17"/>
  <c r="V116" i="17"/>
  <c r="V117" i="17"/>
  <c r="V118" i="17"/>
  <c r="V119" i="17"/>
  <c r="V120" i="17"/>
  <c r="V121" i="17"/>
  <c r="V122" i="17"/>
  <c r="V123" i="17"/>
  <c r="V124" i="17"/>
  <c r="V125" i="17"/>
  <c r="V126" i="17"/>
  <c r="V127" i="17"/>
  <c r="V128" i="17"/>
  <c r="V129" i="17"/>
  <c r="V130" i="17"/>
  <c r="V131" i="17"/>
  <c r="V132" i="17"/>
  <c r="V133" i="17"/>
  <c r="V134" i="17"/>
  <c r="V135" i="17"/>
  <c r="V136" i="17"/>
  <c r="V137" i="17"/>
  <c r="V138" i="17"/>
  <c r="V139" i="17"/>
  <c r="V140" i="17"/>
  <c r="V141" i="17"/>
  <c r="V142" i="17"/>
  <c r="V143" i="17"/>
  <c r="V144" i="17"/>
  <c r="V145" i="17"/>
  <c r="V146" i="17"/>
  <c r="V147" i="17"/>
  <c r="V148" i="17"/>
  <c r="V149" i="17"/>
  <c r="V150" i="17"/>
  <c r="V151" i="17"/>
  <c r="V152" i="17"/>
  <c r="V153" i="17"/>
  <c r="V154" i="17"/>
  <c r="V155" i="17"/>
  <c r="V156" i="17"/>
  <c r="V157" i="17"/>
  <c r="V158" i="17"/>
  <c r="V159" i="17"/>
  <c r="V160" i="17"/>
  <c r="V161" i="17"/>
  <c r="V162" i="17"/>
  <c r="V163" i="17"/>
  <c r="V164" i="17"/>
  <c r="V165" i="17"/>
  <c r="V166" i="17"/>
  <c r="V167" i="17"/>
  <c r="V168" i="17"/>
  <c r="V169" i="17"/>
  <c r="V170" i="17"/>
  <c r="V171" i="17"/>
  <c r="V172" i="17"/>
  <c r="V173" i="17"/>
  <c r="V174" i="17"/>
  <c r="V175" i="17"/>
  <c r="V176" i="17"/>
  <c r="V177" i="17"/>
  <c r="V178" i="17"/>
  <c r="V179" i="17"/>
  <c r="V180" i="17"/>
  <c r="V181" i="17"/>
  <c r="V182" i="17"/>
  <c r="V183" i="17"/>
  <c r="V184" i="17"/>
  <c r="V185" i="17"/>
  <c r="V186" i="17"/>
  <c r="V187" i="17"/>
  <c r="V188" i="17"/>
  <c r="V189" i="17"/>
  <c r="V190" i="17"/>
  <c r="V191" i="17"/>
  <c r="V192" i="17"/>
  <c r="V193" i="17"/>
  <c r="V194" i="17"/>
  <c r="V195" i="17"/>
  <c r="V196" i="17"/>
  <c r="V197" i="17"/>
  <c r="V198" i="17"/>
  <c r="V199" i="17"/>
  <c r="V200" i="17"/>
  <c r="V201" i="17"/>
  <c r="V202" i="17"/>
  <c r="V203" i="17"/>
  <c r="V204" i="17"/>
  <c r="V205" i="17"/>
  <c r="V206" i="17"/>
  <c r="V207" i="17"/>
  <c r="V208" i="17"/>
  <c r="V209" i="17"/>
  <c r="V210" i="17"/>
  <c r="V211" i="17"/>
  <c r="V212" i="17"/>
  <c r="V213" i="17"/>
  <c r="V214" i="17"/>
  <c r="V215" i="17"/>
  <c r="V216" i="17"/>
  <c r="V217" i="17"/>
  <c r="V218" i="17"/>
  <c r="V219" i="17"/>
  <c r="V220" i="17"/>
  <c r="V221" i="17"/>
  <c r="V222" i="17"/>
  <c r="V223" i="17"/>
  <c r="V224" i="17"/>
  <c r="V225" i="17"/>
  <c r="V226" i="17"/>
  <c r="V227" i="17"/>
  <c r="V228" i="17"/>
  <c r="V229" i="17"/>
  <c r="V230" i="17"/>
  <c r="V231" i="17"/>
  <c r="V232" i="17"/>
  <c r="V233" i="17"/>
  <c r="V234" i="17"/>
  <c r="V235" i="17"/>
  <c r="V236" i="17"/>
  <c r="V237" i="17"/>
  <c r="V238" i="17"/>
  <c r="V239" i="17"/>
  <c r="V240" i="17"/>
  <c r="V241" i="17"/>
  <c r="V242" i="17"/>
  <c r="V243" i="17"/>
  <c r="V244" i="17"/>
  <c r="V245" i="17"/>
  <c r="V246" i="17"/>
  <c r="V247" i="17"/>
  <c r="V248" i="17"/>
  <c r="V249" i="17"/>
  <c r="V250" i="17"/>
  <c r="V251" i="17"/>
  <c r="V252" i="17"/>
  <c r="V253" i="17"/>
  <c r="V254" i="17"/>
  <c r="V255" i="17"/>
  <c r="V256" i="17"/>
  <c r="V257" i="17"/>
  <c r="V258" i="17"/>
  <c r="V259" i="17"/>
  <c r="V260" i="17"/>
  <c r="V261" i="17"/>
  <c r="V262" i="17"/>
  <c r="V263" i="17"/>
  <c r="V264" i="17"/>
  <c r="V265" i="17"/>
  <c r="V266" i="17"/>
  <c r="V267" i="17"/>
  <c r="V268" i="17"/>
  <c r="V269" i="17"/>
  <c r="V270" i="17"/>
  <c r="V271" i="17"/>
  <c r="V272" i="17"/>
  <c r="V273" i="17"/>
  <c r="V274" i="17"/>
  <c r="V275" i="17"/>
  <c r="V276" i="17"/>
  <c r="V277" i="17"/>
  <c r="V278" i="17"/>
  <c r="V279" i="17"/>
  <c r="V280" i="17"/>
  <c r="V281" i="17"/>
  <c r="V282" i="17"/>
  <c r="V283" i="17"/>
  <c r="V284" i="17"/>
  <c r="V285" i="17"/>
  <c r="V286" i="17"/>
  <c r="V287" i="17"/>
  <c r="V288" i="17"/>
  <c r="V289" i="17"/>
  <c r="V290" i="17"/>
  <c r="V291" i="17"/>
  <c r="V292" i="17"/>
  <c r="V293" i="17"/>
  <c r="V294" i="17"/>
  <c r="V295" i="17"/>
  <c r="V296" i="17"/>
  <c r="V297" i="17"/>
  <c r="V298" i="17"/>
  <c r="V299" i="17"/>
  <c r="V300" i="17"/>
  <c r="V301" i="17"/>
  <c r="V302" i="17"/>
  <c r="V303" i="17"/>
  <c r="V304" i="17"/>
  <c r="V305" i="17"/>
  <c r="V306" i="17"/>
  <c r="V307" i="17"/>
  <c r="V308" i="17"/>
  <c r="V309" i="17"/>
  <c r="V310" i="17"/>
  <c r="V311" i="17"/>
  <c r="V312" i="17"/>
  <c r="V313" i="17"/>
  <c r="V314" i="17"/>
  <c r="V315" i="17"/>
  <c r="V316" i="17"/>
  <c r="V317" i="17"/>
  <c r="V318" i="17"/>
  <c r="V319" i="17"/>
  <c r="V320" i="17"/>
  <c r="V321" i="17"/>
  <c r="V322" i="17"/>
  <c r="V323" i="17"/>
  <c r="V324" i="17"/>
  <c r="V325" i="17"/>
  <c r="V326" i="17"/>
  <c r="V327" i="17"/>
  <c r="V328" i="17"/>
  <c r="V329" i="17"/>
  <c r="V330" i="17"/>
  <c r="V331" i="17"/>
  <c r="V332" i="17"/>
  <c r="V333" i="17"/>
  <c r="V334" i="17"/>
  <c r="V335" i="17"/>
  <c r="V336" i="17"/>
  <c r="V337" i="17"/>
  <c r="V338" i="17"/>
  <c r="V339" i="17"/>
  <c r="V340" i="17"/>
  <c r="V341" i="17"/>
  <c r="V342" i="17"/>
  <c r="V343" i="17"/>
  <c r="V344" i="17"/>
  <c r="V345" i="17"/>
  <c r="V346" i="17"/>
  <c r="V347" i="17"/>
  <c r="V348" i="17"/>
  <c r="V349" i="17"/>
  <c r="V350" i="17"/>
  <c r="V351" i="17"/>
  <c r="V352" i="17"/>
  <c r="V353" i="17"/>
  <c r="V354" i="17"/>
  <c r="V355" i="17"/>
  <c r="V356" i="17"/>
  <c r="V357" i="17"/>
  <c r="V358" i="17"/>
  <c r="V359" i="17"/>
  <c r="V360" i="17"/>
  <c r="V361" i="17"/>
  <c r="V362" i="17"/>
  <c r="V363" i="17"/>
  <c r="V364" i="17"/>
  <c r="V365" i="17"/>
  <c r="V366" i="17"/>
  <c r="V367" i="17"/>
  <c r="V368" i="17"/>
  <c r="V369" i="17"/>
  <c r="V370" i="17"/>
  <c r="V371" i="17"/>
  <c r="V372" i="17"/>
  <c r="V373" i="17"/>
  <c r="V374" i="17"/>
  <c r="V375" i="17"/>
  <c r="V376" i="17"/>
  <c r="V377" i="17"/>
  <c r="V378" i="17"/>
  <c r="V379" i="17"/>
  <c r="V380" i="17"/>
  <c r="V381" i="17"/>
  <c r="V382" i="17"/>
  <c r="V383" i="17"/>
  <c r="V384" i="17"/>
  <c r="V385" i="17"/>
  <c r="V386" i="17"/>
  <c r="V387" i="17"/>
  <c r="V388" i="17"/>
  <c r="V389" i="17"/>
  <c r="V390" i="17"/>
  <c r="V391" i="17"/>
  <c r="V392" i="17"/>
  <c r="V393" i="17"/>
  <c r="V394" i="17"/>
  <c r="V395" i="17"/>
  <c r="V396" i="17"/>
  <c r="V397" i="17"/>
  <c r="V398" i="17"/>
  <c r="V399" i="17"/>
  <c r="V400" i="17"/>
  <c r="V401" i="17"/>
  <c r="V402" i="17"/>
  <c r="V403" i="17"/>
  <c r="V404" i="17"/>
  <c r="V405" i="17"/>
  <c r="V406" i="17"/>
  <c r="V407" i="17"/>
  <c r="V408" i="17"/>
  <c r="V409" i="17"/>
  <c r="V410" i="17"/>
  <c r="V411" i="17"/>
  <c r="V412" i="17"/>
  <c r="V413" i="17"/>
  <c r="V414" i="17"/>
  <c r="V415" i="17"/>
  <c r="V416" i="17"/>
  <c r="V417" i="17"/>
  <c r="V418" i="17"/>
  <c r="V419" i="17"/>
  <c r="V420" i="17"/>
  <c r="V421" i="17"/>
  <c r="V422" i="17"/>
  <c r="V423" i="17"/>
  <c r="V424" i="17"/>
  <c r="V425" i="17"/>
  <c r="V426" i="17"/>
  <c r="V427" i="17"/>
  <c r="V428" i="17"/>
  <c r="V429" i="17"/>
  <c r="V430" i="17"/>
  <c r="V431" i="17"/>
  <c r="V432" i="17"/>
  <c r="V433" i="17"/>
  <c r="V434" i="17"/>
  <c r="V435" i="17"/>
  <c r="V436" i="17"/>
  <c r="V437" i="17"/>
  <c r="V438" i="17"/>
  <c r="V439" i="17"/>
  <c r="V440" i="17"/>
  <c r="V441" i="17"/>
  <c r="V442" i="17"/>
  <c r="V443" i="17"/>
  <c r="V444" i="17"/>
  <c r="V445" i="17"/>
  <c r="V446" i="17"/>
  <c r="V447" i="17"/>
  <c r="V448" i="17"/>
  <c r="V449" i="17"/>
  <c r="V450" i="17"/>
  <c r="V451" i="17"/>
  <c r="V452" i="17"/>
  <c r="V453" i="17"/>
  <c r="V454" i="17"/>
  <c r="V455" i="17"/>
  <c r="V456" i="17"/>
  <c r="V457" i="17"/>
  <c r="V458" i="17"/>
  <c r="V459" i="17"/>
  <c r="V460" i="17"/>
  <c r="V461" i="17"/>
  <c r="V462" i="17"/>
  <c r="V463" i="17"/>
  <c r="V464" i="17"/>
  <c r="V465" i="17"/>
  <c r="V466" i="17"/>
  <c r="V467" i="17"/>
  <c r="V468" i="17"/>
  <c r="V469" i="17"/>
  <c r="V470" i="17"/>
  <c r="V471" i="17"/>
  <c r="V472" i="17"/>
  <c r="V473" i="17"/>
  <c r="V474" i="17"/>
  <c r="V475" i="17"/>
  <c r="V476" i="17"/>
  <c r="V477" i="17"/>
  <c r="V478" i="17"/>
  <c r="V479" i="17"/>
  <c r="V480" i="17"/>
  <c r="V481" i="17"/>
  <c r="V482" i="17"/>
  <c r="V483" i="17"/>
  <c r="V484" i="17"/>
  <c r="V485" i="17"/>
  <c r="V486" i="17"/>
  <c r="V487" i="17"/>
  <c r="V488" i="17"/>
  <c r="V489" i="17"/>
  <c r="V490" i="17"/>
  <c r="V491" i="17"/>
  <c r="V492" i="17"/>
  <c r="V493" i="17"/>
  <c r="V494" i="17"/>
  <c r="V495" i="17"/>
  <c r="V496" i="17"/>
  <c r="V497" i="17"/>
  <c r="V498" i="17"/>
  <c r="V499" i="17"/>
  <c r="V500" i="17"/>
  <c r="V501" i="17"/>
  <c r="V502" i="17"/>
  <c r="V503" i="17"/>
  <c r="V504" i="17"/>
  <c r="V505" i="17"/>
  <c r="V506" i="17"/>
  <c r="V507" i="17"/>
  <c r="V508" i="17"/>
  <c r="V509" i="17"/>
  <c r="V510" i="17"/>
  <c r="V511" i="17"/>
  <c r="V512" i="17"/>
  <c r="V513" i="17"/>
  <c r="V514" i="17"/>
  <c r="V515" i="17"/>
  <c r="V516" i="17"/>
  <c r="V517" i="17"/>
  <c r="V518" i="17"/>
  <c r="V519" i="17"/>
  <c r="V520" i="17"/>
  <c r="V521" i="17"/>
  <c r="V522" i="17"/>
  <c r="V523" i="17"/>
  <c r="V524" i="17"/>
  <c r="V525" i="17"/>
  <c r="V526" i="17"/>
  <c r="V527" i="17"/>
  <c r="V528" i="17"/>
  <c r="V529" i="17"/>
  <c r="V530" i="17"/>
  <c r="V531" i="17"/>
  <c r="V532" i="17"/>
  <c r="V533" i="17"/>
  <c r="V534" i="17"/>
  <c r="V535" i="17"/>
  <c r="V536" i="17"/>
  <c r="V537" i="17"/>
  <c r="V538" i="17"/>
  <c r="V539" i="17"/>
  <c r="V540" i="17"/>
  <c r="V541" i="17"/>
  <c r="V542" i="17"/>
  <c r="V543" i="17"/>
  <c r="V544" i="17"/>
  <c r="V545" i="17"/>
  <c r="V546" i="17"/>
  <c r="V547" i="17"/>
  <c r="V548" i="17"/>
  <c r="V549" i="17"/>
  <c r="V550" i="17"/>
  <c r="V551" i="17"/>
  <c r="V552" i="17"/>
  <c r="V553" i="17"/>
  <c r="V554" i="17"/>
  <c r="V555" i="17"/>
  <c r="V556" i="17"/>
  <c r="V557" i="17"/>
  <c r="V558" i="17"/>
  <c r="V559" i="17"/>
  <c r="V560" i="17"/>
  <c r="V561" i="17"/>
  <c r="V562" i="17"/>
  <c r="V563" i="17"/>
  <c r="V564" i="17"/>
  <c r="V565" i="17"/>
  <c r="V566" i="17"/>
  <c r="V567" i="17"/>
  <c r="V568" i="17"/>
  <c r="V569" i="17"/>
  <c r="V570" i="17"/>
  <c r="V571" i="17"/>
  <c r="V572" i="17"/>
  <c r="V573" i="17"/>
  <c r="V574" i="17"/>
  <c r="V575" i="17"/>
  <c r="V576" i="17"/>
  <c r="V577" i="17"/>
  <c r="V578" i="17"/>
  <c r="V579" i="17"/>
  <c r="V580" i="17"/>
  <c r="V581" i="17"/>
  <c r="V582" i="17"/>
  <c r="V583" i="17"/>
  <c r="V584" i="17"/>
  <c r="V585" i="17"/>
  <c r="V586" i="17"/>
  <c r="V587" i="17"/>
  <c r="V588" i="17"/>
  <c r="V589" i="17"/>
  <c r="V590" i="17"/>
  <c r="V591" i="17"/>
  <c r="V592" i="17"/>
  <c r="V593" i="17"/>
  <c r="V594" i="17"/>
  <c r="V595" i="17"/>
  <c r="V596" i="17"/>
  <c r="V597" i="17"/>
  <c r="V598" i="17"/>
  <c r="V599" i="17"/>
  <c r="V600" i="17"/>
  <c r="V601" i="17"/>
  <c r="V602" i="17"/>
  <c r="V603" i="17"/>
  <c r="V604" i="17"/>
  <c r="V605" i="17"/>
  <c r="V606" i="17"/>
  <c r="V607" i="17"/>
  <c r="V608" i="17"/>
  <c r="V609" i="17"/>
  <c r="V610" i="17"/>
  <c r="V611" i="17"/>
  <c r="V612" i="17"/>
  <c r="V613" i="17"/>
  <c r="I3" i="17" l="1"/>
  <c r="B447" i="2"/>
  <c r="A447" i="2"/>
  <c r="B288" i="2"/>
  <c r="B122" i="2"/>
  <c r="B125" i="2" l="1"/>
  <c r="C65" i="16"/>
  <c r="B238" i="2"/>
  <c r="B124" i="2"/>
  <c r="B326" i="2"/>
  <c r="B446" i="2"/>
  <c r="A446" i="2"/>
  <c r="B445" i="2"/>
  <c r="A445" i="2"/>
  <c r="L294" i="2" l="1"/>
  <c r="B300" i="2"/>
  <c r="AE687" i="17" l="1"/>
  <c r="B14" i="17" l="1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40" i="17"/>
  <c r="B41" i="17"/>
  <c r="B42" i="17"/>
  <c r="B43" i="17"/>
  <c r="B44" i="17"/>
  <c r="B45" i="17"/>
  <c r="B46" i="17"/>
  <c r="B47" i="17"/>
  <c r="B48" i="17"/>
  <c r="B49" i="17"/>
  <c r="B50" i="17"/>
  <c r="B51" i="17"/>
  <c r="B52" i="17"/>
  <c r="B53" i="17"/>
  <c r="B54" i="17"/>
  <c r="B55" i="17"/>
  <c r="B56" i="17"/>
  <c r="B57" i="17"/>
  <c r="B58" i="17"/>
  <c r="B59" i="17"/>
  <c r="B60" i="17"/>
  <c r="B61" i="17"/>
  <c r="B62" i="17"/>
  <c r="B63" i="17"/>
  <c r="B64" i="17"/>
  <c r="B65" i="17"/>
  <c r="B66" i="17"/>
  <c r="B67" i="17"/>
  <c r="B68" i="17"/>
  <c r="B69" i="17"/>
  <c r="B70" i="17"/>
  <c r="B71" i="17"/>
  <c r="B72" i="17"/>
  <c r="B73" i="17"/>
  <c r="B74" i="17"/>
  <c r="B75" i="17"/>
  <c r="B76" i="17"/>
  <c r="B77" i="17"/>
  <c r="B78" i="17"/>
  <c r="B79" i="17"/>
  <c r="B80" i="17"/>
  <c r="B81" i="17"/>
  <c r="B82" i="17"/>
  <c r="B83" i="17"/>
  <c r="B84" i="17"/>
  <c r="B85" i="17"/>
  <c r="B86" i="17"/>
  <c r="B87" i="17"/>
  <c r="B88" i="17"/>
  <c r="B89" i="17"/>
  <c r="B90" i="17"/>
  <c r="B91" i="17"/>
  <c r="B92" i="17"/>
  <c r="B93" i="17"/>
  <c r="B94" i="17"/>
  <c r="B95" i="17"/>
  <c r="B96" i="17"/>
  <c r="B97" i="17"/>
  <c r="B98" i="17"/>
  <c r="B99" i="17"/>
  <c r="B100" i="17"/>
  <c r="B101" i="17"/>
  <c r="B102" i="17"/>
  <c r="B103" i="17"/>
  <c r="B104" i="17"/>
  <c r="B105" i="17"/>
  <c r="B106" i="17"/>
  <c r="B107" i="17"/>
  <c r="B108" i="17"/>
  <c r="B109" i="17"/>
  <c r="B110" i="17"/>
  <c r="B111" i="17"/>
  <c r="B112" i="17"/>
  <c r="B113" i="17"/>
  <c r="B114" i="17"/>
  <c r="B115" i="17"/>
  <c r="B116" i="17"/>
  <c r="B117" i="17"/>
  <c r="B118" i="17"/>
  <c r="B119" i="17"/>
  <c r="B120" i="17"/>
  <c r="B121" i="17"/>
  <c r="B122" i="17"/>
  <c r="B123" i="17"/>
  <c r="B124" i="17"/>
  <c r="B125" i="17"/>
  <c r="B126" i="17"/>
  <c r="B127" i="17"/>
  <c r="B128" i="17"/>
  <c r="B129" i="17"/>
  <c r="B130" i="17"/>
  <c r="B131" i="17"/>
  <c r="B132" i="17"/>
  <c r="B133" i="17"/>
  <c r="B134" i="17"/>
  <c r="B135" i="17"/>
  <c r="B136" i="17"/>
  <c r="B137" i="17"/>
  <c r="B138" i="17"/>
  <c r="B139" i="17"/>
  <c r="B140" i="17"/>
  <c r="B141" i="17"/>
  <c r="B142" i="17"/>
  <c r="B143" i="17"/>
  <c r="B144" i="17"/>
  <c r="B145" i="17"/>
  <c r="B146" i="17"/>
  <c r="B147" i="17"/>
  <c r="B148" i="17"/>
  <c r="B149" i="17"/>
  <c r="B150" i="17"/>
  <c r="B151" i="17"/>
  <c r="B152" i="17"/>
  <c r="B153" i="17"/>
  <c r="B154" i="17"/>
  <c r="B155" i="17"/>
  <c r="B156" i="17"/>
  <c r="B157" i="17"/>
  <c r="B158" i="17"/>
  <c r="B159" i="17"/>
  <c r="B160" i="17"/>
  <c r="B161" i="17"/>
  <c r="B162" i="17"/>
  <c r="B163" i="17"/>
  <c r="B164" i="17"/>
  <c r="B165" i="17"/>
  <c r="B166" i="17"/>
  <c r="B167" i="17"/>
  <c r="B168" i="17"/>
  <c r="B169" i="17"/>
  <c r="B170" i="17"/>
  <c r="B171" i="17"/>
  <c r="B172" i="17"/>
  <c r="B173" i="17"/>
  <c r="B174" i="17"/>
  <c r="B175" i="17"/>
  <c r="B176" i="17"/>
  <c r="B177" i="17"/>
  <c r="B178" i="17"/>
  <c r="B179" i="17"/>
  <c r="B180" i="17"/>
  <c r="B181" i="17"/>
  <c r="B182" i="17"/>
  <c r="B183" i="17"/>
  <c r="B184" i="17"/>
  <c r="B185" i="17"/>
  <c r="B186" i="17"/>
  <c r="B187" i="17"/>
  <c r="B188" i="17"/>
  <c r="B189" i="17"/>
  <c r="B190" i="17"/>
  <c r="B191" i="17"/>
  <c r="B192" i="17"/>
  <c r="B193" i="17"/>
  <c r="B194" i="17"/>
  <c r="B195" i="17"/>
  <c r="B196" i="17"/>
  <c r="B197" i="17"/>
  <c r="B198" i="17"/>
  <c r="B199" i="17"/>
  <c r="B200" i="17"/>
  <c r="B201" i="17"/>
  <c r="B202" i="17"/>
  <c r="B203" i="17"/>
  <c r="B204" i="17"/>
  <c r="B205" i="17"/>
  <c r="B206" i="17"/>
  <c r="B207" i="17"/>
  <c r="B208" i="17"/>
  <c r="B209" i="17"/>
  <c r="B210" i="17"/>
  <c r="B211" i="17"/>
  <c r="B212" i="17"/>
  <c r="B213" i="17"/>
  <c r="B214" i="17"/>
  <c r="B215" i="17"/>
  <c r="B216" i="17"/>
  <c r="B217" i="17"/>
  <c r="B218" i="17"/>
  <c r="B219" i="17"/>
  <c r="B220" i="17"/>
  <c r="B221" i="17"/>
  <c r="B222" i="17"/>
  <c r="B223" i="17"/>
  <c r="B224" i="17"/>
  <c r="B225" i="17"/>
  <c r="B226" i="17"/>
  <c r="B227" i="17"/>
  <c r="B228" i="17"/>
  <c r="B229" i="17"/>
  <c r="B230" i="17"/>
  <c r="B231" i="17"/>
  <c r="B232" i="17"/>
  <c r="B233" i="17"/>
  <c r="B234" i="17"/>
  <c r="B235" i="17"/>
  <c r="B236" i="17"/>
  <c r="B237" i="17"/>
  <c r="B238" i="17"/>
  <c r="B239" i="17"/>
  <c r="B240" i="17"/>
  <c r="B241" i="17"/>
  <c r="B242" i="17"/>
  <c r="B243" i="17"/>
  <c r="B244" i="17"/>
  <c r="B245" i="17"/>
  <c r="B246" i="17"/>
  <c r="B247" i="17"/>
  <c r="B248" i="17"/>
  <c r="B249" i="17"/>
  <c r="B250" i="17"/>
  <c r="B251" i="17"/>
  <c r="B252" i="17"/>
  <c r="B253" i="17"/>
  <c r="B254" i="17"/>
  <c r="B255" i="17"/>
  <c r="B256" i="17"/>
  <c r="B257" i="17"/>
  <c r="B258" i="17"/>
  <c r="B259" i="17"/>
  <c r="B260" i="17"/>
  <c r="B261" i="17"/>
  <c r="B262" i="17"/>
  <c r="B263" i="17"/>
  <c r="B264" i="17"/>
  <c r="B265" i="17"/>
  <c r="B266" i="17"/>
  <c r="B267" i="17"/>
  <c r="B268" i="17"/>
  <c r="B269" i="17"/>
  <c r="B270" i="17"/>
  <c r="B271" i="17"/>
  <c r="B272" i="17"/>
  <c r="B273" i="17"/>
  <c r="B274" i="17"/>
  <c r="B275" i="17"/>
  <c r="B276" i="17"/>
  <c r="B277" i="17"/>
  <c r="B278" i="17"/>
  <c r="B279" i="17"/>
  <c r="B280" i="17"/>
  <c r="B281" i="17"/>
  <c r="B282" i="17"/>
  <c r="B283" i="17"/>
  <c r="B284" i="17"/>
  <c r="B285" i="17"/>
  <c r="B286" i="17"/>
  <c r="B287" i="17"/>
  <c r="B288" i="17"/>
  <c r="B289" i="17"/>
  <c r="B290" i="17"/>
  <c r="B291" i="17"/>
  <c r="B292" i="17"/>
  <c r="B293" i="17"/>
  <c r="B294" i="17"/>
  <c r="B295" i="17"/>
  <c r="B296" i="17"/>
  <c r="B297" i="17"/>
  <c r="B298" i="17"/>
  <c r="B299" i="17"/>
  <c r="B300" i="17"/>
  <c r="B301" i="17"/>
  <c r="B302" i="17"/>
  <c r="B303" i="17"/>
  <c r="B304" i="17"/>
  <c r="B305" i="17"/>
  <c r="B306" i="17"/>
  <c r="B307" i="17"/>
  <c r="B308" i="17"/>
  <c r="B309" i="17"/>
  <c r="B310" i="17"/>
  <c r="B311" i="17"/>
  <c r="B312" i="17"/>
  <c r="B313" i="17"/>
  <c r="B314" i="17"/>
  <c r="B315" i="17"/>
  <c r="B316" i="17"/>
  <c r="B317" i="17"/>
  <c r="B318" i="17"/>
  <c r="B319" i="17"/>
  <c r="B320" i="17"/>
  <c r="B321" i="17"/>
  <c r="B322" i="17"/>
  <c r="B323" i="17"/>
  <c r="B324" i="17"/>
  <c r="B325" i="17"/>
  <c r="B326" i="17"/>
  <c r="B327" i="17"/>
  <c r="B328" i="17"/>
  <c r="B329" i="17"/>
  <c r="B330" i="17"/>
  <c r="B331" i="17"/>
  <c r="B332" i="17"/>
  <c r="B333" i="17"/>
  <c r="B334" i="17"/>
  <c r="B335" i="17"/>
  <c r="B336" i="17"/>
  <c r="B337" i="17"/>
  <c r="B338" i="17"/>
  <c r="B339" i="17"/>
  <c r="B340" i="17"/>
  <c r="B341" i="17"/>
  <c r="B342" i="17"/>
  <c r="B343" i="17"/>
  <c r="B344" i="17"/>
  <c r="B345" i="17"/>
  <c r="B346" i="17"/>
  <c r="B347" i="17"/>
  <c r="B348" i="17"/>
  <c r="B349" i="17"/>
  <c r="B350" i="17"/>
  <c r="B351" i="17"/>
  <c r="B352" i="17"/>
  <c r="B353" i="17"/>
  <c r="B354" i="17"/>
  <c r="B355" i="17"/>
  <c r="B356" i="17"/>
  <c r="B357" i="17"/>
  <c r="B358" i="17"/>
  <c r="B359" i="17"/>
  <c r="B360" i="17"/>
  <c r="B361" i="17"/>
  <c r="B362" i="17"/>
  <c r="B363" i="17"/>
  <c r="B364" i="17"/>
  <c r="B365" i="17"/>
  <c r="B366" i="17"/>
  <c r="B367" i="17"/>
  <c r="B368" i="17"/>
  <c r="B369" i="17"/>
  <c r="B370" i="17"/>
  <c r="B371" i="17"/>
  <c r="B372" i="17"/>
  <c r="B373" i="17"/>
  <c r="B374" i="17"/>
  <c r="B375" i="17"/>
  <c r="B376" i="17"/>
  <c r="B377" i="17"/>
  <c r="B378" i="17"/>
  <c r="B379" i="17"/>
  <c r="B380" i="17"/>
  <c r="B381" i="17"/>
  <c r="B382" i="17"/>
  <c r="B383" i="17"/>
  <c r="B384" i="17"/>
  <c r="B385" i="17"/>
  <c r="B386" i="17"/>
  <c r="B387" i="17"/>
  <c r="B388" i="17"/>
  <c r="B389" i="17"/>
  <c r="B390" i="17"/>
  <c r="B391" i="17"/>
  <c r="B392" i="17"/>
  <c r="B393" i="17"/>
  <c r="B394" i="17"/>
  <c r="B395" i="17"/>
  <c r="B396" i="17"/>
  <c r="B397" i="17"/>
  <c r="B398" i="17"/>
  <c r="B399" i="17"/>
  <c r="B400" i="17"/>
  <c r="B401" i="17"/>
  <c r="B402" i="17"/>
  <c r="B403" i="17"/>
  <c r="B404" i="17"/>
  <c r="B405" i="17"/>
  <c r="B406" i="17"/>
  <c r="B407" i="17"/>
  <c r="B408" i="17"/>
  <c r="B409" i="17"/>
  <c r="B410" i="17"/>
  <c r="B411" i="17"/>
  <c r="B412" i="17"/>
  <c r="B413" i="17"/>
  <c r="B414" i="17"/>
  <c r="B415" i="17"/>
  <c r="B416" i="17"/>
  <c r="B417" i="17"/>
  <c r="B418" i="17"/>
  <c r="B419" i="17"/>
  <c r="B420" i="17"/>
  <c r="B421" i="17"/>
  <c r="B422" i="17"/>
  <c r="B423" i="17"/>
  <c r="B424" i="17"/>
  <c r="B425" i="17"/>
  <c r="B426" i="17"/>
  <c r="B427" i="17"/>
  <c r="B428" i="17"/>
  <c r="B429" i="17"/>
  <c r="B430" i="17"/>
  <c r="B431" i="17"/>
  <c r="B432" i="17"/>
  <c r="B433" i="17"/>
  <c r="B434" i="17"/>
  <c r="B435" i="17"/>
  <c r="B436" i="17"/>
  <c r="B437" i="17"/>
  <c r="B438" i="17"/>
  <c r="B439" i="17"/>
  <c r="B440" i="17"/>
  <c r="B441" i="17"/>
  <c r="B442" i="17"/>
  <c r="B443" i="17"/>
  <c r="B444" i="17"/>
  <c r="B445" i="17"/>
  <c r="B446" i="17"/>
  <c r="B447" i="17"/>
  <c r="B448" i="17"/>
  <c r="B449" i="17"/>
  <c r="B450" i="17"/>
  <c r="B451" i="17"/>
  <c r="B452" i="17"/>
  <c r="B453" i="17"/>
  <c r="B454" i="17"/>
  <c r="B455" i="17"/>
  <c r="B456" i="17"/>
  <c r="B457" i="17"/>
  <c r="B458" i="17"/>
  <c r="B459" i="17"/>
  <c r="B460" i="17"/>
  <c r="B461" i="17"/>
  <c r="B462" i="17"/>
  <c r="B463" i="17"/>
  <c r="B464" i="17"/>
  <c r="B465" i="17"/>
  <c r="B466" i="17"/>
  <c r="B467" i="17"/>
  <c r="B468" i="17"/>
  <c r="B469" i="17"/>
  <c r="B470" i="17"/>
  <c r="B471" i="17"/>
  <c r="B472" i="17"/>
  <c r="B473" i="17"/>
  <c r="B474" i="17"/>
  <c r="B475" i="17"/>
  <c r="B476" i="17"/>
  <c r="B477" i="17"/>
  <c r="B478" i="17"/>
  <c r="B479" i="17"/>
  <c r="B480" i="17"/>
  <c r="B481" i="17"/>
  <c r="B482" i="17"/>
  <c r="B483" i="17"/>
  <c r="B484" i="17"/>
  <c r="B485" i="17"/>
  <c r="B486" i="17"/>
  <c r="B487" i="17"/>
  <c r="B488" i="17"/>
  <c r="B489" i="17"/>
  <c r="B490" i="17"/>
  <c r="B491" i="17"/>
  <c r="B492" i="17"/>
  <c r="B493" i="17"/>
  <c r="B494" i="17"/>
  <c r="B495" i="17"/>
  <c r="B496" i="17"/>
  <c r="B497" i="17"/>
  <c r="B498" i="17"/>
  <c r="B499" i="17"/>
  <c r="B500" i="17"/>
  <c r="B501" i="17"/>
  <c r="B502" i="17"/>
  <c r="B503" i="17"/>
  <c r="B504" i="17"/>
  <c r="B505" i="17"/>
  <c r="B506" i="17"/>
  <c r="B507" i="17"/>
  <c r="B508" i="17"/>
  <c r="B509" i="17"/>
  <c r="B510" i="17"/>
  <c r="B511" i="17"/>
  <c r="B512" i="17"/>
  <c r="B513" i="17"/>
  <c r="B514" i="17"/>
  <c r="B515" i="17"/>
  <c r="B516" i="17"/>
  <c r="B517" i="17"/>
  <c r="B518" i="17"/>
  <c r="B519" i="17"/>
  <c r="B520" i="17"/>
  <c r="B521" i="17"/>
  <c r="B522" i="17"/>
  <c r="B523" i="17"/>
  <c r="B524" i="17"/>
  <c r="B525" i="17"/>
  <c r="B526" i="17"/>
  <c r="B527" i="17"/>
  <c r="B528" i="17"/>
  <c r="B529" i="17"/>
  <c r="B530" i="17"/>
  <c r="B531" i="17"/>
  <c r="B532" i="17"/>
  <c r="B533" i="17"/>
  <c r="B534" i="17"/>
  <c r="B535" i="17"/>
  <c r="B536" i="17"/>
  <c r="B537" i="17"/>
  <c r="B538" i="17"/>
  <c r="B539" i="17"/>
  <c r="B540" i="17"/>
  <c r="B541" i="17"/>
  <c r="B542" i="17"/>
  <c r="B543" i="17"/>
  <c r="B544" i="17"/>
  <c r="B545" i="17"/>
  <c r="B546" i="17"/>
  <c r="B547" i="17"/>
  <c r="B548" i="17"/>
  <c r="B549" i="17"/>
  <c r="B550" i="17"/>
  <c r="B551" i="17"/>
  <c r="B552" i="17"/>
  <c r="B553" i="17"/>
  <c r="B554" i="17"/>
  <c r="B555" i="17"/>
  <c r="B556" i="17"/>
  <c r="B557" i="17"/>
  <c r="B558" i="17"/>
  <c r="B559" i="17"/>
  <c r="B560" i="17"/>
  <c r="B561" i="17"/>
  <c r="B562" i="17"/>
  <c r="B563" i="17"/>
  <c r="B564" i="17"/>
  <c r="B565" i="17"/>
  <c r="B566" i="17"/>
  <c r="B567" i="17"/>
  <c r="B568" i="17"/>
  <c r="B569" i="17"/>
  <c r="B570" i="17"/>
  <c r="B571" i="17"/>
  <c r="B572" i="17"/>
  <c r="B573" i="17"/>
  <c r="B574" i="17"/>
  <c r="B575" i="17"/>
  <c r="B576" i="17"/>
  <c r="B577" i="17"/>
  <c r="B578" i="17"/>
  <c r="B579" i="17"/>
  <c r="B580" i="17"/>
  <c r="B581" i="17"/>
  <c r="B582" i="17"/>
  <c r="B583" i="17"/>
  <c r="B584" i="17"/>
  <c r="B585" i="17"/>
  <c r="B586" i="17"/>
  <c r="B587" i="17"/>
  <c r="B588" i="17"/>
  <c r="B589" i="17"/>
  <c r="B590" i="17"/>
  <c r="B591" i="17"/>
  <c r="B592" i="17"/>
  <c r="B593" i="17"/>
  <c r="B594" i="17"/>
  <c r="B595" i="17"/>
  <c r="B596" i="17"/>
  <c r="B597" i="17"/>
  <c r="B598" i="17"/>
  <c r="B599" i="17"/>
  <c r="B600" i="17"/>
  <c r="B601" i="17"/>
  <c r="B602" i="17"/>
  <c r="B603" i="17"/>
  <c r="B604" i="17"/>
  <c r="B605" i="17"/>
  <c r="B606" i="17"/>
  <c r="B607" i="17"/>
  <c r="B608" i="17"/>
  <c r="B609" i="17"/>
  <c r="B610" i="17"/>
  <c r="B611" i="17"/>
  <c r="B612" i="17"/>
  <c r="B613" i="17"/>
  <c r="B13" i="17"/>
  <c r="B292" i="2"/>
  <c r="C6" i="17" s="1"/>
  <c r="Q6" i="17"/>
  <c r="B428" i="2" l="1"/>
  <c r="A428" i="2"/>
  <c r="B230" i="2"/>
  <c r="B231" i="2" s="1"/>
  <c r="B169" i="2"/>
  <c r="B154" i="2"/>
  <c r="B141" i="2"/>
  <c r="C52" i="16" s="1"/>
  <c r="B100" i="2"/>
  <c r="B212" i="2"/>
  <c r="B8" i="2"/>
  <c r="B9" i="2"/>
  <c r="N47" i="1" l="1"/>
  <c r="N84" i="1"/>
  <c r="H11" i="21"/>
  <c r="H13" i="21"/>
  <c r="H15" i="21"/>
  <c r="H17" i="21"/>
  <c r="H19" i="21"/>
  <c r="H21" i="21"/>
  <c r="H23" i="21"/>
  <c r="H25" i="21"/>
  <c r="H27" i="21"/>
  <c r="H29" i="21"/>
  <c r="H31" i="21"/>
  <c r="H33" i="21"/>
  <c r="H35" i="21"/>
  <c r="H37" i="21"/>
  <c r="H39" i="21"/>
  <c r="H41" i="21"/>
  <c r="H43" i="21"/>
  <c r="H45" i="21"/>
  <c r="H47" i="21"/>
  <c r="H49" i="21"/>
  <c r="H51" i="21"/>
  <c r="H53" i="21"/>
  <c r="H55" i="21"/>
  <c r="H57" i="21"/>
  <c r="H59" i="21"/>
  <c r="H61" i="21"/>
  <c r="H63" i="21"/>
  <c r="H65" i="21"/>
  <c r="H67" i="21"/>
  <c r="H69" i="21"/>
  <c r="H71" i="21"/>
  <c r="H73" i="21"/>
  <c r="H75" i="21"/>
  <c r="H77" i="21"/>
  <c r="H79" i="21"/>
  <c r="H81" i="21"/>
  <c r="H83" i="21"/>
  <c r="H85" i="21"/>
  <c r="H87" i="21"/>
  <c r="H89" i="21"/>
  <c r="H91" i="21"/>
  <c r="H93" i="21"/>
  <c r="H95" i="21"/>
  <c r="H97" i="21"/>
  <c r="H99" i="21"/>
  <c r="H101" i="21"/>
  <c r="H103" i="21"/>
  <c r="H105" i="21"/>
  <c r="H107" i="21"/>
  <c r="H109" i="21"/>
  <c r="H10" i="21"/>
  <c r="H12" i="21"/>
  <c r="H14" i="21"/>
  <c r="H16" i="21"/>
  <c r="H18" i="21"/>
  <c r="H20" i="21"/>
  <c r="H22" i="21"/>
  <c r="H24" i="21"/>
  <c r="H26" i="21"/>
  <c r="H28" i="21"/>
  <c r="H30" i="21"/>
  <c r="H32" i="21"/>
  <c r="H34" i="21"/>
  <c r="H36" i="21"/>
  <c r="H38" i="21"/>
  <c r="H40" i="21"/>
  <c r="H42" i="21"/>
  <c r="H44" i="21"/>
  <c r="H46" i="21"/>
  <c r="H48" i="21"/>
  <c r="H50" i="21"/>
  <c r="H52" i="21"/>
  <c r="H54" i="21"/>
  <c r="H56" i="21"/>
  <c r="H58" i="21"/>
  <c r="H60" i="21"/>
  <c r="H62" i="21"/>
  <c r="H64" i="21"/>
  <c r="H66" i="21"/>
  <c r="H68" i="21"/>
  <c r="H70" i="21"/>
  <c r="H72" i="21"/>
  <c r="H74" i="21"/>
  <c r="H76" i="21"/>
  <c r="H78" i="21"/>
  <c r="H80" i="21"/>
  <c r="H82" i="21"/>
  <c r="H84" i="21"/>
  <c r="H86" i="21"/>
  <c r="H88" i="21"/>
  <c r="H90" i="21"/>
  <c r="H92" i="21"/>
  <c r="H94" i="21"/>
  <c r="H96" i="21"/>
  <c r="H98" i="21"/>
  <c r="H100" i="21"/>
  <c r="H102" i="21"/>
  <c r="H104" i="21"/>
  <c r="H106" i="21"/>
  <c r="H108" i="21"/>
  <c r="H9" i="21"/>
  <c r="B11" i="21"/>
  <c r="B24" i="20"/>
  <c r="B24" i="21"/>
  <c r="B11" i="20"/>
  <c r="B156" i="2"/>
  <c r="B464" i="2" s="1"/>
  <c r="B435" i="2"/>
  <c r="B244" i="2"/>
  <c r="I255" i="2"/>
  <c r="A449" i="2"/>
  <c r="B299" i="2"/>
  <c r="B294" i="2"/>
  <c r="B474" i="2"/>
  <c r="B449" i="2"/>
  <c r="B471" i="2"/>
  <c r="G144" i="2"/>
  <c r="BU17" i="21" l="1"/>
  <c r="B16" i="21"/>
  <c r="BU16" i="21"/>
  <c r="BU15" i="21"/>
  <c r="BU14" i="21"/>
  <c r="BU13" i="21"/>
  <c r="BU12" i="21"/>
  <c r="BU11" i="21"/>
  <c r="BU9" i="21"/>
  <c r="BT17" i="20"/>
  <c r="BT16" i="20"/>
  <c r="B16" i="20"/>
  <c r="BT14" i="20"/>
  <c r="BT12" i="20"/>
  <c r="BT9" i="20"/>
  <c r="BT15" i="20"/>
  <c r="BT13" i="20"/>
  <c r="BT11" i="20"/>
  <c r="N21" i="8"/>
  <c r="A464" i="2"/>
  <c r="N6" i="8"/>
  <c r="E37" i="1"/>
  <c r="F3" i="17"/>
  <c r="CE17" i="21" l="1"/>
  <c r="CC17" i="21"/>
  <c r="CA17" i="21"/>
  <c r="BY17" i="21"/>
  <c r="BW17" i="21"/>
  <c r="CD17" i="21"/>
  <c r="CB17" i="21"/>
  <c r="BZ17" i="21"/>
  <c r="BX17" i="21"/>
  <c r="BV17" i="21"/>
  <c r="CD9" i="21"/>
  <c r="CB9" i="21"/>
  <c r="BZ9" i="21"/>
  <c r="BX9" i="21"/>
  <c r="BV9" i="21"/>
  <c r="CE9" i="21"/>
  <c r="CC9" i="21"/>
  <c r="CA9" i="21"/>
  <c r="BY9" i="21"/>
  <c r="BW9" i="21"/>
  <c r="CD11" i="21"/>
  <c r="CB11" i="21"/>
  <c r="BZ11" i="21"/>
  <c r="BX11" i="21"/>
  <c r="BV11" i="21"/>
  <c r="CE11" i="21"/>
  <c r="CC11" i="21"/>
  <c r="CA11" i="21"/>
  <c r="BY11" i="21"/>
  <c r="BW11" i="21"/>
  <c r="CD12" i="21"/>
  <c r="CB12" i="21"/>
  <c r="BZ12" i="21"/>
  <c r="BX12" i="21"/>
  <c r="BV12" i="21"/>
  <c r="CE12" i="21"/>
  <c r="CC12" i="21"/>
  <c r="CA12" i="21"/>
  <c r="BY12" i="21"/>
  <c r="BW12" i="21"/>
  <c r="CD13" i="21"/>
  <c r="CB13" i="21"/>
  <c r="BZ13" i="21"/>
  <c r="BX13" i="21"/>
  <c r="BV13" i="21"/>
  <c r="CE13" i="21"/>
  <c r="CC13" i="21"/>
  <c r="CA13" i="21"/>
  <c r="BY13" i="21"/>
  <c r="BW13" i="21"/>
  <c r="CD14" i="21"/>
  <c r="CB14" i="21"/>
  <c r="BZ14" i="21"/>
  <c r="BX14" i="21"/>
  <c r="BV14" i="21"/>
  <c r="CE14" i="21"/>
  <c r="CC14" i="21"/>
  <c r="CA14" i="21"/>
  <c r="BY14" i="21"/>
  <c r="BW14" i="21"/>
  <c r="CD15" i="21"/>
  <c r="CB15" i="21"/>
  <c r="BZ15" i="21"/>
  <c r="BX15" i="21"/>
  <c r="BV15" i="21"/>
  <c r="CE15" i="21"/>
  <c r="CC15" i="21"/>
  <c r="CA15" i="21"/>
  <c r="BY15" i="21"/>
  <c r="BW15" i="21"/>
  <c r="CD16" i="21"/>
  <c r="CB16" i="21"/>
  <c r="BZ16" i="21"/>
  <c r="BX16" i="21"/>
  <c r="BV16" i="21"/>
  <c r="CE16" i="21"/>
  <c r="CC16" i="21"/>
  <c r="CA16" i="21"/>
  <c r="BY16" i="21"/>
  <c r="BW16" i="21"/>
  <c r="CC9" i="20"/>
  <c r="CA9" i="20"/>
  <c r="BY9" i="20"/>
  <c r="BW9" i="20"/>
  <c r="BU9" i="20"/>
  <c r="CD9" i="20"/>
  <c r="CB9" i="20"/>
  <c r="BZ9" i="20"/>
  <c r="BX9" i="20"/>
  <c r="BV9" i="20"/>
  <c r="CD12" i="20"/>
  <c r="CB12" i="20"/>
  <c r="BZ12" i="20"/>
  <c r="BX12" i="20"/>
  <c r="BV12" i="20"/>
  <c r="CC12" i="20"/>
  <c r="CA12" i="20"/>
  <c r="BY12" i="20"/>
  <c r="BW12" i="20"/>
  <c r="BU12" i="20"/>
  <c r="CD14" i="20"/>
  <c r="CB14" i="20"/>
  <c r="BZ14" i="20"/>
  <c r="BX14" i="20"/>
  <c r="BV14" i="20"/>
  <c r="CC14" i="20"/>
  <c r="CA14" i="20"/>
  <c r="BY14" i="20"/>
  <c r="BW14" i="20"/>
  <c r="BU14" i="20"/>
  <c r="CC11" i="20"/>
  <c r="CA11" i="20"/>
  <c r="BY11" i="20"/>
  <c r="BW11" i="20"/>
  <c r="BU11" i="20"/>
  <c r="CD11" i="20"/>
  <c r="CB11" i="20"/>
  <c r="BZ11" i="20"/>
  <c r="BX11" i="20"/>
  <c r="BV11" i="20"/>
  <c r="CC13" i="20"/>
  <c r="CA13" i="20"/>
  <c r="BY13" i="20"/>
  <c r="BW13" i="20"/>
  <c r="BU13" i="20"/>
  <c r="CD13" i="20"/>
  <c r="CB13" i="20"/>
  <c r="BZ13" i="20"/>
  <c r="BX13" i="20"/>
  <c r="BV13" i="20"/>
  <c r="CC15" i="20"/>
  <c r="CA15" i="20"/>
  <c r="BY15" i="20"/>
  <c r="BW15" i="20"/>
  <c r="BU15" i="20"/>
  <c r="CD15" i="20"/>
  <c r="CB15" i="20"/>
  <c r="BZ15" i="20"/>
  <c r="BX15" i="20"/>
  <c r="BV15" i="20"/>
  <c r="CD16" i="20"/>
  <c r="CB16" i="20"/>
  <c r="BZ16" i="20"/>
  <c r="BX16" i="20"/>
  <c r="BV16" i="20"/>
  <c r="CC16" i="20"/>
  <c r="CA16" i="20"/>
  <c r="BY16" i="20"/>
  <c r="BW16" i="20"/>
  <c r="BU16" i="20"/>
  <c r="CD17" i="20"/>
  <c r="CB17" i="20"/>
  <c r="BZ17" i="20"/>
  <c r="BX17" i="20"/>
  <c r="BV17" i="20"/>
  <c r="CC17" i="20"/>
  <c r="BY17" i="20"/>
  <c r="BU17" i="20"/>
  <c r="CA17" i="20"/>
  <c r="BW17" i="20"/>
  <c r="B22" i="2"/>
  <c r="B25" i="2" s="1"/>
  <c r="B13" i="21" l="1"/>
  <c r="B78" i="21"/>
  <c r="B23" i="2"/>
  <c r="B36" i="2" s="1"/>
  <c r="B13" i="20"/>
  <c r="B78" i="20"/>
  <c r="B414" i="2"/>
  <c r="B251" i="2"/>
  <c r="B314" i="2"/>
  <c r="B248" i="2"/>
  <c r="N3" i="17"/>
  <c r="N5" i="17" s="1"/>
  <c r="N19" i="8"/>
  <c r="H3" i="8" s="1"/>
  <c r="D62" i="16"/>
  <c r="B32" i="2" l="1"/>
  <c r="B37" i="2"/>
  <c r="B33" i="2"/>
  <c r="B54" i="2" s="1"/>
  <c r="B34" i="2"/>
  <c r="B38" i="2"/>
  <c r="A626" i="17"/>
  <c r="C636" i="17"/>
  <c r="I63" i="16"/>
  <c r="I62" i="16"/>
  <c r="D63" i="16" l="1"/>
  <c r="C68" i="16"/>
  <c r="D68" i="16" s="1"/>
  <c r="D70" i="16"/>
  <c r="D74" i="16"/>
  <c r="C61" i="16"/>
  <c r="D59" i="16"/>
  <c r="D56" i="16"/>
  <c r="D55" i="16"/>
  <c r="D58" i="16"/>
  <c r="D53" i="16"/>
  <c r="D49" i="16"/>
  <c r="B451" i="2"/>
  <c r="B210" i="2"/>
  <c r="B213" i="2" s="1"/>
  <c r="B220" i="2"/>
  <c r="B223" i="2"/>
  <c r="F71" i="1" l="1"/>
  <c r="N16" i="8" l="1"/>
  <c r="O16" i="8" s="1"/>
  <c r="E212" i="2" s="1"/>
  <c r="H212" i="2" s="1"/>
  <c r="D77" i="1"/>
  <c r="G212" i="2" l="1"/>
  <c r="N17" i="8"/>
  <c r="O17" i="8" s="1"/>
  <c r="E213" i="2" s="1"/>
  <c r="B216" i="2" l="1"/>
  <c r="E63" i="1" s="1"/>
  <c r="E65" i="1"/>
  <c r="G213" i="2"/>
  <c r="D72" i="16"/>
  <c r="H213" i="2"/>
  <c r="B215" i="2"/>
  <c r="C73" i="16" l="1"/>
  <c r="D73" i="16" s="1"/>
  <c r="B425" i="2"/>
  <c r="A425" i="2"/>
  <c r="B173" i="2"/>
  <c r="B316" i="2"/>
  <c r="B320" i="2" s="1"/>
  <c r="B12" i="2"/>
  <c r="BK8" i="21" s="1"/>
  <c r="B13" i="2"/>
  <c r="B66" i="2"/>
  <c r="B139" i="2" s="1"/>
  <c r="B183" i="2"/>
  <c r="B400" i="2"/>
  <c r="B371" i="2"/>
  <c r="B42" i="21" s="1"/>
  <c r="B426" i="2"/>
  <c r="B433" i="2"/>
  <c r="B67" i="2"/>
  <c r="B19" i="21" s="1"/>
  <c r="B7" i="2"/>
  <c r="B189" i="2"/>
  <c r="B366" i="2"/>
  <c r="B37" i="21" s="1"/>
  <c r="B383" i="2"/>
  <c r="B332" i="2"/>
  <c r="N9" i="8" s="1"/>
  <c r="B396" i="2"/>
  <c r="B399" i="2"/>
  <c r="B58" i="21" s="1"/>
  <c r="B393" i="2"/>
  <c r="B203" i="2"/>
  <c r="B368" i="2"/>
  <c r="B385" i="2"/>
  <c r="B394" i="2"/>
  <c r="B376" i="2"/>
  <c r="B369" i="2"/>
  <c r="B370" i="2"/>
  <c r="B41" i="21" s="1"/>
  <c r="B373" i="2"/>
  <c r="B372" i="2"/>
  <c r="B43" i="21" s="1"/>
  <c r="B473" i="2"/>
  <c r="B379" i="2"/>
  <c r="B349" i="2"/>
  <c r="B194" i="2"/>
  <c r="B367" i="2"/>
  <c r="B384" i="2"/>
  <c r="D6" i="6"/>
  <c r="D7" i="6"/>
  <c r="D9" i="6"/>
  <c r="D10" i="6"/>
  <c r="D2" i="11"/>
  <c r="D3" i="11"/>
  <c r="B5" i="11"/>
  <c r="D5" i="11" s="1"/>
  <c r="A34" i="8"/>
  <c r="A46" i="8" s="1"/>
  <c r="A58" i="8" s="1"/>
  <c r="A70" i="8" s="1"/>
  <c r="A82" i="8" s="1"/>
  <c r="A94" i="8" s="1"/>
  <c r="A106" i="8" s="1"/>
  <c r="A118" i="8" s="1"/>
  <c r="A130" i="8" s="1"/>
  <c r="A142" i="8" s="1"/>
  <c r="A154" i="8" s="1"/>
  <c r="A35" i="8"/>
  <c r="A47" i="8" s="1"/>
  <c r="A59" i="8" s="1"/>
  <c r="A71" i="8" s="1"/>
  <c r="A83" i="8" s="1"/>
  <c r="A95" i="8" s="1"/>
  <c r="A107" i="8" s="1"/>
  <c r="A119" i="8" s="1"/>
  <c r="A131" i="8" s="1"/>
  <c r="A143" i="8" s="1"/>
  <c r="A155" i="8" s="1"/>
  <c r="A36" i="8"/>
  <c r="A48" i="8" s="1"/>
  <c r="A60" i="8" s="1"/>
  <c r="A72" i="8" s="1"/>
  <c r="A84" i="8" s="1"/>
  <c r="A96" i="8" s="1"/>
  <c r="A108" i="8" s="1"/>
  <c r="A120" i="8" s="1"/>
  <c r="A132" i="8" s="1"/>
  <c r="A144" i="8" s="1"/>
  <c r="A156" i="8" s="1"/>
  <c r="A37" i="8"/>
  <c r="A49" i="8" s="1"/>
  <c r="A61" i="8" s="1"/>
  <c r="A73" i="8" s="1"/>
  <c r="A85" i="8" s="1"/>
  <c r="A97" i="8" s="1"/>
  <c r="A109" i="8" s="1"/>
  <c r="A121" i="8" s="1"/>
  <c r="A133" i="8" s="1"/>
  <c r="A145" i="8" s="1"/>
  <c r="A157" i="8" s="1"/>
  <c r="A38" i="8"/>
  <c r="A39" i="8"/>
  <c r="A40" i="8"/>
  <c r="A41" i="8"/>
  <c r="A42" i="8"/>
  <c r="A54" i="8" s="1"/>
  <c r="A66" i="8" s="1"/>
  <c r="A78" i="8" s="1"/>
  <c r="A90" i="8" s="1"/>
  <c r="A102" i="8" s="1"/>
  <c r="A114" i="8" s="1"/>
  <c r="A126" i="8" s="1"/>
  <c r="A138" i="8" s="1"/>
  <c r="A150" i="8" s="1"/>
  <c r="A43" i="8"/>
  <c r="A55" i="8" s="1"/>
  <c r="A67" i="8" s="1"/>
  <c r="A79" i="8" s="1"/>
  <c r="A91" i="8" s="1"/>
  <c r="A103" i="8" s="1"/>
  <c r="A115" i="8" s="1"/>
  <c r="A127" i="8" s="1"/>
  <c r="A139" i="8" s="1"/>
  <c r="A151" i="8" s="1"/>
  <c r="A44" i="8"/>
  <c r="A56" i="8" s="1"/>
  <c r="A68" i="8" s="1"/>
  <c r="A80" i="8" s="1"/>
  <c r="A92" i="8" s="1"/>
  <c r="A104" i="8" s="1"/>
  <c r="A116" i="8" s="1"/>
  <c r="A128" i="8" s="1"/>
  <c r="A140" i="8" s="1"/>
  <c r="A152" i="8" s="1"/>
  <c r="A45" i="8"/>
  <c r="A57" i="8" s="1"/>
  <c r="A69" i="8" s="1"/>
  <c r="A81" i="8" s="1"/>
  <c r="A93" i="8" s="1"/>
  <c r="A105" i="8" s="1"/>
  <c r="A117" i="8" s="1"/>
  <c r="A129" i="8" s="1"/>
  <c r="A141" i="8" s="1"/>
  <c r="A153" i="8" s="1"/>
  <c r="A50" i="8"/>
  <c r="A62" i="8" s="1"/>
  <c r="A74" i="8" s="1"/>
  <c r="A86" i="8" s="1"/>
  <c r="A98" i="8" s="1"/>
  <c r="A110" i="8" s="1"/>
  <c r="A122" i="8" s="1"/>
  <c r="A134" i="8" s="1"/>
  <c r="A146" i="8" s="1"/>
  <c r="A158" i="8" s="1"/>
  <c r="A51" i="8"/>
  <c r="A63" i="8" s="1"/>
  <c r="A75" i="8" s="1"/>
  <c r="A87" i="8" s="1"/>
  <c r="A99" i="8" s="1"/>
  <c r="A111" i="8" s="1"/>
  <c r="A123" i="8" s="1"/>
  <c r="A135" i="8" s="1"/>
  <c r="A147" i="8" s="1"/>
  <c r="A159" i="8" s="1"/>
  <c r="A52" i="8"/>
  <c r="A64" i="8" s="1"/>
  <c r="A76" i="8" s="1"/>
  <c r="A88" i="8" s="1"/>
  <c r="A100" i="8" s="1"/>
  <c r="A112" i="8" s="1"/>
  <c r="A124" i="8" s="1"/>
  <c r="A136" i="8" s="1"/>
  <c r="A148" i="8" s="1"/>
  <c r="A53" i="8"/>
  <c r="A65" i="8" s="1"/>
  <c r="A77" i="8" s="1"/>
  <c r="A89" i="8" s="1"/>
  <c r="A101" i="8" s="1"/>
  <c r="A113" i="8" s="1"/>
  <c r="A125" i="8" s="1"/>
  <c r="A137" i="8" s="1"/>
  <c r="A149" i="8" s="1"/>
  <c r="I3" i="8"/>
  <c r="J3" i="8"/>
  <c r="B76" i="2"/>
  <c r="B165" i="2" s="1"/>
  <c r="A431" i="2"/>
  <c r="B431" i="2"/>
  <c r="A451" i="2"/>
  <c r="B472" i="2"/>
  <c r="L72" i="2" l="1"/>
  <c r="B475" i="2"/>
  <c r="A46" i="16"/>
  <c r="AX9" i="21"/>
  <c r="AX10" i="21"/>
  <c r="AX11" i="21"/>
  <c r="AX12" i="21"/>
  <c r="AX13" i="21"/>
  <c r="AX14" i="21"/>
  <c r="AX15" i="21"/>
  <c r="AX16" i="21"/>
  <c r="AX17" i="21"/>
  <c r="AX18" i="21"/>
  <c r="AX19" i="21"/>
  <c r="AX20" i="21"/>
  <c r="AX21" i="21"/>
  <c r="AX22" i="21"/>
  <c r="AX23" i="21"/>
  <c r="AX24" i="21"/>
  <c r="AX25" i="21"/>
  <c r="AX26" i="21"/>
  <c r="AX27" i="21"/>
  <c r="AX28" i="21"/>
  <c r="AX29" i="21"/>
  <c r="AX30" i="21"/>
  <c r="AX31" i="21"/>
  <c r="AX32" i="21"/>
  <c r="AX33" i="21"/>
  <c r="AX34" i="21"/>
  <c r="AX35" i="21"/>
  <c r="AX36" i="21"/>
  <c r="AX37" i="21"/>
  <c r="AX38" i="21"/>
  <c r="AX39" i="21"/>
  <c r="AX40" i="21"/>
  <c r="AX41" i="21"/>
  <c r="AX42" i="21"/>
  <c r="AX43" i="21"/>
  <c r="AX44" i="21"/>
  <c r="AX45" i="21"/>
  <c r="AX46" i="21"/>
  <c r="AX47" i="21"/>
  <c r="AX48" i="21"/>
  <c r="AX49" i="21"/>
  <c r="AX50" i="21"/>
  <c r="AX51" i="21"/>
  <c r="AX52" i="21"/>
  <c r="AX53" i="21"/>
  <c r="AX54" i="21"/>
  <c r="AX55" i="21"/>
  <c r="AX56" i="21"/>
  <c r="AX57" i="21"/>
  <c r="AX58" i="21"/>
  <c r="AX59" i="21"/>
  <c r="AX60" i="21"/>
  <c r="AX61" i="21"/>
  <c r="AX62" i="21"/>
  <c r="AX63" i="21"/>
  <c r="AX64" i="21"/>
  <c r="AX65" i="21"/>
  <c r="AX66" i="21"/>
  <c r="AX67" i="21"/>
  <c r="AX68" i="21"/>
  <c r="AX69" i="21"/>
  <c r="AX70" i="21"/>
  <c r="AX71" i="21"/>
  <c r="AX72" i="21"/>
  <c r="AX73" i="21"/>
  <c r="AX74" i="21"/>
  <c r="AX75" i="21"/>
  <c r="AX76" i="21"/>
  <c r="AX77" i="21"/>
  <c r="AX78" i="21"/>
  <c r="AX79" i="21"/>
  <c r="AX80" i="21"/>
  <c r="AX81" i="21"/>
  <c r="AX82" i="21"/>
  <c r="AX83" i="21"/>
  <c r="AX84" i="21"/>
  <c r="AX85" i="21"/>
  <c r="AX86" i="21"/>
  <c r="AX87" i="21"/>
  <c r="AX88" i="21"/>
  <c r="AX89" i="21"/>
  <c r="AX90" i="21"/>
  <c r="AX91" i="21"/>
  <c r="AX92" i="21"/>
  <c r="AX93" i="21"/>
  <c r="AX94" i="21"/>
  <c r="AX95" i="21"/>
  <c r="AX96" i="21"/>
  <c r="AX97" i="21"/>
  <c r="AX98" i="21"/>
  <c r="AX99" i="21"/>
  <c r="AX100" i="21"/>
  <c r="AX101" i="21"/>
  <c r="AX102" i="21"/>
  <c r="AX103" i="21"/>
  <c r="AX104" i="21"/>
  <c r="AX105" i="21"/>
  <c r="AX106" i="21"/>
  <c r="AX107" i="21"/>
  <c r="AX108" i="21"/>
  <c r="AX109" i="21"/>
  <c r="B4" i="11"/>
  <c r="D4" i="11" s="1"/>
  <c r="B6" i="11" s="1"/>
  <c r="D6" i="11" s="1"/>
  <c r="B38" i="21"/>
  <c r="B38" i="20"/>
  <c r="B20" i="21"/>
  <c r="B20" i="20"/>
  <c r="B44" i="20"/>
  <c r="B44" i="21"/>
  <c r="B40" i="20"/>
  <c r="B40" i="21"/>
  <c r="B39" i="21"/>
  <c r="B77" i="21"/>
  <c r="AZ108" i="21"/>
  <c r="AZ104" i="21"/>
  <c r="AZ100" i="21"/>
  <c r="AZ96" i="21"/>
  <c r="AZ92" i="21"/>
  <c r="AZ88" i="21"/>
  <c r="AZ84" i="21"/>
  <c r="AZ80" i="21"/>
  <c r="AZ79" i="21"/>
  <c r="AZ73" i="21"/>
  <c r="AZ59" i="21"/>
  <c r="AZ52" i="21"/>
  <c r="AZ45" i="21"/>
  <c r="AZ37" i="21"/>
  <c r="AZ28" i="21"/>
  <c r="AZ69" i="21"/>
  <c r="AZ64" i="21"/>
  <c r="AZ60" i="21"/>
  <c r="AZ51" i="21"/>
  <c r="AZ42" i="21"/>
  <c r="AZ35" i="21"/>
  <c r="AZ27" i="21"/>
  <c r="AZ20" i="21"/>
  <c r="AZ16" i="21"/>
  <c r="AZ14" i="21"/>
  <c r="AZ12" i="21"/>
  <c r="AZ9" i="21"/>
  <c r="AZ173" i="20"/>
  <c r="AZ156" i="20"/>
  <c r="AZ141" i="20"/>
  <c r="AZ124" i="20"/>
  <c r="AZ207" i="20"/>
  <c r="AZ197" i="20"/>
  <c r="AZ179" i="20"/>
  <c r="AZ163" i="20"/>
  <c r="AZ147" i="20"/>
  <c r="AZ131" i="20"/>
  <c r="AZ116" i="20"/>
  <c r="AZ194" i="20"/>
  <c r="AZ180" i="20"/>
  <c r="AZ161" i="20"/>
  <c r="AZ144" i="20"/>
  <c r="AZ128" i="20"/>
  <c r="AZ114" i="20"/>
  <c r="AZ202" i="20"/>
  <c r="AZ109" i="21"/>
  <c r="AZ105" i="21"/>
  <c r="AZ101" i="21"/>
  <c r="AZ97" i="21"/>
  <c r="AZ93" i="21"/>
  <c r="AZ89" i="21"/>
  <c r="AZ85" i="21"/>
  <c r="AZ81" i="21"/>
  <c r="AZ72" i="21"/>
  <c r="AZ74" i="21"/>
  <c r="AZ68" i="21"/>
  <c r="AZ54" i="21"/>
  <c r="AZ47" i="21"/>
  <c r="AZ39" i="21"/>
  <c r="AZ29" i="21"/>
  <c r="AZ23" i="21"/>
  <c r="AZ65" i="21"/>
  <c r="AZ61" i="21"/>
  <c r="AZ53" i="21"/>
  <c r="AZ44" i="21"/>
  <c r="AZ36" i="21"/>
  <c r="AZ30" i="21"/>
  <c r="AZ21" i="21"/>
  <c r="AZ17" i="21"/>
  <c r="AZ181" i="20"/>
  <c r="AZ168" i="20"/>
  <c r="AZ152" i="20"/>
  <c r="AZ135" i="20"/>
  <c r="AZ120" i="20"/>
  <c r="AZ205" i="20"/>
  <c r="AZ193" i="20"/>
  <c r="AZ175" i="20"/>
  <c r="AZ159" i="20"/>
  <c r="AZ145" i="20"/>
  <c r="AZ129" i="20"/>
  <c r="AZ112" i="20"/>
  <c r="AZ189" i="20"/>
  <c r="AZ176" i="20"/>
  <c r="AZ157" i="20"/>
  <c r="AZ142" i="20"/>
  <c r="AZ125" i="20"/>
  <c r="AZ209" i="20"/>
  <c r="AZ185" i="20"/>
  <c r="AZ106" i="21"/>
  <c r="AZ102" i="21"/>
  <c r="AZ98" i="21"/>
  <c r="AZ94" i="21"/>
  <c r="AZ90" i="21"/>
  <c r="AZ86" i="21"/>
  <c r="AZ82" i="21"/>
  <c r="AZ75" i="21"/>
  <c r="AZ76" i="21"/>
  <c r="AZ70" i="21"/>
  <c r="AZ56" i="21"/>
  <c r="AZ48" i="21"/>
  <c r="AZ41" i="21"/>
  <c r="AZ33" i="21"/>
  <c r="AZ25" i="21"/>
  <c r="AZ66" i="21"/>
  <c r="AZ62" i="21"/>
  <c r="AZ55" i="21"/>
  <c r="AZ46" i="21"/>
  <c r="AZ38" i="21"/>
  <c r="AZ31" i="21"/>
  <c r="AZ22" i="21"/>
  <c r="AZ19" i="21"/>
  <c r="AZ15" i="21"/>
  <c r="AZ13" i="21"/>
  <c r="AZ11" i="21"/>
  <c r="AZ184" i="20"/>
  <c r="AZ164" i="20"/>
  <c r="AZ148" i="20"/>
  <c r="AZ133" i="20"/>
  <c r="AZ115" i="20"/>
  <c r="AZ203" i="20"/>
  <c r="AZ190" i="20"/>
  <c r="AZ171" i="20"/>
  <c r="AZ155" i="20"/>
  <c r="AZ139" i="20"/>
  <c r="AZ123" i="20"/>
  <c r="AZ208" i="20"/>
  <c r="AZ187" i="20"/>
  <c r="AZ172" i="20"/>
  <c r="AZ153" i="20"/>
  <c r="AZ136" i="20"/>
  <c r="AZ122" i="20"/>
  <c r="AZ206" i="20"/>
  <c r="AZ196" i="20"/>
  <c r="AZ107" i="21"/>
  <c r="AZ103" i="21"/>
  <c r="AZ99" i="21"/>
  <c r="AZ95" i="21"/>
  <c r="AZ91" i="21"/>
  <c r="AZ87" i="21"/>
  <c r="AZ83" i="21"/>
  <c r="AZ77" i="21"/>
  <c r="AZ78" i="21"/>
  <c r="AZ71" i="21"/>
  <c r="AZ57" i="21"/>
  <c r="AZ50" i="21"/>
  <c r="AZ43" i="21"/>
  <c r="AZ34" i="21"/>
  <c r="AZ26" i="21"/>
  <c r="AZ67" i="21"/>
  <c r="AZ63" i="21"/>
  <c r="AZ58" i="21"/>
  <c r="AZ49" i="21"/>
  <c r="AZ40" i="21"/>
  <c r="AZ32" i="21"/>
  <c r="AZ24" i="21"/>
  <c r="AZ18" i="21"/>
  <c r="AZ10" i="21"/>
  <c r="AZ177" i="20"/>
  <c r="AZ160" i="20"/>
  <c r="AZ143" i="20"/>
  <c r="AZ127" i="20"/>
  <c r="AZ111" i="20"/>
  <c r="AZ201" i="20"/>
  <c r="AZ183" i="20"/>
  <c r="AZ167" i="20"/>
  <c r="AZ151" i="20"/>
  <c r="AZ137" i="20"/>
  <c r="AZ119" i="20"/>
  <c r="AZ198" i="20"/>
  <c r="AZ169" i="20"/>
  <c r="AZ165" i="20"/>
  <c r="AZ149" i="20"/>
  <c r="AZ134" i="20"/>
  <c r="AZ204" i="20"/>
  <c r="AZ186" i="20"/>
  <c r="AZ170" i="20"/>
  <c r="AZ154" i="20"/>
  <c r="AZ138" i="20"/>
  <c r="AZ121" i="20"/>
  <c r="AZ199" i="20"/>
  <c r="AZ191" i="20"/>
  <c r="AZ174" i="20"/>
  <c r="AZ158" i="20"/>
  <c r="AZ140" i="20"/>
  <c r="AZ126" i="20"/>
  <c r="AZ110" i="20"/>
  <c r="AZ188" i="20"/>
  <c r="AZ118" i="20"/>
  <c r="AZ200" i="20"/>
  <c r="AZ178" i="20"/>
  <c r="AZ162" i="20"/>
  <c r="AZ146" i="20"/>
  <c r="AZ130" i="20"/>
  <c r="AZ113" i="20"/>
  <c r="AZ192" i="20"/>
  <c r="AZ182" i="20"/>
  <c r="AZ166" i="20"/>
  <c r="AZ150" i="20"/>
  <c r="AZ132" i="20"/>
  <c r="AZ117" i="20"/>
  <c r="AZ195" i="20"/>
  <c r="B59" i="20"/>
  <c r="B59" i="21"/>
  <c r="B18" i="20"/>
  <c r="B18" i="21"/>
  <c r="B12" i="21"/>
  <c r="BC9" i="21"/>
  <c r="BF8" i="21"/>
  <c r="L9" i="21"/>
  <c r="BE8" i="21"/>
  <c r="BL8" i="21"/>
  <c r="B25" i="20"/>
  <c r="B25" i="21"/>
  <c r="B50" i="21"/>
  <c r="B50" i="20"/>
  <c r="B23" i="20"/>
  <c r="B23" i="21"/>
  <c r="B47" i="20"/>
  <c r="B47" i="21"/>
  <c r="B46" i="20"/>
  <c r="B46" i="21"/>
  <c r="K21" i="20"/>
  <c r="BC21" i="20" s="1"/>
  <c r="K23" i="20"/>
  <c r="BC23" i="20" s="1"/>
  <c r="K22" i="20"/>
  <c r="BC22" i="20" s="1"/>
  <c r="K13" i="21"/>
  <c r="K15" i="21"/>
  <c r="K17" i="21"/>
  <c r="K19" i="21"/>
  <c r="K21" i="21"/>
  <c r="K23" i="21"/>
  <c r="K25" i="21"/>
  <c r="K27" i="21"/>
  <c r="K29" i="21"/>
  <c r="K31" i="21"/>
  <c r="K33" i="21"/>
  <c r="K35" i="21"/>
  <c r="K37" i="21"/>
  <c r="K39" i="21"/>
  <c r="K41" i="21"/>
  <c r="K43" i="21"/>
  <c r="K45" i="21"/>
  <c r="K47" i="21"/>
  <c r="K49" i="21"/>
  <c r="K51" i="21"/>
  <c r="K53" i="21"/>
  <c r="K55" i="21"/>
  <c r="K57" i="21"/>
  <c r="K59" i="21"/>
  <c r="K61" i="21"/>
  <c r="K63" i="21"/>
  <c r="K65" i="21"/>
  <c r="K67" i="21"/>
  <c r="K69" i="21"/>
  <c r="K71" i="21"/>
  <c r="K73" i="21"/>
  <c r="K75" i="21"/>
  <c r="K77" i="21"/>
  <c r="K79" i="21"/>
  <c r="K81" i="21"/>
  <c r="K83" i="21"/>
  <c r="K85" i="21"/>
  <c r="K87" i="21"/>
  <c r="K89" i="21"/>
  <c r="K91" i="21"/>
  <c r="K93" i="21"/>
  <c r="K95" i="21"/>
  <c r="K97" i="21"/>
  <c r="K99" i="21"/>
  <c r="K101" i="21"/>
  <c r="K103" i="21"/>
  <c r="K105" i="21"/>
  <c r="K107" i="21"/>
  <c r="K109" i="21"/>
  <c r="K10" i="21"/>
  <c r="B14" i="21"/>
  <c r="K189" i="20"/>
  <c r="BC189" i="20" s="1"/>
  <c r="K190" i="20"/>
  <c r="BC190" i="20" s="1"/>
  <c r="K191" i="20"/>
  <c r="BC191" i="20" s="1"/>
  <c r="K192" i="20"/>
  <c r="BC192" i="20" s="1"/>
  <c r="K194" i="20"/>
  <c r="BC194" i="20" s="1"/>
  <c r="K117" i="20"/>
  <c r="BC117" i="20" s="1"/>
  <c r="K118" i="20"/>
  <c r="BC118" i="20" s="1"/>
  <c r="K119" i="20"/>
  <c r="BC119" i="20" s="1"/>
  <c r="K120" i="20"/>
  <c r="BC120" i="20" s="1"/>
  <c r="K121" i="20"/>
  <c r="BC121" i="20" s="1"/>
  <c r="K122" i="20"/>
  <c r="BC122" i="20" s="1"/>
  <c r="K123" i="20"/>
  <c r="BC123" i="20" s="1"/>
  <c r="K124" i="20"/>
  <c r="BC124" i="20" s="1"/>
  <c r="K125" i="20"/>
  <c r="BC125" i="20" s="1"/>
  <c r="K126" i="20"/>
  <c r="BC126" i="20" s="1"/>
  <c r="K127" i="20"/>
  <c r="BC127" i="20" s="1"/>
  <c r="K128" i="20"/>
  <c r="BC128" i="20" s="1"/>
  <c r="K129" i="20"/>
  <c r="BC129" i="20" s="1"/>
  <c r="K130" i="20"/>
  <c r="BC130" i="20" s="1"/>
  <c r="K131" i="20"/>
  <c r="BC131" i="20" s="1"/>
  <c r="K132" i="20"/>
  <c r="BC132" i="20" s="1"/>
  <c r="K133" i="20"/>
  <c r="BC133" i="20" s="1"/>
  <c r="K140" i="20"/>
  <c r="BC140" i="20" s="1"/>
  <c r="K141" i="20"/>
  <c r="BC141" i="20" s="1"/>
  <c r="K151" i="20"/>
  <c r="BC151" i="20" s="1"/>
  <c r="K152" i="20"/>
  <c r="BC152" i="20" s="1"/>
  <c r="K153" i="20"/>
  <c r="BC153" i="20" s="1"/>
  <c r="K154" i="20"/>
  <c r="BC154" i="20" s="1"/>
  <c r="K159" i="20"/>
  <c r="BC159" i="20" s="1"/>
  <c r="K160" i="20"/>
  <c r="BC160" i="20" s="1"/>
  <c r="K161" i="20"/>
  <c r="BC161" i="20" s="1"/>
  <c r="K162" i="20"/>
  <c r="BC162" i="20" s="1"/>
  <c r="K167" i="20"/>
  <c r="BC167" i="20" s="1"/>
  <c r="K168" i="20"/>
  <c r="BC168" i="20" s="1"/>
  <c r="K169" i="20"/>
  <c r="BC169" i="20" s="1"/>
  <c r="K170" i="20"/>
  <c r="BC170" i="20" s="1"/>
  <c r="K175" i="20"/>
  <c r="BC175" i="20" s="1"/>
  <c r="K176" i="20"/>
  <c r="BC176" i="20" s="1"/>
  <c r="K177" i="20"/>
  <c r="BC177" i="20" s="1"/>
  <c r="K178" i="20"/>
  <c r="BC178" i="20" s="1"/>
  <c r="K183" i="20"/>
  <c r="BC183" i="20" s="1"/>
  <c r="K184" i="20"/>
  <c r="BC184" i="20" s="1"/>
  <c r="K14" i="21"/>
  <c r="K16" i="21"/>
  <c r="K18" i="21"/>
  <c r="K20" i="21"/>
  <c r="K22" i="21"/>
  <c r="K24" i="21"/>
  <c r="K26" i="21"/>
  <c r="K28" i="21"/>
  <c r="K30" i="21"/>
  <c r="K32" i="21"/>
  <c r="K34" i="21"/>
  <c r="K36" i="21"/>
  <c r="K38" i="21"/>
  <c r="K40" i="21"/>
  <c r="K42" i="21"/>
  <c r="K44" i="21"/>
  <c r="K46" i="21"/>
  <c r="K48" i="21"/>
  <c r="K50" i="21"/>
  <c r="K52" i="21"/>
  <c r="K54" i="21"/>
  <c r="K56" i="21"/>
  <c r="K58" i="21"/>
  <c r="K60" i="21"/>
  <c r="K62" i="21"/>
  <c r="K64" i="21"/>
  <c r="K66" i="21"/>
  <c r="K68" i="21"/>
  <c r="K70" i="21"/>
  <c r="K72" i="21"/>
  <c r="K74" i="21"/>
  <c r="K76" i="21"/>
  <c r="K78" i="21"/>
  <c r="K80" i="21"/>
  <c r="K82" i="21"/>
  <c r="K84" i="21"/>
  <c r="K86" i="21"/>
  <c r="K88" i="21"/>
  <c r="K90" i="21"/>
  <c r="K92" i="21"/>
  <c r="K94" i="21"/>
  <c r="K96" i="21"/>
  <c r="K98" i="21"/>
  <c r="K100" i="21"/>
  <c r="K102" i="21"/>
  <c r="K104" i="21"/>
  <c r="K106" i="21"/>
  <c r="K108" i="21"/>
  <c r="K12" i="21"/>
  <c r="K11" i="21"/>
  <c r="K185" i="20"/>
  <c r="BC185" i="20" s="1"/>
  <c r="K186" i="20"/>
  <c r="BC186" i="20" s="1"/>
  <c r="K187" i="20"/>
  <c r="BC187" i="20" s="1"/>
  <c r="K188" i="20"/>
  <c r="BC188" i="20" s="1"/>
  <c r="K193" i="20"/>
  <c r="BC193" i="20" s="1"/>
  <c r="K195" i="20"/>
  <c r="BC195" i="20" s="1"/>
  <c r="K196" i="20"/>
  <c r="BC196" i="20" s="1"/>
  <c r="K197" i="20"/>
  <c r="BC197" i="20" s="1"/>
  <c r="K198" i="20"/>
  <c r="BC198" i="20" s="1"/>
  <c r="K199" i="20"/>
  <c r="BC199" i="20" s="1"/>
  <c r="K200" i="20"/>
  <c r="BC200" i="20" s="1"/>
  <c r="K201" i="20"/>
  <c r="BC201" i="20" s="1"/>
  <c r="K202" i="20"/>
  <c r="BC202" i="20" s="1"/>
  <c r="K203" i="20"/>
  <c r="BC203" i="20" s="1"/>
  <c r="K204" i="20"/>
  <c r="BC204" i="20" s="1"/>
  <c r="K205" i="20"/>
  <c r="BC205" i="20" s="1"/>
  <c r="K206" i="20"/>
  <c r="BC206" i="20" s="1"/>
  <c r="K207" i="20"/>
  <c r="BC207" i="20" s="1"/>
  <c r="K208" i="20"/>
  <c r="BC208" i="20" s="1"/>
  <c r="K209" i="20"/>
  <c r="BC209" i="20" s="1"/>
  <c r="K110" i="20"/>
  <c r="BC110" i="20" s="1"/>
  <c r="K111" i="20"/>
  <c r="BC111" i="20" s="1"/>
  <c r="K112" i="20"/>
  <c r="BC112" i="20" s="1"/>
  <c r="K113" i="20"/>
  <c r="BC113" i="20" s="1"/>
  <c r="K114" i="20"/>
  <c r="BC114" i="20" s="1"/>
  <c r="K115" i="20"/>
  <c r="BC115" i="20" s="1"/>
  <c r="K116" i="20"/>
  <c r="BC116" i="20" s="1"/>
  <c r="K134" i="20"/>
  <c r="BC134" i="20" s="1"/>
  <c r="K135" i="20"/>
  <c r="BC135" i="20" s="1"/>
  <c r="K136" i="20"/>
  <c r="BC136" i="20" s="1"/>
  <c r="K137" i="20"/>
  <c r="BC137" i="20" s="1"/>
  <c r="K138" i="20"/>
  <c r="BC138" i="20" s="1"/>
  <c r="K139" i="20"/>
  <c r="BC139" i="20" s="1"/>
  <c r="K142" i="20"/>
  <c r="BC142" i="20" s="1"/>
  <c r="K143" i="20"/>
  <c r="BC143" i="20" s="1"/>
  <c r="K144" i="20"/>
  <c r="BC144" i="20" s="1"/>
  <c r="K145" i="20"/>
  <c r="BC145" i="20" s="1"/>
  <c r="K146" i="20"/>
  <c r="BC146" i="20" s="1"/>
  <c r="K147" i="20"/>
  <c r="BC147" i="20" s="1"/>
  <c r="K148" i="20"/>
  <c r="BC148" i="20" s="1"/>
  <c r="K149" i="20"/>
  <c r="BC149" i="20" s="1"/>
  <c r="K150" i="20"/>
  <c r="BC150" i="20" s="1"/>
  <c r="K155" i="20"/>
  <c r="BC155" i="20" s="1"/>
  <c r="K156" i="20"/>
  <c r="BC156" i="20" s="1"/>
  <c r="K157" i="20"/>
  <c r="BC157" i="20" s="1"/>
  <c r="K158" i="20"/>
  <c r="BC158" i="20" s="1"/>
  <c r="K163" i="20"/>
  <c r="BC163" i="20" s="1"/>
  <c r="K164" i="20"/>
  <c r="BC164" i="20" s="1"/>
  <c r="K165" i="20"/>
  <c r="BC165" i="20" s="1"/>
  <c r="K166" i="20"/>
  <c r="BC166" i="20" s="1"/>
  <c r="K171" i="20"/>
  <c r="BC171" i="20" s="1"/>
  <c r="K172" i="20"/>
  <c r="BC172" i="20" s="1"/>
  <c r="K173" i="20"/>
  <c r="BC173" i="20" s="1"/>
  <c r="K174" i="20"/>
  <c r="BC174" i="20" s="1"/>
  <c r="K179" i="20"/>
  <c r="BC179" i="20" s="1"/>
  <c r="K180" i="20"/>
  <c r="BC180" i="20" s="1"/>
  <c r="K181" i="20"/>
  <c r="BC181" i="20" s="1"/>
  <c r="K182" i="20"/>
  <c r="BC182" i="20" s="1"/>
  <c r="B22" i="20"/>
  <c r="B22" i="21"/>
  <c r="H10" i="20"/>
  <c r="AX10" i="20" s="1"/>
  <c r="H14" i="20"/>
  <c r="AX14" i="20" s="1"/>
  <c r="H18" i="20"/>
  <c r="AX18" i="20" s="1"/>
  <c r="H22" i="20"/>
  <c r="AX22" i="20" s="1"/>
  <c r="H26" i="20"/>
  <c r="AX26" i="20" s="1"/>
  <c r="H30" i="20"/>
  <c r="AX30" i="20" s="1"/>
  <c r="H34" i="20"/>
  <c r="AX34" i="20" s="1"/>
  <c r="H38" i="20"/>
  <c r="AX38" i="20" s="1"/>
  <c r="H42" i="20"/>
  <c r="AX42" i="20" s="1"/>
  <c r="H46" i="20"/>
  <c r="AX46" i="20" s="1"/>
  <c r="H50" i="20"/>
  <c r="AX50" i="20" s="1"/>
  <c r="H54" i="20"/>
  <c r="AX54" i="20" s="1"/>
  <c r="H58" i="20"/>
  <c r="AX58" i="20" s="1"/>
  <c r="H62" i="20"/>
  <c r="AX62" i="20" s="1"/>
  <c r="H66" i="20"/>
  <c r="AX66" i="20" s="1"/>
  <c r="H70" i="20"/>
  <c r="AX70" i="20" s="1"/>
  <c r="H74" i="20"/>
  <c r="AX74" i="20" s="1"/>
  <c r="H78" i="20"/>
  <c r="AX78" i="20" s="1"/>
  <c r="H82" i="20"/>
  <c r="AX82" i="20" s="1"/>
  <c r="H86" i="20"/>
  <c r="AX86" i="20" s="1"/>
  <c r="H90" i="20"/>
  <c r="AX90" i="20" s="1"/>
  <c r="H94" i="20"/>
  <c r="AX94" i="20" s="1"/>
  <c r="H98" i="20"/>
  <c r="AX98" i="20" s="1"/>
  <c r="H102" i="20"/>
  <c r="AX102" i="20" s="1"/>
  <c r="H106" i="20"/>
  <c r="AX106" i="20" s="1"/>
  <c r="H110" i="20"/>
  <c r="AX110" i="20" s="1"/>
  <c r="H114" i="20"/>
  <c r="AX114" i="20" s="1"/>
  <c r="H118" i="20"/>
  <c r="AX118" i="20" s="1"/>
  <c r="H122" i="20"/>
  <c r="AX122" i="20" s="1"/>
  <c r="H126" i="20"/>
  <c r="AX126" i="20" s="1"/>
  <c r="H130" i="20"/>
  <c r="AX130" i="20" s="1"/>
  <c r="H134" i="20"/>
  <c r="AX134" i="20" s="1"/>
  <c r="H138" i="20"/>
  <c r="AX138" i="20" s="1"/>
  <c r="H142" i="20"/>
  <c r="AX142" i="20" s="1"/>
  <c r="H146" i="20"/>
  <c r="AX146" i="20" s="1"/>
  <c r="H150" i="20"/>
  <c r="AX150" i="20" s="1"/>
  <c r="H154" i="20"/>
  <c r="AX154" i="20" s="1"/>
  <c r="H158" i="20"/>
  <c r="AX158" i="20" s="1"/>
  <c r="H162" i="20"/>
  <c r="AX162" i="20" s="1"/>
  <c r="H166" i="20"/>
  <c r="AX166" i="20" s="1"/>
  <c r="H170" i="20"/>
  <c r="AX170" i="20" s="1"/>
  <c r="H174" i="20"/>
  <c r="AX174" i="20" s="1"/>
  <c r="H178" i="20"/>
  <c r="AX178" i="20" s="1"/>
  <c r="H13" i="20"/>
  <c r="AX13" i="20" s="1"/>
  <c r="H17" i="20"/>
  <c r="AX17" i="20" s="1"/>
  <c r="H21" i="20"/>
  <c r="AX21" i="20" s="1"/>
  <c r="H25" i="20"/>
  <c r="AX25" i="20" s="1"/>
  <c r="H29" i="20"/>
  <c r="AX29" i="20" s="1"/>
  <c r="H33" i="20"/>
  <c r="AX33" i="20" s="1"/>
  <c r="H37" i="20"/>
  <c r="AX37" i="20" s="1"/>
  <c r="H41" i="20"/>
  <c r="AX41" i="20" s="1"/>
  <c r="H45" i="20"/>
  <c r="AX45" i="20" s="1"/>
  <c r="H49" i="20"/>
  <c r="AX49" i="20" s="1"/>
  <c r="H53" i="20"/>
  <c r="AX53" i="20" s="1"/>
  <c r="H57" i="20"/>
  <c r="AX57" i="20" s="1"/>
  <c r="H61" i="20"/>
  <c r="AX61" i="20" s="1"/>
  <c r="H65" i="20"/>
  <c r="AX65" i="20" s="1"/>
  <c r="H69" i="20"/>
  <c r="AX69" i="20" s="1"/>
  <c r="H73" i="20"/>
  <c r="AX73" i="20" s="1"/>
  <c r="H77" i="20"/>
  <c r="AX77" i="20" s="1"/>
  <c r="H81" i="20"/>
  <c r="AX81" i="20" s="1"/>
  <c r="H85" i="20"/>
  <c r="AX85" i="20" s="1"/>
  <c r="H89" i="20"/>
  <c r="AX89" i="20" s="1"/>
  <c r="H93" i="20"/>
  <c r="AX93" i="20" s="1"/>
  <c r="H97" i="20"/>
  <c r="AX97" i="20" s="1"/>
  <c r="H101" i="20"/>
  <c r="AX101" i="20" s="1"/>
  <c r="H105" i="20"/>
  <c r="AX105" i="20" s="1"/>
  <c r="H109" i="20"/>
  <c r="AX109" i="20" s="1"/>
  <c r="H113" i="20"/>
  <c r="AX113" i="20" s="1"/>
  <c r="H117" i="20"/>
  <c r="AX117" i="20" s="1"/>
  <c r="H121" i="20"/>
  <c r="AX121" i="20" s="1"/>
  <c r="H125" i="20"/>
  <c r="AX125" i="20" s="1"/>
  <c r="H129" i="20"/>
  <c r="AX129" i="20" s="1"/>
  <c r="H133" i="20"/>
  <c r="AX133" i="20" s="1"/>
  <c r="H137" i="20"/>
  <c r="AX137" i="20" s="1"/>
  <c r="H141" i="20"/>
  <c r="AX141" i="20" s="1"/>
  <c r="H145" i="20"/>
  <c r="AX145" i="20" s="1"/>
  <c r="H149" i="20"/>
  <c r="AX149" i="20" s="1"/>
  <c r="H153" i="20"/>
  <c r="AX153" i="20" s="1"/>
  <c r="H157" i="20"/>
  <c r="AX157" i="20" s="1"/>
  <c r="H163" i="20"/>
  <c r="AX163" i="20" s="1"/>
  <c r="H171" i="20"/>
  <c r="AX171" i="20" s="1"/>
  <c r="H179" i="20"/>
  <c r="AX179" i="20" s="1"/>
  <c r="H183" i="20"/>
  <c r="AX183" i="20" s="1"/>
  <c r="H187" i="20"/>
  <c r="AX187" i="20" s="1"/>
  <c r="H12" i="20"/>
  <c r="AX12" i="20" s="1"/>
  <c r="H16" i="20"/>
  <c r="AX16" i="20" s="1"/>
  <c r="H20" i="20"/>
  <c r="AX20" i="20" s="1"/>
  <c r="H24" i="20"/>
  <c r="AX24" i="20" s="1"/>
  <c r="H28" i="20"/>
  <c r="AX28" i="20" s="1"/>
  <c r="H32" i="20"/>
  <c r="AX32" i="20" s="1"/>
  <c r="H36" i="20"/>
  <c r="AX36" i="20" s="1"/>
  <c r="H40" i="20"/>
  <c r="AX40" i="20" s="1"/>
  <c r="H44" i="20"/>
  <c r="AX44" i="20" s="1"/>
  <c r="H48" i="20"/>
  <c r="AX48" i="20" s="1"/>
  <c r="H52" i="20"/>
  <c r="AX52" i="20" s="1"/>
  <c r="H56" i="20"/>
  <c r="AX56" i="20" s="1"/>
  <c r="H60" i="20"/>
  <c r="AX60" i="20" s="1"/>
  <c r="H64" i="20"/>
  <c r="AX64" i="20" s="1"/>
  <c r="H68" i="20"/>
  <c r="AX68" i="20" s="1"/>
  <c r="H72" i="20"/>
  <c r="AX72" i="20" s="1"/>
  <c r="H76" i="20"/>
  <c r="AX76" i="20" s="1"/>
  <c r="H80" i="20"/>
  <c r="AX80" i="20" s="1"/>
  <c r="H84" i="20"/>
  <c r="AX84" i="20" s="1"/>
  <c r="H88" i="20"/>
  <c r="AX88" i="20" s="1"/>
  <c r="H92" i="20"/>
  <c r="AX92" i="20" s="1"/>
  <c r="H96" i="20"/>
  <c r="AX96" i="20" s="1"/>
  <c r="H100" i="20"/>
  <c r="AX100" i="20" s="1"/>
  <c r="H104" i="20"/>
  <c r="AX104" i="20" s="1"/>
  <c r="H108" i="20"/>
  <c r="AX108" i="20" s="1"/>
  <c r="H112" i="20"/>
  <c r="AX112" i="20" s="1"/>
  <c r="H116" i="20"/>
  <c r="AX116" i="20" s="1"/>
  <c r="H120" i="20"/>
  <c r="AX120" i="20" s="1"/>
  <c r="H124" i="20"/>
  <c r="AX124" i="20" s="1"/>
  <c r="H128" i="20"/>
  <c r="AX128" i="20" s="1"/>
  <c r="H132" i="20"/>
  <c r="AX132" i="20" s="1"/>
  <c r="H136" i="20"/>
  <c r="AX136" i="20" s="1"/>
  <c r="H140" i="20"/>
  <c r="AX140" i="20" s="1"/>
  <c r="H144" i="20"/>
  <c r="AX144" i="20" s="1"/>
  <c r="H148" i="20"/>
  <c r="AX148" i="20" s="1"/>
  <c r="H152" i="20"/>
  <c r="AX152" i="20" s="1"/>
  <c r="H156" i="20"/>
  <c r="AX156" i="20" s="1"/>
  <c r="H160" i="20"/>
  <c r="AX160" i="20" s="1"/>
  <c r="H164" i="20"/>
  <c r="AX164" i="20" s="1"/>
  <c r="H168" i="20"/>
  <c r="AX168" i="20" s="1"/>
  <c r="H172" i="20"/>
  <c r="AX172" i="20" s="1"/>
  <c r="H176" i="20"/>
  <c r="AX176" i="20" s="1"/>
  <c r="H11" i="20"/>
  <c r="AX11" i="20" s="1"/>
  <c r="H15" i="20"/>
  <c r="AX15" i="20" s="1"/>
  <c r="H19" i="20"/>
  <c r="AX19" i="20" s="1"/>
  <c r="H23" i="20"/>
  <c r="AX23" i="20" s="1"/>
  <c r="H27" i="20"/>
  <c r="AX27" i="20" s="1"/>
  <c r="H31" i="20"/>
  <c r="AX31" i="20" s="1"/>
  <c r="H35" i="20"/>
  <c r="AX35" i="20" s="1"/>
  <c r="H39" i="20"/>
  <c r="AX39" i="20" s="1"/>
  <c r="H43" i="20"/>
  <c r="AX43" i="20" s="1"/>
  <c r="H47" i="20"/>
  <c r="AX47" i="20" s="1"/>
  <c r="H51" i="20"/>
  <c r="AX51" i="20" s="1"/>
  <c r="H55" i="20"/>
  <c r="AX55" i="20" s="1"/>
  <c r="H59" i="20"/>
  <c r="AX59" i="20" s="1"/>
  <c r="H63" i="20"/>
  <c r="AX63" i="20" s="1"/>
  <c r="H67" i="20"/>
  <c r="AX67" i="20" s="1"/>
  <c r="H71" i="20"/>
  <c r="AX71" i="20" s="1"/>
  <c r="H75" i="20"/>
  <c r="AX75" i="20" s="1"/>
  <c r="H79" i="20"/>
  <c r="AX79" i="20" s="1"/>
  <c r="H83" i="20"/>
  <c r="AX83" i="20" s="1"/>
  <c r="H87" i="20"/>
  <c r="AX87" i="20" s="1"/>
  <c r="H91" i="20"/>
  <c r="AX91" i="20" s="1"/>
  <c r="H95" i="20"/>
  <c r="AX95" i="20" s="1"/>
  <c r="H99" i="20"/>
  <c r="AX99" i="20" s="1"/>
  <c r="H103" i="20"/>
  <c r="AX103" i="20" s="1"/>
  <c r="H107" i="20"/>
  <c r="AX107" i="20" s="1"/>
  <c r="H111" i="20"/>
  <c r="AX111" i="20" s="1"/>
  <c r="H115" i="20"/>
  <c r="AX115" i="20" s="1"/>
  <c r="H119" i="20"/>
  <c r="AX119" i="20" s="1"/>
  <c r="H123" i="20"/>
  <c r="AX123" i="20" s="1"/>
  <c r="H127" i="20"/>
  <c r="AX127" i="20" s="1"/>
  <c r="H131" i="20"/>
  <c r="AX131" i="20" s="1"/>
  <c r="H135" i="20"/>
  <c r="AX135" i="20" s="1"/>
  <c r="H139" i="20"/>
  <c r="AX139" i="20" s="1"/>
  <c r="H143" i="20"/>
  <c r="AX143" i="20" s="1"/>
  <c r="H147" i="20"/>
  <c r="AX147" i="20" s="1"/>
  <c r="H151" i="20"/>
  <c r="AX151" i="20" s="1"/>
  <c r="H155" i="20"/>
  <c r="AX155" i="20" s="1"/>
  <c r="H159" i="20"/>
  <c r="AX159" i="20" s="1"/>
  <c r="H167" i="20"/>
  <c r="AX167" i="20" s="1"/>
  <c r="H175" i="20"/>
  <c r="AX175" i="20" s="1"/>
  <c r="H181" i="20"/>
  <c r="AX181" i="20" s="1"/>
  <c r="H185" i="20"/>
  <c r="AX185" i="20" s="1"/>
  <c r="H189" i="20"/>
  <c r="AX189" i="20" s="1"/>
  <c r="H193" i="20"/>
  <c r="AX193" i="20" s="1"/>
  <c r="H197" i="20"/>
  <c r="AX197" i="20" s="1"/>
  <c r="H201" i="20"/>
  <c r="AX201" i="20" s="1"/>
  <c r="H205" i="20"/>
  <c r="AX205" i="20" s="1"/>
  <c r="H209" i="20"/>
  <c r="AX209" i="20" s="1"/>
  <c r="H165" i="20"/>
  <c r="AX165" i="20" s="1"/>
  <c r="H173" i="20"/>
  <c r="AX173" i="20" s="1"/>
  <c r="H180" i="20"/>
  <c r="AX180" i="20" s="1"/>
  <c r="H184" i="20"/>
  <c r="AX184" i="20" s="1"/>
  <c r="H188" i="20"/>
  <c r="AX188" i="20" s="1"/>
  <c r="H192" i="20"/>
  <c r="AX192" i="20" s="1"/>
  <c r="H196" i="20"/>
  <c r="AX196" i="20" s="1"/>
  <c r="H200" i="20"/>
  <c r="AX200" i="20" s="1"/>
  <c r="H204" i="20"/>
  <c r="AX204" i="20" s="1"/>
  <c r="H208" i="20"/>
  <c r="AX208" i="20" s="1"/>
  <c r="H191" i="20"/>
  <c r="AX191" i="20" s="1"/>
  <c r="H195" i="20"/>
  <c r="AX195" i="20" s="1"/>
  <c r="H199" i="20"/>
  <c r="AX199" i="20" s="1"/>
  <c r="H203" i="20"/>
  <c r="AX203" i="20" s="1"/>
  <c r="H207" i="20"/>
  <c r="AX207" i="20" s="1"/>
  <c r="H161" i="20"/>
  <c r="AX161" i="20" s="1"/>
  <c r="H169" i="20"/>
  <c r="AX169" i="20" s="1"/>
  <c r="H177" i="20"/>
  <c r="AX177" i="20" s="1"/>
  <c r="H182" i="20"/>
  <c r="AX182" i="20" s="1"/>
  <c r="H186" i="20"/>
  <c r="AX186" i="20" s="1"/>
  <c r="H190" i="20"/>
  <c r="AX190" i="20" s="1"/>
  <c r="H194" i="20"/>
  <c r="AX194" i="20" s="1"/>
  <c r="H198" i="20"/>
  <c r="AX198" i="20" s="1"/>
  <c r="H202" i="20"/>
  <c r="AX202" i="20" s="1"/>
  <c r="H206" i="20"/>
  <c r="AX206" i="20" s="1"/>
  <c r="H9" i="20"/>
  <c r="AX9" i="20" s="1"/>
  <c r="B43" i="20"/>
  <c r="B41" i="20"/>
  <c r="B77" i="20"/>
  <c r="B39" i="20"/>
  <c r="AZ106" i="20"/>
  <c r="AZ104" i="20"/>
  <c r="AZ101" i="20"/>
  <c r="AZ92" i="20"/>
  <c r="AZ93" i="20"/>
  <c r="AZ85" i="20"/>
  <c r="AZ86" i="20"/>
  <c r="AZ77" i="20"/>
  <c r="AZ70" i="20"/>
  <c r="AZ65" i="20"/>
  <c r="AZ73" i="20"/>
  <c r="AZ62" i="20"/>
  <c r="AZ57" i="20"/>
  <c r="AZ56" i="20"/>
  <c r="AZ52" i="20"/>
  <c r="AZ48" i="20"/>
  <c r="AZ28" i="20"/>
  <c r="AZ17" i="20"/>
  <c r="AZ44" i="20"/>
  <c r="AZ40" i="20"/>
  <c r="AZ36" i="20"/>
  <c r="AZ29" i="20"/>
  <c r="AZ22" i="20"/>
  <c r="AZ16" i="20"/>
  <c r="AZ15" i="20"/>
  <c r="AZ11" i="20"/>
  <c r="AZ108" i="20"/>
  <c r="AZ105" i="20"/>
  <c r="AZ103" i="20"/>
  <c r="AZ99" i="20"/>
  <c r="AZ87" i="20"/>
  <c r="AZ84" i="20"/>
  <c r="AZ69" i="20"/>
  <c r="AZ72" i="20"/>
  <c r="AZ58" i="20"/>
  <c r="AZ53" i="20"/>
  <c r="AZ31" i="20"/>
  <c r="AZ41" i="20"/>
  <c r="AZ30" i="20"/>
  <c r="AZ12" i="20"/>
  <c r="AZ91" i="20"/>
  <c r="AZ78" i="20"/>
  <c r="AZ67" i="20"/>
  <c r="AZ60" i="20"/>
  <c r="AZ55" i="20"/>
  <c r="AZ35" i="20"/>
  <c r="AZ47" i="20"/>
  <c r="AZ39" i="20"/>
  <c r="AZ25" i="20"/>
  <c r="AZ14" i="20"/>
  <c r="AZ10" i="20"/>
  <c r="AZ107" i="20"/>
  <c r="AZ100" i="20"/>
  <c r="AZ96" i="20"/>
  <c r="AZ97" i="20"/>
  <c r="AZ89" i="20"/>
  <c r="AZ90" i="20"/>
  <c r="AZ81" i="20"/>
  <c r="AZ75" i="20"/>
  <c r="AZ68" i="20"/>
  <c r="AZ80" i="20"/>
  <c r="AZ71" i="20"/>
  <c r="AZ59" i="20"/>
  <c r="AZ63" i="20"/>
  <c r="AZ54" i="20"/>
  <c r="AZ50" i="20"/>
  <c r="AZ34" i="20"/>
  <c r="AZ26" i="20"/>
  <c r="AZ46" i="20"/>
  <c r="AZ42" i="20"/>
  <c r="AZ38" i="20"/>
  <c r="AZ32" i="20"/>
  <c r="AZ24" i="20"/>
  <c r="AZ18" i="20"/>
  <c r="AZ19" i="20"/>
  <c r="AZ13" i="20"/>
  <c r="AZ9" i="20"/>
  <c r="AZ109" i="20"/>
  <c r="AZ102" i="20"/>
  <c r="AZ94" i="20"/>
  <c r="AZ95" i="20"/>
  <c r="AZ83" i="20"/>
  <c r="AZ76" i="20"/>
  <c r="AZ82" i="20"/>
  <c r="AZ64" i="20"/>
  <c r="AZ61" i="20"/>
  <c r="AZ49" i="20"/>
  <c r="AZ43" i="20"/>
  <c r="AZ37" i="20"/>
  <c r="AZ23" i="20"/>
  <c r="AZ98" i="20"/>
  <c r="AZ88" i="20"/>
  <c r="AZ74" i="20"/>
  <c r="AZ79" i="20"/>
  <c r="AZ66" i="20"/>
  <c r="AZ51" i="20"/>
  <c r="AZ27" i="20"/>
  <c r="AZ45" i="20"/>
  <c r="AZ33" i="20"/>
  <c r="AZ20" i="20"/>
  <c r="AZ21" i="20"/>
  <c r="B19" i="20"/>
  <c r="B12" i="20"/>
  <c r="B43" i="2"/>
  <c r="B37" i="20"/>
  <c r="B42" i="20"/>
  <c r="K26" i="20"/>
  <c r="BC26" i="20" s="1"/>
  <c r="K10" i="20"/>
  <c r="BC10" i="20" s="1"/>
  <c r="K12" i="20"/>
  <c r="BC12" i="20" s="1"/>
  <c r="K14" i="20"/>
  <c r="BC14" i="20" s="1"/>
  <c r="K16" i="20"/>
  <c r="BC16" i="20" s="1"/>
  <c r="K18" i="20"/>
  <c r="BC18" i="20" s="1"/>
  <c r="K20" i="20"/>
  <c r="BC20" i="20" s="1"/>
  <c r="K25" i="20"/>
  <c r="BC25" i="20" s="1"/>
  <c r="K28" i="20"/>
  <c r="BC28" i="20" s="1"/>
  <c r="K30" i="20"/>
  <c r="BC30" i="20" s="1"/>
  <c r="K32" i="20"/>
  <c r="BC32" i="20" s="1"/>
  <c r="K34" i="20"/>
  <c r="BC34" i="20" s="1"/>
  <c r="K36" i="20"/>
  <c r="BC36" i="20" s="1"/>
  <c r="K38" i="20"/>
  <c r="BC38" i="20" s="1"/>
  <c r="K40" i="20"/>
  <c r="BC40" i="20" s="1"/>
  <c r="K42" i="20"/>
  <c r="BC42" i="20" s="1"/>
  <c r="K44" i="20"/>
  <c r="BC44" i="20" s="1"/>
  <c r="K46" i="20"/>
  <c r="BC46" i="20" s="1"/>
  <c r="K48" i="20"/>
  <c r="BC48" i="20" s="1"/>
  <c r="K50" i="20"/>
  <c r="BC50" i="20" s="1"/>
  <c r="K52" i="20"/>
  <c r="BC52" i="20" s="1"/>
  <c r="K54" i="20"/>
  <c r="BC54" i="20" s="1"/>
  <c r="K56" i="20"/>
  <c r="BC56" i="20" s="1"/>
  <c r="K58" i="20"/>
  <c r="BC58" i="20" s="1"/>
  <c r="K60" i="20"/>
  <c r="BC60" i="20" s="1"/>
  <c r="K62" i="20"/>
  <c r="BC62" i="20" s="1"/>
  <c r="K64" i="20"/>
  <c r="BC64" i="20" s="1"/>
  <c r="K66" i="20"/>
  <c r="BC66" i="20" s="1"/>
  <c r="K68" i="20"/>
  <c r="BC68" i="20" s="1"/>
  <c r="K70" i="20"/>
  <c r="BC70" i="20" s="1"/>
  <c r="K72" i="20"/>
  <c r="BC72" i="20" s="1"/>
  <c r="K74" i="20"/>
  <c r="BC74" i="20" s="1"/>
  <c r="K76" i="20"/>
  <c r="BC76" i="20" s="1"/>
  <c r="K78" i="20"/>
  <c r="BC78" i="20" s="1"/>
  <c r="K80" i="20"/>
  <c r="BC80" i="20" s="1"/>
  <c r="K82" i="20"/>
  <c r="BC82" i="20" s="1"/>
  <c r="K84" i="20"/>
  <c r="BC84" i="20" s="1"/>
  <c r="K86" i="20"/>
  <c r="BC86" i="20" s="1"/>
  <c r="K88" i="20"/>
  <c r="BC88" i="20" s="1"/>
  <c r="K90" i="20"/>
  <c r="BC90" i="20" s="1"/>
  <c r="K92" i="20"/>
  <c r="BC92" i="20" s="1"/>
  <c r="K94" i="20"/>
  <c r="BC94" i="20" s="1"/>
  <c r="K96" i="20"/>
  <c r="BC96" i="20" s="1"/>
  <c r="K98" i="20"/>
  <c r="BC98" i="20" s="1"/>
  <c r="K100" i="20"/>
  <c r="BC100" i="20" s="1"/>
  <c r="K102" i="20"/>
  <c r="BC102" i="20" s="1"/>
  <c r="K104" i="20"/>
  <c r="BC104" i="20" s="1"/>
  <c r="K106" i="20"/>
  <c r="BC106" i="20" s="1"/>
  <c r="K108" i="20"/>
  <c r="BC108" i="20" s="1"/>
  <c r="K9" i="20"/>
  <c r="BC9" i="20" s="1"/>
  <c r="B14" i="20"/>
  <c r="K11" i="20"/>
  <c r="BC11" i="20" s="1"/>
  <c r="K13" i="20"/>
  <c r="BC13" i="20" s="1"/>
  <c r="K15" i="20"/>
  <c r="BC15" i="20" s="1"/>
  <c r="K17" i="20"/>
  <c r="BC17" i="20" s="1"/>
  <c r="K19" i="20"/>
  <c r="BC19" i="20" s="1"/>
  <c r="K24" i="20"/>
  <c r="BC24" i="20" s="1"/>
  <c r="K27" i="20"/>
  <c r="BC27" i="20" s="1"/>
  <c r="K29" i="20"/>
  <c r="BC29" i="20" s="1"/>
  <c r="K31" i="20"/>
  <c r="BC31" i="20" s="1"/>
  <c r="K33" i="20"/>
  <c r="BC33" i="20" s="1"/>
  <c r="K35" i="20"/>
  <c r="BC35" i="20" s="1"/>
  <c r="K37" i="20"/>
  <c r="BC37" i="20" s="1"/>
  <c r="K39" i="20"/>
  <c r="BC39" i="20" s="1"/>
  <c r="K41" i="20"/>
  <c r="BC41" i="20" s="1"/>
  <c r="K43" i="20"/>
  <c r="BC43" i="20" s="1"/>
  <c r="K45" i="20"/>
  <c r="BC45" i="20" s="1"/>
  <c r="K47" i="20"/>
  <c r="BC47" i="20" s="1"/>
  <c r="K49" i="20"/>
  <c r="BC49" i="20" s="1"/>
  <c r="K51" i="20"/>
  <c r="BC51" i="20" s="1"/>
  <c r="K53" i="20"/>
  <c r="BC53" i="20" s="1"/>
  <c r="K55" i="20"/>
  <c r="BC55" i="20" s="1"/>
  <c r="K57" i="20"/>
  <c r="BC57" i="20" s="1"/>
  <c r="K59" i="20"/>
  <c r="BC59" i="20" s="1"/>
  <c r="K61" i="20"/>
  <c r="BC61" i="20" s="1"/>
  <c r="K63" i="20"/>
  <c r="BC63" i="20" s="1"/>
  <c r="K65" i="20"/>
  <c r="BC65" i="20" s="1"/>
  <c r="K67" i="20"/>
  <c r="BC67" i="20" s="1"/>
  <c r="K69" i="20"/>
  <c r="BC69" i="20" s="1"/>
  <c r="K71" i="20"/>
  <c r="BC71" i="20" s="1"/>
  <c r="K73" i="20"/>
  <c r="BC73" i="20" s="1"/>
  <c r="K75" i="20"/>
  <c r="BC75" i="20" s="1"/>
  <c r="K77" i="20"/>
  <c r="BC77" i="20" s="1"/>
  <c r="K79" i="20"/>
  <c r="BC79" i="20" s="1"/>
  <c r="K81" i="20"/>
  <c r="BC81" i="20" s="1"/>
  <c r="K83" i="20"/>
  <c r="BC83" i="20" s="1"/>
  <c r="K85" i="20"/>
  <c r="BC85" i="20" s="1"/>
  <c r="K87" i="20"/>
  <c r="BC87" i="20" s="1"/>
  <c r="K89" i="20"/>
  <c r="BC89" i="20" s="1"/>
  <c r="K91" i="20"/>
  <c r="BC91" i="20" s="1"/>
  <c r="K93" i="20"/>
  <c r="BC93" i="20" s="1"/>
  <c r="K95" i="20"/>
  <c r="BC95" i="20" s="1"/>
  <c r="K97" i="20"/>
  <c r="BC97" i="20" s="1"/>
  <c r="K99" i="20"/>
  <c r="BC99" i="20" s="1"/>
  <c r="K101" i="20"/>
  <c r="BC101" i="20" s="1"/>
  <c r="K103" i="20"/>
  <c r="BC103" i="20" s="1"/>
  <c r="K105" i="20"/>
  <c r="BC105" i="20" s="1"/>
  <c r="K107" i="20"/>
  <c r="BC107" i="20" s="1"/>
  <c r="K109" i="20"/>
  <c r="BC109" i="20" s="1"/>
  <c r="B58" i="20"/>
  <c r="B42" i="2"/>
  <c r="B40" i="2"/>
  <c r="B10" i="2" s="1"/>
  <c r="B81" i="2" s="1"/>
  <c r="D180" i="2"/>
  <c r="B41" i="2"/>
  <c r="D178" i="2"/>
  <c r="H178" i="2"/>
  <c r="D118" i="2"/>
  <c r="D117" i="2"/>
  <c r="D116" i="2"/>
  <c r="D179" i="2"/>
  <c r="D374" i="2"/>
  <c r="B413" i="2"/>
  <c r="B374" i="2"/>
  <c r="C415" i="2"/>
  <c r="B439" i="2"/>
  <c r="K311" i="2"/>
  <c r="A427" i="2"/>
  <c r="B427" i="2"/>
  <c r="D127" i="2"/>
  <c r="B245" i="2"/>
  <c r="B254" i="2"/>
  <c r="B256" i="2"/>
  <c r="B255" i="2"/>
  <c r="B259" i="2" s="1"/>
  <c r="E328" i="2"/>
  <c r="D129" i="2"/>
  <c r="D132" i="2"/>
  <c r="D134" i="2"/>
  <c r="B69" i="2"/>
  <c r="B333" i="2"/>
  <c r="N10" i="8" s="1"/>
  <c r="F3" i="8"/>
  <c r="F159" i="8" s="1"/>
  <c r="F158" i="8" s="1"/>
  <c r="F157" i="8" s="1"/>
  <c r="F156" i="8" s="1"/>
  <c r="F155" i="8" s="1"/>
  <c r="F154" i="8" s="1"/>
  <c r="F153" i="8" s="1"/>
  <c r="F152" i="8" s="1"/>
  <c r="F151" i="8" s="1"/>
  <c r="F150" i="8" s="1"/>
  <c r="F149" i="8" s="1"/>
  <c r="F148" i="8" s="1"/>
  <c r="F147" i="8" s="1"/>
  <c r="F146" i="8" s="1"/>
  <c r="F145" i="8" s="1"/>
  <c r="F144" i="8" s="1"/>
  <c r="F143" i="8" s="1"/>
  <c r="F142" i="8" s="1"/>
  <c r="F141" i="8" s="1"/>
  <c r="F140" i="8" s="1"/>
  <c r="F139" i="8" s="1"/>
  <c r="F138" i="8" s="1"/>
  <c r="F137" i="8" s="1"/>
  <c r="F136" i="8" s="1"/>
  <c r="F135" i="8" s="1"/>
  <c r="F134" i="8" s="1"/>
  <c r="F133" i="8" s="1"/>
  <c r="F132" i="8" s="1"/>
  <c r="F131" i="8" s="1"/>
  <c r="F130" i="8" s="1"/>
  <c r="F129" i="8" s="1"/>
  <c r="F128" i="8" s="1"/>
  <c r="F127" i="8" s="1"/>
  <c r="F126" i="8" s="1"/>
  <c r="F125" i="8" s="1"/>
  <c r="F124" i="8" s="1"/>
  <c r="F123" i="8" s="1"/>
  <c r="F122" i="8" s="1"/>
  <c r="F121" i="8" s="1"/>
  <c r="F120" i="8" s="1"/>
  <c r="F119" i="8" s="1"/>
  <c r="F118" i="8" s="1"/>
  <c r="F117" i="8" s="1"/>
  <c r="F116" i="8" s="1"/>
  <c r="F115" i="8" s="1"/>
  <c r="F114" i="8" s="1"/>
  <c r="F113" i="8" s="1"/>
  <c r="F112" i="8" s="1"/>
  <c r="F111" i="8" s="1"/>
  <c r="F110" i="8" s="1"/>
  <c r="F109" i="8" s="1"/>
  <c r="F108" i="8" s="1"/>
  <c r="F107" i="8" s="1"/>
  <c r="F106" i="8" s="1"/>
  <c r="F105" i="8" s="1"/>
  <c r="F104" i="8" s="1"/>
  <c r="F103" i="8" s="1"/>
  <c r="F102" i="8" s="1"/>
  <c r="F101" i="8" s="1"/>
  <c r="F100" i="8" s="1"/>
  <c r="F99" i="8" s="1"/>
  <c r="F98" i="8" s="1"/>
  <c r="F97" i="8" s="1"/>
  <c r="F96" i="8" s="1"/>
  <c r="F95" i="8" s="1"/>
  <c r="F94" i="8" s="1"/>
  <c r="F93" i="8" s="1"/>
  <c r="F92" i="8" s="1"/>
  <c r="F91" i="8" s="1"/>
  <c r="F90" i="8" s="1"/>
  <c r="F89" i="8" s="1"/>
  <c r="F88" i="8" s="1"/>
  <c r="F87" i="8" s="1"/>
  <c r="F86" i="8" s="1"/>
  <c r="F85" i="8" s="1"/>
  <c r="F84" i="8" s="1"/>
  <c r="F83" i="8" s="1"/>
  <c r="F82" i="8" s="1"/>
  <c r="F81" i="8" s="1"/>
  <c r="F80" i="8" s="1"/>
  <c r="F79" i="8" s="1"/>
  <c r="F78" i="8" s="1"/>
  <c r="F77" i="8" s="1"/>
  <c r="F76" i="8" s="1"/>
  <c r="F75" i="8" s="1"/>
  <c r="F74" i="8" s="1"/>
  <c r="F73" i="8" s="1"/>
  <c r="F72" i="8" s="1"/>
  <c r="F71" i="8" s="1"/>
  <c r="F70" i="8" s="1"/>
  <c r="F69" i="8" s="1"/>
  <c r="F68" i="8" s="1"/>
  <c r="F67" i="8" s="1"/>
  <c r="F66" i="8" s="1"/>
  <c r="F65" i="8" s="1"/>
  <c r="F64" i="8" s="1"/>
  <c r="F63" i="8" s="1"/>
  <c r="F62" i="8" s="1"/>
  <c r="F61" i="8" s="1"/>
  <c r="F60" i="8" s="1"/>
  <c r="F59" i="8" s="1"/>
  <c r="F58" i="8" s="1"/>
  <c r="F57" i="8" s="1"/>
  <c r="F56" i="8" s="1"/>
  <c r="F55" i="8" s="1"/>
  <c r="F54" i="8" s="1"/>
  <c r="F53" i="8" s="1"/>
  <c r="F52" i="8" s="1"/>
  <c r="F51" i="8" s="1"/>
  <c r="F50" i="8" s="1"/>
  <c r="F49" i="8" s="1"/>
  <c r="F48" i="8" s="1"/>
  <c r="F47" i="8" s="1"/>
  <c r="F46" i="8" s="1"/>
  <c r="F45" i="8" s="1"/>
  <c r="F44" i="8" s="1"/>
  <c r="F43" i="8" s="1"/>
  <c r="F42" i="8" s="1"/>
  <c r="F41" i="8" s="1"/>
  <c r="F40" i="8" s="1"/>
  <c r="F39" i="8" s="1"/>
  <c r="F38" i="8" s="1"/>
  <c r="F37" i="8" s="1"/>
  <c r="F36" i="8" s="1"/>
  <c r="F35" i="8" s="1"/>
  <c r="F34" i="8" s="1"/>
  <c r="F33" i="8" s="1"/>
  <c r="F32" i="8" s="1"/>
  <c r="F31" i="8" s="1"/>
  <c r="F30" i="8" s="1"/>
  <c r="F29" i="8" s="1"/>
  <c r="F28" i="8" s="1"/>
  <c r="F27" i="8" s="1"/>
  <c r="F26" i="8" s="1"/>
  <c r="F25" i="8" s="1"/>
  <c r="F24" i="8" s="1"/>
  <c r="F23" i="8" s="1"/>
  <c r="F22" i="8" s="1"/>
  <c r="F21" i="8" s="1"/>
  <c r="F20" i="8" s="1"/>
  <c r="F19" i="8" s="1"/>
  <c r="F18" i="8" s="1"/>
  <c r="F17" i="8" s="1"/>
  <c r="F16" i="8" s="1"/>
  <c r="F15" i="8" s="1"/>
  <c r="F14" i="8" s="1"/>
  <c r="F13" i="8" s="1"/>
  <c r="F12" i="8" s="1"/>
  <c r="F11" i="8" s="1"/>
  <c r="F10" i="8" s="1"/>
  <c r="F9" i="8" s="1"/>
  <c r="F8" i="8" s="1"/>
  <c r="F7" i="8" s="1"/>
  <c r="F6" i="8" s="1"/>
  <c r="F4" i="8" s="1"/>
  <c r="B15" i="2"/>
  <c r="B17" i="2" s="1"/>
  <c r="B293" i="2"/>
  <c r="B14" i="2"/>
  <c r="D160" i="2"/>
  <c r="E78" i="2"/>
  <c r="E79" i="2"/>
  <c r="D162" i="2"/>
  <c r="E80" i="2"/>
  <c r="B145" i="2"/>
  <c r="N149" i="2"/>
  <c r="D102" i="2"/>
  <c r="D149" i="2"/>
  <c r="C51" i="2"/>
  <c r="C72" i="2"/>
  <c r="C90" i="2"/>
  <c r="D60" i="2"/>
  <c r="M102" i="2"/>
  <c r="M104" i="2"/>
  <c r="C92" i="2"/>
  <c r="D62" i="2"/>
  <c r="M103" i="2"/>
  <c r="C52" i="2"/>
  <c r="D103" i="2"/>
  <c r="C74" i="2"/>
  <c r="C53" i="2"/>
  <c r="D151" i="2"/>
  <c r="N151" i="2"/>
  <c r="C73" i="2"/>
  <c r="N150" i="2"/>
  <c r="D61" i="2"/>
  <c r="C91" i="2"/>
  <c r="D104" i="2"/>
  <c r="B147" i="2"/>
  <c r="B146" i="2"/>
  <c r="B53" i="2"/>
  <c r="B58" i="2" s="1"/>
  <c r="B51" i="2"/>
  <c r="B56" i="2" s="1"/>
  <c r="B52" i="2"/>
  <c r="B57" i="2" s="1"/>
  <c r="C48" i="2"/>
  <c r="B48" i="2"/>
  <c r="B205" i="2"/>
  <c r="B3" i="8" s="1"/>
  <c r="B159" i="8" s="1"/>
  <c r="B158" i="8" s="1"/>
  <c r="B157" i="8" s="1"/>
  <c r="B156" i="8" s="1"/>
  <c r="B155" i="8" s="1"/>
  <c r="B154" i="8" s="1"/>
  <c r="B153" i="8" s="1"/>
  <c r="B152" i="8" s="1"/>
  <c r="B151" i="8" s="1"/>
  <c r="B150" i="8" s="1"/>
  <c r="B149" i="8" s="1"/>
  <c r="B148" i="8" s="1"/>
  <c r="B147" i="8" s="1"/>
  <c r="B146" i="8" s="1"/>
  <c r="B145" i="8" s="1"/>
  <c r="B144" i="8" s="1"/>
  <c r="B143" i="8" s="1"/>
  <c r="B142" i="8" s="1"/>
  <c r="B141" i="8" s="1"/>
  <c r="B140" i="8" s="1"/>
  <c r="B139" i="8" s="1"/>
  <c r="B138" i="8" s="1"/>
  <c r="B137" i="8" s="1"/>
  <c r="B136" i="8" s="1"/>
  <c r="B135" i="8" s="1"/>
  <c r="B134" i="8" s="1"/>
  <c r="B133" i="8" s="1"/>
  <c r="B132" i="8" s="1"/>
  <c r="B131" i="8" s="1"/>
  <c r="B130" i="8" s="1"/>
  <c r="B129" i="8" s="1"/>
  <c r="B128" i="8" s="1"/>
  <c r="B127" i="8" s="1"/>
  <c r="B126" i="8" s="1"/>
  <c r="B125" i="8" s="1"/>
  <c r="B124" i="8" s="1"/>
  <c r="B123" i="8" s="1"/>
  <c r="B122" i="8" s="1"/>
  <c r="B121" i="8" s="1"/>
  <c r="B120" i="8" s="1"/>
  <c r="B119" i="8" s="1"/>
  <c r="B118" i="8" s="1"/>
  <c r="B117" i="8" s="1"/>
  <c r="B116" i="8" s="1"/>
  <c r="B115" i="8" s="1"/>
  <c r="B114" i="8" s="1"/>
  <c r="B113" i="8" s="1"/>
  <c r="B112" i="8" s="1"/>
  <c r="B111" i="8" s="1"/>
  <c r="B110" i="8" s="1"/>
  <c r="B109" i="8" s="1"/>
  <c r="B108" i="8" s="1"/>
  <c r="B107" i="8" s="1"/>
  <c r="B106" i="8" s="1"/>
  <c r="B105" i="8" s="1"/>
  <c r="B104" i="8" s="1"/>
  <c r="B103" i="8" s="1"/>
  <c r="B102" i="8" s="1"/>
  <c r="B101" i="8" s="1"/>
  <c r="B100" i="8" s="1"/>
  <c r="B99" i="8" s="1"/>
  <c r="B98" i="8" s="1"/>
  <c r="B97" i="8" s="1"/>
  <c r="B96" i="8" s="1"/>
  <c r="B95" i="8" s="1"/>
  <c r="B94" i="8" s="1"/>
  <c r="B93" i="8" s="1"/>
  <c r="B92" i="8" s="1"/>
  <c r="B91" i="8" s="1"/>
  <c r="B90" i="8" s="1"/>
  <c r="B89" i="8" s="1"/>
  <c r="B88" i="8" s="1"/>
  <c r="B87" i="8" s="1"/>
  <c r="B86" i="8" s="1"/>
  <c r="B85" i="8" s="1"/>
  <c r="B84" i="8" s="1"/>
  <c r="B83" i="8" s="1"/>
  <c r="B82" i="8" s="1"/>
  <c r="B81" i="8" s="1"/>
  <c r="B80" i="8" s="1"/>
  <c r="B79" i="8" s="1"/>
  <c r="B78" i="8" s="1"/>
  <c r="B77" i="8" s="1"/>
  <c r="B76" i="8" s="1"/>
  <c r="B75" i="8" s="1"/>
  <c r="B74" i="8" s="1"/>
  <c r="B73" i="8" s="1"/>
  <c r="B72" i="8" s="1"/>
  <c r="B71" i="8" s="1"/>
  <c r="B70" i="8" s="1"/>
  <c r="B69" i="8" s="1"/>
  <c r="B68" i="8" s="1"/>
  <c r="B67" i="8" s="1"/>
  <c r="B66" i="8" s="1"/>
  <c r="B65" i="8" s="1"/>
  <c r="B64" i="8" s="1"/>
  <c r="B63" i="8" s="1"/>
  <c r="B62" i="8" s="1"/>
  <c r="B61" i="8" s="1"/>
  <c r="B60" i="8" s="1"/>
  <c r="B59" i="8" s="1"/>
  <c r="B58" i="8" s="1"/>
  <c r="B57" i="8" s="1"/>
  <c r="B56" i="8" s="1"/>
  <c r="B55" i="8" s="1"/>
  <c r="B54" i="8" s="1"/>
  <c r="B53" i="8" s="1"/>
  <c r="B52" i="8" s="1"/>
  <c r="B51" i="8" s="1"/>
  <c r="B50" i="8" s="1"/>
  <c r="B49" i="8" s="1"/>
  <c r="B48" i="8" s="1"/>
  <c r="B47" i="8" s="1"/>
  <c r="B46" i="8" s="1"/>
  <c r="B45" i="8" s="1"/>
  <c r="B44" i="8" s="1"/>
  <c r="B43" i="8" s="1"/>
  <c r="B42" i="8" s="1"/>
  <c r="B41" i="8" s="1"/>
  <c r="B40" i="8" s="1"/>
  <c r="B39" i="8" s="1"/>
  <c r="B38" i="8" s="1"/>
  <c r="B37" i="8" s="1"/>
  <c r="B36" i="8" s="1"/>
  <c r="B35" i="8" s="1"/>
  <c r="B34" i="8" s="1"/>
  <c r="B33" i="8" s="1"/>
  <c r="B32" i="8" s="1"/>
  <c r="B31" i="8" s="1"/>
  <c r="B30" i="8" s="1"/>
  <c r="B29" i="8" s="1"/>
  <c r="B28" i="8" s="1"/>
  <c r="B27" i="8" s="1"/>
  <c r="B26" i="8" s="1"/>
  <c r="B25" i="8" s="1"/>
  <c r="B24" i="8" s="1"/>
  <c r="B23" i="8" s="1"/>
  <c r="B22" i="8" s="1"/>
  <c r="B21" i="8" s="1"/>
  <c r="B20" i="8" s="1"/>
  <c r="B19" i="8" s="1"/>
  <c r="B18" i="8" s="1"/>
  <c r="B17" i="8" s="1"/>
  <c r="B16" i="8" s="1"/>
  <c r="B15" i="8" s="1"/>
  <c r="B14" i="8" s="1"/>
  <c r="B13" i="8" s="1"/>
  <c r="B12" i="8" s="1"/>
  <c r="B11" i="8" s="1"/>
  <c r="B10" i="8" s="1"/>
  <c r="B9" i="8" s="1"/>
  <c r="B8" i="8" s="1"/>
  <c r="B7" i="8" s="1"/>
  <c r="B6" i="8" s="1"/>
  <c r="B4" i="8" s="1"/>
  <c r="B437" i="2"/>
  <c r="O21" i="8"/>
  <c r="N4" i="8"/>
  <c r="O4" i="8" s="1"/>
  <c r="E12" i="1" s="1"/>
  <c r="O9" i="8"/>
  <c r="F74" i="1"/>
  <c r="B351" i="2"/>
  <c r="D328" i="2"/>
  <c r="I159" i="8"/>
  <c r="I158" i="8" s="1"/>
  <c r="I157" i="8" s="1"/>
  <c r="I156" i="8" s="1"/>
  <c r="I155" i="8" s="1"/>
  <c r="I154" i="8" s="1"/>
  <c r="I153" i="8" s="1"/>
  <c r="I152" i="8" s="1"/>
  <c r="I151" i="8" s="1"/>
  <c r="I150" i="8" s="1"/>
  <c r="I149" i="8" s="1"/>
  <c r="I148" i="8" s="1"/>
  <c r="I147" i="8" s="1"/>
  <c r="I146" i="8" s="1"/>
  <c r="I145" i="8" s="1"/>
  <c r="I144" i="8" s="1"/>
  <c r="I143" i="8" s="1"/>
  <c r="I142" i="8" s="1"/>
  <c r="I141" i="8" s="1"/>
  <c r="I140" i="8" s="1"/>
  <c r="I139" i="8" s="1"/>
  <c r="I138" i="8" s="1"/>
  <c r="I137" i="8" s="1"/>
  <c r="I136" i="8" s="1"/>
  <c r="I135" i="8" s="1"/>
  <c r="I134" i="8" s="1"/>
  <c r="I133" i="8" s="1"/>
  <c r="I132" i="8" s="1"/>
  <c r="I131" i="8" s="1"/>
  <c r="I130" i="8" s="1"/>
  <c r="I129" i="8" s="1"/>
  <c r="I128" i="8" s="1"/>
  <c r="I127" i="8" s="1"/>
  <c r="I126" i="8" s="1"/>
  <c r="I125" i="8" s="1"/>
  <c r="I124" i="8" s="1"/>
  <c r="I123" i="8" s="1"/>
  <c r="I122" i="8" s="1"/>
  <c r="I121" i="8" s="1"/>
  <c r="I120" i="8" s="1"/>
  <c r="I119" i="8" s="1"/>
  <c r="I118" i="8" s="1"/>
  <c r="I117" i="8" s="1"/>
  <c r="I116" i="8" s="1"/>
  <c r="I115" i="8" s="1"/>
  <c r="I114" i="8" s="1"/>
  <c r="I113" i="8" s="1"/>
  <c r="I112" i="8" s="1"/>
  <c r="I111" i="8" s="1"/>
  <c r="I110" i="8" s="1"/>
  <c r="I109" i="8" s="1"/>
  <c r="I108" i="8" s="1"/>
  <c r="I107" i="8" s="1"/>
  <c r="I106" i="8" s="1"/>
  <c r="I105" i="8" s="1"/>
  <c r="I104" i="8" s="1"/>
  <c r="I103" i="8" s="1"/>
  <c r="I102" i="8" s="1"/>
  <c r="I101" i="8" s="1"/>
  <c r="I100" i="8" s="1"/>
  <c r="I99" i="8" s="1"/>
  <c r="I98" i="8" s="1"/>
  <c r="I97" i="8" s="1"/>
  <c r="I96" i="8" s="1"/>
  <c r="I95" i="8" s="1"/>
  <c r="I94" i="8" s="1"/>
  <c r="I93" i="8" s="1"/>
  <c r="I92" i="8" s="1"/>
  <c r="I91" i="8" s="1"/>
  <c r="I90" i="8" s="1"/>
  <c r="I89" i="8" s="1"/>
  <c r="I88" i="8" s="1"/>
  <c r="I87" i="8" s="1"/>
  <c r="I86" i="8" s="1"/>
  <c r="I85" i="8" s="1"/>
  <c r="I84" i="8" s="1"/>
  <c r="I83" i="8" s="1"/>
  <c r="I82" i="8" s="1"/>
  <c r="I81" i="8" s="1"/>
  <c r="I80" i="8" s="1"/>
  <c r="I79" i="8" s="1"/>
  <c r="I78" i="8" s="1"/>
  <c r="I77" i="8" s="1"/>
  <c r="I76" i="8" s="1"/>
  <c r="I75" i="8" s="1"/>
  <c r="I74" i="8" s="1"/>
  <c r="I73" i="8" s="1"/>
  <c r="I72" i="8" s="1"/>
  <c r="I71" i="8" s="1"/>
  <c r="I70" i="8" s="1"/>
  <c r="I69" i="8" s="1"/>
  <c r="I68" i="8" s="1"/>
  <c r="I67" i="8" s="1"/>
  <c r="I66" i="8" s="1"/>
  <c r="I65" i="8" s="1"/>
  <c r="I64" i="8" s="1"/>
  <c r="I63" i="8" s="1"/>
  <c r="I62" i="8" s="1"/>
  <c r="I61" i="8" s="1"/>
  <c r="I60" i="8" s="1"/>
  <c r="I59" i="8" s="1"/>
  <c r="I58" i="8" s="1"/>
  <c r="I57" i="8" s="1"/>
  <c r="I56" i="8" s="1"/>
  <c r="I55" i="8" s="1"/>
  <c r="I54" i="8" s="1"/>
  <c r="I53" i="8" s="1"/>
  <c r="I52" i="8" s="1"/>
  <c r="I51" i="8" s="1"/>
  <c r="I50" i="8" s="1"/>
  <c r="I49" i="8" s="1"/>
  <c r="I48" i="8" s="1"/>
  <c r="I47" i="8" s="1"/>
  <c r="I46" i="8" s="1"/>
  <c r="I45" i="8" s="1"/>
  <c r="I44" i="8" s="1"/>
  <c r="I43" i="8" s="1"/>
  <c r="I42" i="8" s="1"/>
  <c r="I41" i="8" s="1"/>
  <c r="I40" i="8" s="1"/>
  <c r="I39" i="8" s="1"/>
  <c r="I38" i="8" s="1"/>
  <c r="I37" i="8" s="1"/>
  <c r="I36" i="8" s="1"/>
  <c r="I35" i="8" s="1"/>
  <c r="I34" i="8" s="1"/>
  <c r="I33" i="8" s="1"/>
  <c r="I32" i="8" s="1"/>
  <c r="I31" i="8" s="1"/>
  <c r="I30" i="8" s="1"/>
  <c r="I29" i="8" s="1"/>
  <c r="I28" i="8" s="1"/>
  <c r="I27" i="8" s="1"/>
  <c r="I26" i="8" s="1"/>
  <c r="I25" i="8" s="1"/>
  <c r="I24" i="8" s="1"/>
  <c r="I23" i="8" s="1"/>
  <c r="I22" i="8" s="1"/>
  <c r="I21" i="8" s="1"/>
  <c r="I20" i="8" s="1"/>
  <c r="I19" i="8" s="1"/>
  <c r="I18" i="8" s="1"/>
  <c r="I17" i="8" s="1"/>
  <c r="I16" i="8" s="1"/>
  <c r="I15" i="8" s="1"/>
  <c r="I14" i="8" s="1"/>
  <c r="I13" i="8" s="1"/>
  <c r="I12" i="8" s="1"/>
  <c r="I11" i="8" s="1"/>
  <c r="I10" i="8" s="1"/>
  <c r="I9" i="8" s="1"/>
  <c r="I8" i="8" s="1"/>
  <c r="I7" i="8" s="1"/>
  <c r="I6" i="8" s="1"/>
  <c r="I4" i="8" s="1"/>
  <c r="H159" i="8"/>
  <c r="H158" i="8" s="1"/>
  <c r="H157" i="8" s="1"/>
  <c r="H156" i="8" s="1"/>
  <c r="H155" i="8" s="1"/>
  <c r="H154" i="8" s="1"/>
  <c r="H153" i="8" s="1"/>
  <c r="H152" i="8" s="1"/>
  <c r="H151" i="8" s="1"/>
  <c r="H150" i="8" s="1"/>
  <c r="H149" i="8" s="1"/>
  <c r="H148" i="8" s="1"/>
  <c r="H147" i="8" s="1"/>
  <c r="H146" i="8" s="1"/>
  <c r="H145" i="8" s="1"/>
  <c r="H144" i="8" s="1"/>
  <c r="H143" i="8" s="1"/>
  <c r="H142" i="8" s="1"/>
  <c r="H141" i="8" s="1"/>
  <c r="H140" i="8" s="1"/>
  <c r="H139" i="8" s="1"/>
  <c r="H138" i="8" s="1"/>
  <c r="H137" i="8" s="1"/>
  <c r="H136" i="8" s="1"/>
  <c r="H135" i="8" s="1"/>
  <c r="H134" i="8" s="1"/>
  <c r="H133" i="8" s="1"/>
  <c r="H132" i="8" s="1"/>
  <c r="H131" i="8" s="1"/>
  <c r="H130" i="8" s="1"/>
  <c r="H129" i="8" s="1"/>
  <c r="H128" i="8" s="1"/>
  <c r="H127" i="8" s="1"/>
  <c r="H126" i="8" s="1"/>
  <c r="H125" i="8" s="1"/>
  <c r="H124" i="8" s="1"/>
  <c r="H123" i="8" s="1"/>
  <c r="H122" i="8" s="1"/>
  <c r="H121" i="8" s="1"/>
  <c r="H120" i="8" s="1"/>
  <c r="H119" i="8" s="1"/>
  <c r="H118" i="8" s="1"/>
  <c r="H117" i="8" s="1"/>
  <c r="H116" i="8" s="1"/>
  <c r="H115" i="8" s="1"/>
  <c r="H114" i="8" s="1"/>
  <c r="H113" i="8" s="1"/>
  <c r="H112" i="8" s="1"/>
  <c r="H111" i="8" s="1"/>
  <c r="H110" i="8" s="1"/>
  <c r="H109" i="8" s="1"/>
  <c r="H108" i="8" s="1"/>
  <c r="H107" i="8" s="1"/>
  <c r="H106" i="8" s="1"/>
  <c r="H105" i="8" s="1"/>
  <c r="H104" i="8" s="1"/>
  <c r="H103" i="8" s="1"/>
  <c r="H102" i="8" s="1"/>
  <c r="H101" i="8" s="1"/>
  <c r="H100" i="8" s="1"/>
  <c r="H99" i="8" s="1"/>
  <c r="H98" i="8" s="1"/>
  <c r="H97" i="8" s="1"/>
  <c r="H96" i="8" s="1"/>
  <c r="H95" i="8" s="1"/>
  <c r="H94" i="8" s="1"/>
  <c r="H93" i="8" s="1"/>
  <c r="H92" i="8" s="1"/>
  <c r="H91" i="8" s="1"/>
  <c r="H90" i="8" s="1"/>
  <c r="H89" i="8" s="1"/>
  <c r="H88" i="8" s="1"/>
  <c r="H87" i="8" s="1"/>
  <c r="H86" i="8" s="1"/>
  <c r="H85" i="8" s="1"/>
  <c r="H84" i="8" s="1"/>
  <c r="H83" i="8" s="1"/>
  <c r="H82" i="8" s="1"/>
  <c r="H81" i="8" s="1"/>
  <c r="H80" i="8" s="1"/>
  <c r="H79" i="8" s="1"/>
  <c r="H78" i="8" s="1"/>
  <c r="H77" i="8" s="1"/>
  <c r="H76" i="8" s="1"/>
  <c r="H75" i="8" s="1"/>
  <c r="H74" i="8" s="1"/>
  <c r="H73" i="8" s="1"/>
  <c r="H72" i="8" s="1"/>
  <c r="H71" i="8" s="1"/>
  <c r="H70" i="8" s="1"/>
  <c r="H69" i="8" s="1"/>
  <c r="H68" i="8" s="1"/>
  <c r="H67" i="8" s="1"/>
  <c r="H66" i="8" s="1"/>
  <c r="H65" i="8" s="1"/>
  <c r="H64" i="8" s="1"/>
  <c r="H63" i="8" s="1"/>
  <c r="H62" i="8" s="1"/>
  <c r="H61" i="8" s="1"/>
  <c r="H60" i="8" s="1"/>
  <c r="H59" i="8" s="1"/>
  <c r="H58" i="8" s="1"/>
  <c r="H57" i="8" s="1"/>
  <c r="H56" i="8" s="1"/>
  <c r="H55" i="8" s="1"/>
  <c r="H54" i="8" s="1"/>
  <c r="H53" i="8" s="1"/>
  <c r="H52" i="8" s="1"/>
  <c r="H51" i="8" s="1"/>
  <c r="H50" i="8" s="1"/>
  <c r="H49" i="8" s="1"/>
  <c r="H48" i="8" s="1"/>
  <c r="H47" i="8" s="1"/>
  <c r="H46" i="8" s="1"/>
  <c r="H45" i="8" s="1"/>
  <c r="H44" i="8" s="1"/>
  <c r="H43" i="8" s="1"/>
  <c r="H42" i="8" s="1"/>
  <c r="H41" i="8" s="1"/>
  <c r="H40" i="8" s="1"/>
  <c r="H39" i="8" s="1"/>
  <c r="H38" i="8" s="1"/>
  <c r="H37" i="8" s="1"/>
  <c r="H36" i="8" s="1"/>
  <c r="H35" i="8" s="1"/>
  <c r="H34" i="8" s="1"/>
  <c r="H33" i="8" s="1"/>
  <c r="H32" i="8" s="1"/>
  <c r="H31" i="8" s="1"/>
  <c r="H30" i="8" s="1"/>
  <c r="H29" i="8" s="1"/>
  <c r="H28" i="8" s="1"/>
  <c r="H27" i="8" s="1"/>
  <c r="H26" i="8" s="1"/>
  <c r="H25" i="8" s="1"/>
  <c r="H24" i="8" s="1"/>
  <c r="H23" i="8" s="1"/>
  <c r="H22" i="8" s="1"/>
  <c r="H21" i="8" s="1"/>
  <c r="H20" i="8" s="1"/>
  <c r="H19" i="8" s="1"/>
  <c r="H18" i="8" s="1"/>
  <c r="H17" i="8" s="1"/>
  <c r="H16" i="8" s="1"/>
  <c r="H15" i="8" s="1"/>
  <c r="H14" i="8" s="1"/>
  <c r="H13" i="8" s="1"/>
  <c r="H12" i="8" s="1"/>
  <c r="H11" i="8" s="1"/>
  <c r="H10" i="8" s="1"/>
  <c r="H9" i="8" s="1"/>
  <c r="H8" i="8" s="1"/>
  <c r="H7" i="8" s="1"/>
  <c r="H6" i="8" s="1"/>
  <c r="H4" i="8" s="1"/>
  <c r="O19" i="8" s="1"/>
  <c r="E61" i="1" s="1"/>
  <c r="J159" i="8"/>
  <c r="J158" i="8" s="1"/>
  <c r="J157" i="8" s="1"/>
  <c r="J156" i="8" s="1"/>
  <c r="J155" i="8" s="1"/>
  <c r="J154" i="8" s="1"/>
  <c r="J153" i="8" s="1"/>
  <c r="J152" i="8" s="1"/>
  <c r="J151" i="8" s="1"/>
  <c r="J150" i="8" s="1"/>
  <c r="J149" i="8" s="1"/>
  <c r="J148" i="8" s="1"/>
  <c r="J147" i="8" s="1"/>
  <c r="J146" i="8" s="1"/>
  <c r="J145" i="8" s="1"/>
  <c r="J144" i="8" s="1"/>
  <c r="J143" i="8" s="1"/>
  <c r="J142" i="8" s="1"/>
  <c r="J141" i="8" s="1"/>
  <c r="J140" i="8" s="1"/>
  <c r="J139" i="8" s="1"/>
  <c r="J138" i="8" s="1"/>
  <c r="J137" i="8" s="1"/>
  <c r="J136" i="8" s="1"/>
  <c r="J135" i="8" s="1"/>
  <c r="J134" i="8" s="1"/>
  <c r="J133" i="8" s="1"/>
  <c r="J132" i="8" s="1"/>
  <c r="J131" i="8" s="1"/>
  <c r="J130" i="8" s="1"/>
  <c r="J129" i="8" s="1"/>
  <c r="J128" i="8" s="1"/>
  <c r="J127" i="8" s="1"/>
  <c r="J126" i="8" s="1"/>
  <c r="J125" i="8" s="1"/>
  <c r="J124" i="8" s="1"/>
  <c r="J123" i="8" s="1"/>
  <c r="J122" i="8" s="1"/>
  <c r="J121" i="8" s="1"/>
  <c r="J120" i="8" s="1"/>
  <c r="J119" i="8" s="1"/>
  <c r="J118" i="8" s="1"/>
  <c r="J117" i="8" s="1"/>
  <c r="J116" i="8" s="1"/>
  <c r="J115" i="8" s="1"/>
  <c r="J114" i="8" s="1"/>
  <c r="J113" i="8" s="1"/>
  <c r="J112" i="8" s="1"/>
  <c r="J111" i="8" s="1"/>
  <c r="J110" i="8" s="1"/>
  <c r="J109" i="8" s="1"/>
  <c r="J108" i="8" s="1"/>
  <c r="J107" i="8" s="1"/>
  <c r="J106" i="8" s="1"/>
  <c r="J105" i="8" s="1"/>
  <c r="J104" i="8" s="1"/>
  <c r="J103" i="8" s="1"/>
  <c r="J102" i="8" s="1"/>
  <c r="J101" i="8" s="1"/>
  <c r="J100" i="8" s="1"/>
  <c r="J99" i="8" s="1"/>
  <c r="J98" i="8" s="1"/>
  <c r="J97" i="8" s="1"/>
  <c r="J96" i="8" s="1"/>
  <c r="J95" i="8" s="1"/>
  <c r="J94" i="8" s="1"/>
  <c r="J93" i="8" s="1"/>
  <c r="J92" i="8" s="1"/>
  <c r="J91" i="8" s="1"/>
  <c r="J90" i="8" s="1"/>
  <c r="J89" i="8" s="1"/>
  <c r="J88" i="8" s="1"/>
  <c r="J87" i="8" s="1"/>
  <c r="J86" i="8" s="1"/>
  <c r="J85" i="8" s="1"/>
  <c r="J84" i="8" s="1"/>
  <c r="J83" i="8" s="1"/>
  <c r="J82" i="8" s="1"/>
  <c r="J81" i="8" s="1"/>
  <c r="J80" i="8" s="1"/>
  <c r="J79" i="8" s="1"/>
  <c r="J78" i="8" s="1"/>
  <c r="J77" i="8" s="1"/>
  <c r="J76" i="8" s="1"/>
  <c r="J75" i="8" s="1"/>
  <c r="J74" i="8" s="1"/>
  <c r="J73" i="8" s="1"/>
  <c r="J72" i="8" s="1"/>
  <c r="J71" i="8" s="1"/>
  <c r="J70" i="8" s="1"/>
  <c r="J69" i="8" s="1"/>
  <c r="J68" i="8" s="1"/>
  <c r="J67" i="8" s="1"/>
  <c r="J66" i="8" s="1"/>
  <c r="J65" i="8" s="1"/>
  <c r="J64" i="8" s="1"/>
  <c r="J63" i="8" s="1"/>
  <c r="J62" i="8" s="1"/>
  <c r="J61" i="8" s="1"/>
  <c r="J60" i="8" s="1"/>
  <c r="J59" i="8" s="1"/>
  <c r="J58" i="8" s="1"/>
  <c r="J57" i="8" s="1"/>
  <c r="J56" i="8" s="1"/>
  <c r="J55" i="8" s="1"/>
  <c r="J54" i="8" s="1"/>
  <c r="J53" i="8" s="1"/>
  <c r="J52" i="8" s="1"/>
  <c r="J51" i="8" s="1"/>
  <c r="J50" i="8" s="1"/>
  <c r="J49" i="8" s="1"/>
  <c r="J48" i="8" s="1"/>
  <c r="J47" i="8" s="1"/>
  <c r="J46" i="8" s="1"/>
  <c r="J45" i="8" s="1"/>
  <c r="J44" i="8" s="1"/>
  <c r="J43" i="8" s="1"/>
  <c r="J42" i="8" s="1"/>
  <c r="J41" i="8" s="1"/>
  <c r="J40" i="8" s="1"/>
  <c r="J39" i="8" s="1"/>
  <c r="J38" i="8" s="1"/>
  <c r="J37" i="8" s="1"/>
  <c r="J36" i="8" s="1"/>
  <c r="J35" i="8" s="1"/>
  <c r="J34" i="8" s="1"/>
  <c r="J33" i="8" s="1"/>
  <c r="J32" i="8" s="1"/>
  <c r="J31" i="8" s="1"/>
  <c r="J30" i="8" s="1"/>
  <c r="J29" i="8" s="1"/>
  <c r="J28" i="8" s="1"/>
  <c r="J27" i="8" s="1"/>
  <c r="J26" i="8" s="1"/>
  <c r="J25" i="8" s="1"/>
  <c r="J24" i="8" s="1"/>
  <c r="J23" i="8" s="1"/>
  <c r="J22" i="8" s="1"/>
  <c r="J21" i="8" s="1"/>
  <c r="J20" i="8" s="1"/>
  <c r="J19" i="8" s="1"/>
  <c r="J18" i="8" s="1"/>
  <c r="J17" i="8" s="1"/>
  <c r="J16" i="8" s="1"/>
  <c r="J15" i="8" s="1"/>
  <c r="J14" i="8" s="1"/>
  <c r="J13" i="8" s="1"/>
  <c r="J12" i="8" s="1"/>
  <c r="J11" i="8" s="1"/>
  <c r="J10" i="8" s="1"/>
  <c r="J9" i="8" s="1"/>
  <c r="J8" i="8" s="1"/>
  <c r="J7" i="8" s="1"/>
  <c r="J6" i="8" s="1"/>
  <c r="J4" i="8" s="1"/>
  <c r="B4" i="6"/>
  <c r="B12" i="6" s="1"/>
  <c r="B13" i="6" s="1"/>
  <c r="B95" i="2"/>
  <c r="B312" i="2"/>
  <c r="K3" i="17" s="1"/>
  <c r="B204" i="2"/>
  <c r="E3" i="8"/>
  <c r="E159" i="8" s="1"/>
  <c r="E158" i="8" s="1"/>
  <c r="E157" i="8" s="1"/>
  <c r="E156" i="8" s="1"/>
  <c r="E155" i="8" s="1"/>
  <c r="E154" i="8" s="1"/>
  <c r="E153" i="8" s="1"/>
  <c r="E152" i="8" s="1"/>
  <c r="E151" i="8" s="1"/>
  <c r="E150" i="8" s="1"/>
  <c r="E149" i="8" s="1"/>
  <c r="E148" i="8" s="1"/>
  <c r="E147" i="8" s="1"/>
  <c r="E146" i="8" s="1"/>
  <c r="E145" i="8" s="1"/>
  <c r="E144" i="8" s="1"/>
  <c r="E143" i="8" s="1"/>
  <c r="E142" i="8" s="1"/>
  <c r="E141" i="8" s="1"/>
  <c r="E140" i="8" s="1"/>
  <c r="E139" i="8" s="1"/>
  <c r="E138" i="8" s="1"/>
  <c r="E137" i="8" s="1"/>
  <c r="E136" i="8" s="1"/>
  <c r="E135" i="8" s="1"/>
  <c r="E134" i="8" s="1"/>
  <c r="E133" i="8" s="1"/>
  <c r="E132" i="8" s="1"/>
  <c r="E131" i="8" s="1"/>
  <c r="E130" i="8" s="1"/>
  <c r="E129" i="8" s="1"/>
  <c r="E128" i="8" s="1"/>
  <c r="E127" i="8" s="1"/>
  <c r="E126" i="8" s="1"/>
  <c r="E125" i="8" s="1"/>
  <c r="E124" i="8" s="1"/>
  <c r="E123" i="8" s="1"/>
  <c r="E122" i="8" s="1"/>
  <c r="E121" i="8" s="1"/>
  <c r="E120" i="8" s="1"/>
  <c r="E119" i="8" s="1"/>
  <c r="E118" i="8" s="1"/>
  <c r="E117" i="8" s="1"/>
  <c r="E116" i="8" s="1"/>
  <c r="E115" i="8" s="1"/>
  <c r="E114" i="8" s="1"/>
  <c r="E113" i="8" s="1"/>
  <c r="E112" i="8" s="1"/>
  <c r="E111" i="8" s="1"/>
  <c r="E110" i="8" s="1"/>
  <c r="E109" i="8" s="1"/>
  <c r="E108" i="8" s="1"/>
  <c r="E107" i="8" s="1"/>
  <c r="E106" i="8" s="1"/>
  <c r="E105" i="8" s="1"/>
  <c r="E104" i="8" s="1"/>
  <c r="E103" i="8" s="1"/>
  <c r="E102" i="8" s="1"/>
  <c r="E101" i="8" s="1"/>
  <c r="E100" i="8" s="1"/>
  <c r="E99" i="8" s="1"/>
  <c r="E98" i="8" s="1"/>
  <c r="E97" i="8" s="1"/>
  <c r="E96" i="8" s="1"/>
  <c r="E95" i="8" s="1"/>
  <c r="E94" i="8" s="1"/>
  <c r="E93" i="8" s="1"/>
  <c r="E92" i="8" s="1"/>
  <c r="E91" i="8" s="1"/>
  <c r="E90" i="8" s="1"/>
  <c r="E89" i="8" s="1"/>
  <c r="E88" i="8" s="1"/>
  <c r="E87" i="8" s="1"/>
  <c r="E86" i="8" s="1"/>
  <c r="E85" i="8" s="1"/>
  <c r="E84" i="8" s="1"/>
  <c r="E83" i="8" s="1"/>
  <c r="E82" i="8" s="1"/>
  <c r="E81" i="8" s="1"/>
  <c r="E80" i="8" s="1"/>
  <c r="E79" i="8" s="1"/>
  <c r="E78" i="8" s="1"/>
  <c r="E77" i="8" s="1"/>
  <c r="E76" i="8" s="1"/>
  <c r="E75" i="8" s="1"/>
  <c r="E74" i="8" s="1"/>
  <c r="E73" i="8" s="1"/>
  <c r="E72" i="8" s="1"/>
  <c r="E71" i="8" s="1"/>
  <c r="E70" i="8" s="1"/>
  <c r="E69" i="8" s="1"/>
  <c r="E68" i="8" s="1"/>
  <c r="E67" i="8" s="1"/>
  <c r="E66" i="8" s="1"/>
  <c r="E65" i="8" s="1"/>
  <c r="E64" i="8" s="1"/>
  <c r="E63" i="8" s="1"/>
  <c r="E62" i="8" s="1"/>
  <c r="E61" i="8" s="1"/>
  <c r="E60" i="8" s="1"/>
  <c r="E59" i="8" s="1"/>
  <c r="E58" i="8" s="1"/>
  <c r="E57" i="8" s="1"/>
  <c r="E56" i="8" s="1"/>
  <c r="E55" i="8" s="1"/>
  <c r="E54" i="8" s="1"/>
  <c r="E53" i="8" s="1"/>
  <c r="E52" i="8" s="1"/>
  <c r="E51" i="8" s="1"/>
  <c r="E50" i="8" s="1"/>
  <c r="E49" i="8" s="1"/>
  <c r="E48" i="8" s="1"/>
  <c r="E47" i="8" s="1"/>
  <c r="E46" i="8" s="1"/>
  <c r="E45" i="8" s="1"/>
  <c r="E44" i="8" s="1"/>
  <c r="E43" i="8" s="1"/>
  <c r="E42" i="8" s="1"/>
  <c r="E41" i="8" s="1"/>
  <c r="E40" i="8" s="1"/>
  <c r="E39" i="8" s="1"/>
  <c r="E38" i="8" s="1"/>
  <c r="E37" i="8" s="1"/>
  <c r="E36" i="8" s="1"/>
  <c r="E35" i="8" s="1"/>
  <c r="E34" i="8" s="1"/>
  <c r="E33" i="8" s="1"/>
  <c r="E32" i="8" s="1"/>
  <c r="E31" i="8" s="1"/>
  <c r="E30" i="8" s="1"/>
  <c r="E29" i="8" s="1"/>
  <c r="E28" i="8" s="1"/>
  <c r="E27" i="8" s="1"/>
  <c r="E26" i="8" s="1"/>
  <c r="E25" i="8" s="1"/>
  <c r="E24" i="8" s="1"/>
  <c r="E23" i="8" s="1"/>
  <c r="E22" i="8" s="1"/>
  <c r="E21" i="8" s="1"/>
  <c r="E20" i="8" s="1"/>
  <c r="E19" i="8" s="1"/>
  <c r="E18" i="8" s="1"/>
  <c r="E17" i="8" s="1"/>
  <c r="E16" i="8" s="1"/>
  <c r="E15" i="8" s="1"/>
  <c r="E14" i="8" s="1"/>
  <c r="E13" i="8" s="1"/>
  <c r="E12" i="8" s="1"/>
  <c r="E11" i="8" s="1"/>
  <c r="E10" i="8" s="1"/>
  <c r="E9" i="8" s="1"/>
  <c r="E8" i="8" s="1"/>
  <c r="E7" i="8" s="1"/>
  <c r="E6" i="8" s="1"/>
  <c r="E4" i="8" s="1"/>
  <c r="BC12" i="21" l="1"/>
  <c r="L12" i="21"/>
  <c r="BC106" i="21"/>
  <c r="L106" i="21"/>
  <c r="BC102" i="21"/>
  <c r="L102" i="21"/>
  <c r="BC98" i="21"/>
  <c r="L98" i="21"/>
  <c r="BC94" i="21"/>
  <c r="L94" i="21"/>
  <c r="BC90" i="21"/>
  <c r="L90" i="21"/>
  <c r="BC86" i="21"/>
  <c r="L86" i="21"/>
  <c r="BC82" i="21"/>
  <c r="L82" i="21"/>
  <c r="BC78" i="21"/>
  <c r="L78" i="21"/>
  <c r="BC74" i="21"/>
  <c r="L74" i="21"/>
  <c r="BC70" i="21"/>
  <c r="L70" i="21"/>
  <c r="BC66" i="21"/>
  <c r="L66" i="21"/>
  <c r="BC62" i="21"/>
  <c r="L62" i="21"/>
  <c r="BC58" i="21"/>
  <c r="L58" i="21"/>
  <c r="BC54" i="21"/>
  <c r="L54" i="21"/>
  <c r="BC50" i="21"/>
  <c r="L50" i="21"/>
  <c r="BC46" i="21"/>
  <c r="L46" i="21"/>
  <c r="BC42" i="21"/>
  <c r="L42" i="21"/>
  <c r="BC38" i="21"/>
  <c r="L38" i="21"/>
  <c r="BC34" i="21"/>
  <c r="L34" i="21"/>
  <c r="BC30" i="21"/>
  <c r="L30" i="21"/>
  <c r="BC26" i="21"/>
  <c r="L26" i="21"/>
  <c r="BC22" i="21"/>
  <c r="L22" i="21"/>
  <c r="BC18" i="21"/>
  <c r="L18" i="21"/>
  <c r="BC14" i="21"/>
  <c r="L14" i="21"/>
  <c r="BC10" i="21"/>
  <c r="L10" i="21"/>
  <c r="BC107" i="21"/>
  <c r="L107" i="21"/>
  <c r="BC103" i="21"/>
  <c r="L103" i="21"/>
  <c r="BC99" i="21"/>
  <c r="L99" i="21"/>
  <c r="BC95" i="21"/>
  <c r="L95" i="21"/>
  <c r="BC91" i="21"/>
  <c r="L91" i="21"/>
  <c r="BC87" i="21"/>
  <c r="L87" i="21"/>
  <c r="BC83" i="21"/>
  <c r="L83" i="21"/>
  <c r="BC79" i="21"/>
  <c r="L79" i="21"/>
  <c r="BC75" i="21"/>
  <c r="L75" i="21"/>
  <c r="BC71" i="21"/>
  <c r="L71" i="21"/>
  <c r="BC67" i="21"/>
  <c r="L67" i="21"/>
  <c r="BC63" i="21"/>
  <c r="L63" i="21"/>
  <c r="BC59" i="21"/>
  <c r="L59" i="21"/>
  <c r="BC55" i="21"/>
  <c r="L55" i="21"/>
  <c r="BC51" i="21"/>
  <c r="L51" i="21"/>
  <c r="BC47" i="21"/>
  <c r="L47" i="21"/>
  <c r="BC43" i="21"/>
  <c r="L43" i="21"/>
  <c r="BC39" i="21"/>
  <c r="L39" i="21"/>
  <c r="BC35" i="21"/>
  <c r="L35" i="21"/>
  <c r="BC31" i="21"/>
  <c r="L31" i="21"/>
  <c r="BC27" i="21"/>
  <c r="L27" i="21"/>
  <c r="BC23" i="21"/>
  <c r="L23" i="21"/>
  <c r="BC19" i="21"/>
  <c r="L19" i="21"/>
  <c r="BC15" i="21"/>
  <c r="L15" i="21"/>
  <c r="BC11" i="21"/>
  <c r="L11" i="21"/>
  <c r="BC108" i="21"/>
  <c r="L108" i="21"/>
  <c r="BC104" i="21"/>
  <c r="L104" i="21"/>
  <c r="BC100" i="21"/>
  <c r="L100" i="21"/>
  <c r="BC96" i="21"/>
  <c r="L96" i="21"/>
  <c r="BC92" i="21"/>
  <c r="L92" i="21"/>
  <c r="BC88" i="21"/>
  <c r="L88" i="21"/>
  <c r="BC84" i="21"/>
  <c r="L84" i="21"/>
  <c r="BC80" i="21"/>
  <c r="L80" i="21"/>
  <c r="BC76" i="21"/>
  <c r="L76" i="21"/>
  <c r="BC72" i="21"/>
  <c r="L72" i="21"/>
  <c r="BC68" i="21"/>
  <c r="L68" i="21"/>
  <c r="BC64" i="21"/>
  <c r="L64" i="21"/>
  <c r="BC60" i="21"/>
  <c r="L60" i="21"/>
  <c r="BC56" i="21"/>
  <c r="L56" i="21"/>
  <c r="BC52" i="21"/>
  <c r="L52" i="21"/>
  <c r="BC48" i="21"/>
  <c r="L48" i="21"/>
  <c r="BC44" i="21"/>
  <c r="L44" i="21"/>
  <c r="BC40" i="21"/>
  <c r="L40" i="21"/>
  <c r="BC36" i="21"/>
  <c r="L36" i="21"/>
  <c r="BC32" i="21"/>
  <c r="L32" i="21"/>
  <c r="BC28" i="21"/>
  <c r="L28" i="21"/>
  <c r="BC24" i="21"/>
  <c r="L24" i="21"/>
  <c r="BC20" i="21"/>
  <c r="L20" i="21"/>
  <c r="BC16" i="21"/>
  <c r="L16" i="21"/>
  <c r="BC109" i="21"/>
  <c r="L109" i="21"/>
  <c r="BC105" i="21"/>
  <c r="L105" i="21"/>
  <c r="BC101" i="21"/>
  <c r="L101" i="21"/>
  <c r="BC97" i="21"/>
  <c r="L97" i="21"/>
  <c r="BC93" i="21"/>
  <c r="L93" i="21"/>
  <c r="BC89" i="21"/>
  <c r="L89" i="21"/>
  <c r="BC85" i="21"/>
  <c r="L85" i="21"/>
  <c r="BC81" i="21"/>
  <c r="L81" i="21"/>
  <c r="BC77" i="21"/>
  <c r="L77" i="21"/>
  <c r="BC73" i="21"/>
  <c r="L73" i="21"/>
  <c r="BC69" i="21"/>
  <c r="L69" i="21"/>
  <c r="BC65" i="21"/>
  <c r="L65" i="21"/>
  <c r="BC61" i="21"/>
  <c r="L61" i="21"/>
  <c r="BC57" i="21"/>
  <c r="L57" i="21"/>
  <c r="BC53" i="21"/>
  <c r="L53" i="21"/>
  <c r="BC49" i="21"/>
  <c r="L49" i="21"/>
  <c r="BC45" i="21"/>
  <c r="L45" i="21"/>
  <c r="BC41" i="21"/>
  <c r="L41" i="21"/>
  <c r="BC37" i="21"/>
  <c r="L37" i="21"/>
  <c r="BC33" i="21"/>
  <c r="L33" i="21"/>
  <c r="BC29" i="21"/>
  <c r="L29" i="21"/>
  <c r="BC25" i="21"/>
  <c r="L25" i="21"/>
  <c r="BC21" i="21"/>
  <c r="L21" i="21"/>
  <c r="BC17" i="21"/>
  <c r="L17" i="21"/>
  <c r="BC13" i="21"/>
  <c r="L13" i="21"/>
  <c r="B73" i="21"/>
  <c r="B45" i="21"/>
  <c r="B72" i="21"/>
  <c r="I79" i="21"/>
  <c r="J79" i="21" s="1"/>
  <c r="AY79" i="21" s="1"/>
  <c r="I78" i="21"/>
  <c r="J78" i="21" s="1"/>
  <c r="AY78" i="21" s="1"/>
  <c r="I76" i="21"/>
  <c r="J76" i="21" s="1"/>
  <c r="AY76" i="21" s="1"/>
  <c r="I74" i="21"/>
  <c r="J74" i="21" s="1"/>
  <c r="AY74" i="21" s="1"/>
  <c r="I73" i="21"/>
  <c r="J73" i="21" s="1"/>
  <c r="AY73" i="21" s="1"/>
  <c r="I71" i="21"/>
  <c r="J71" i="21" s="1"/>
  <c r="AY71" i="21" s="1"/>
  <c r="I70" i="21"/>
  <c r="J70" i="21" s="1"/>
  <c r="AY70" i="21" s="1"/>
  <c r="I109" i="21"/>
  <c r="J109" i="21" s="1"/>
  <c r="AY109" i="21" s="1"/>
  <c r="I108" i="21"/>
  <c r="J108" i="21" s="1"/>
  <c r="AY108" i="21" s="1"/>
  <c r="I107" i="21"/>
  <c r="J107" i="21" s="1"/>
  <c r="AY107" i="21" s="1"/>
  <c r="I106" i="21"/>
  <c r="J106" i="21" s="1"/>
  <c r="AY106" i="21" s="1"/>
  <c r="I105" i="21"/>
  <c r="J105" i="21" s="1"/>
  <c r="AY105" i="21" s="1"/>
  <c r="I104" i="21"/>
  <c r="J104" i="21" s="1"/>
  <c r="AY104" i="21" s="1"/>
  <c r="I103" i="21"/>
  <c r="J103" i="21" s="1"/>
  <c r="AY103" i="21" s="1"/>
  <c r="I102" i="21"/>
  <c r="J102" i="21" s="1"/>
  <c r="AY102" i="21" s="1"/>
  <c r="I101" i="21"/>
  <c r="J101" i="21" s="1"/>
  <c r="AY101" i="21" s="1"/>
  <c r="I100" i="21"/>
  <c r="J100" i="21" s="1"/>
  <c r="AY100" i="21" s="1"/>
  <c r="I99" i="21"/>
  <c r="J99" i="21" s="1"/>
  <c r="AY99" i="21" s="1"/>
  <c r="I98" i="21"/>
  <c r="J98" i="21" s="1"/>
  <c r="AY98" i="21" s="1"/>
  <c r="I97" i="21"/>
  <c r="J97" i="21" s="1"/>
  <c r="AY97" i="21" s="1"/>
  <c r="I96" i="21"/>
  <c r="J96" i="21" s="1"/>
  <c r="AY96" i="21" s="1"/>
  <c r="I95" i="21"/>
  <c r="J95" i="21" s="1"/>
  <c r="AY95" i="21" s="1"/>
  <c r="I94" i="21"/>
  <c r="J94" i="21" s="1"/>
  <c r="AY94" i="21" s="1"/>
  <c r="I93" i="21"/>
  <c r="J93" i="21" s="1"/>
  <c r="AY93" i="21" s="1"/>
  <c r="I92" i="21"/>
  <c r="J92" i="21" s="1"/>
  <c r="AY92" i="21" s="1"/>
  <c r="I91" i="21"/>
  <c r="J91" i="21" s="1"/>
  <c r="AY91" i="21" s="1"/>
  <c r="I51" i="21"/>
  <c r="J51" i="21" s="1"/>
  <c r="AY51" i="21" s="1"/>
  <c r="I46" i="21"/>
  <c r="J46" i="21" s="1"/>
  <c r="AY46" i="21" s="1"/>
  <c r="I44" i="21"/>
  <c r="J44" i="21" s="1"/>
  <c r="AY44" i="21" s="1"/>
  <c r="I42" i="21"/>
  <c r="J42" i="21" s="1"/>
  <c r="AY42" i="21" s="1"/>
  <c r="I32" i="21"/>
  <c r="J32" i="21" s="1"/>
  <c r="AY32" i="21" s="1"/>
  <c r="I59" i="21"/>
  <c r="J59" i="21" s="1"/>
  <c r="AY59" i="21" s="1"/>
  <c r="I10" i="21"/>
  <c r="J10" i="21" s="1"/>
  <c r="AY10" i="21" s="1"/>
  <c r="I17" i="21"/>
  <c r="J17" i="21" s="1"/>
  <c r="AY17" i="21" s="1"/>
  <c r="I18" i="21"/>
  <c r="J18" i="21" s="1"/>
  <c r="AY18" i="21" s="1"/>
  <c r="I20" i="21"/>
  <c r="J20" i="21" s="1"/>
  <c r="AY20" i="21" s="1"/>
  <c r="I9" i="21"/>
  <c r="J9" i="21" s="1"/>
  <c r="AY9" i="21" s="1"/>
  <c r="I11" i="21"/>
  <c r="J11" i="21" s="1"/>
  <c r="AY11" i="21" s="1"/>
  <c r="I12" i="21"/>
  <c r="J12" i="21" s="1"/>
  <c r="AY12" i="21" s="1"/>
  <c r="I13" i="21"/>
  <c r="J13" i="21" s="1"/>
  <c r="AY13" i="21" s="1"/>
  <c r="I14" i="21"/>
  <c r="J14" i="21" s="1"/>
  <c r="AY14" i="21" s="1"/>
  <c r="I15" i="21"/>
  <c r="J15" i="21" s="1"/>
  <c r="AY15" i="21" s="1"/>
  <c r="I16" i="21"/>
  <c r="J16" i="21" s="1"/>
  <c r="AY16" i="21" s="1"/>
  <c r="I19" i="21"/>
  <c r="J19" i="21" s="1"/>
  <c r="AY19" i="21" s="1"/>
  <c r="I21" i="21"/>
  <c r="J21" i="21" s="1"/>
  <c r="AY21" i="21" s="1"/>
  <c r="I23" i="21"/>
  <c r="J23" i="21" s="1"/>
  <c r="AY23" i="21" s="1"/>
  <c r="I25" i="21"/>
  <c r="J25" i="21" s="1"/>
  <c r="AY25" i="21" s="1"/>
  <c r="I29" i="21"/>
  <c r="J29" i="21" s="1"/>
  <c r="AY29" i="21" s="1"/>
  <c r="I33" i="21"/>
  <c r="J33" i="21" s="1"/>
  <c r="AY33" i="21" s="1"/>
  <c r="I37" i="21"/>
  <c r="J37" i="21" s="1"/>
  <c r="AY37" i="21" s="1"/>
  <c r="I41" i="21"/>
  <c r="J41" i="21" s="1"/>
  <c r="AY41" i="21" s="1"/>
  <c r="I45" i="21"/>
  <c r="J45" i="21" s="1"/>
  <c r="AY45" i="21" s="1"/>
  <c r="I48" i="21"/>
  <c r="J48" i="21" s="1"/>
  <c r="AY48" i="21" s="1"/>
  <c r="I52" i="21"/>
  <c r="J52" i="21" s="1"/>
  <c r="AY52" i="21" s="1"/>
  <c r="I56" i="21"/>
  <c r="J56" i="21" s="1"/>
  <c r="AY56" i="21" s="1"/>
  <c r="I68" i="21"/>
  <c r="J68" i="21" s="1"/>
  <c r="AY68" i="21" s="1"/>
  <c r="I24" i="21"/>
  <c r="J24" i="21" s="1"/>
  <c r="AY24" i="21" s="1"/>
  <c r="I30" i="21"/>
  <c r="J30" i="21" s="1"/>
  <c r="AY30" i="21" s="1"/>
  <c r="I31" i="21"/>
  <c r="J31" i="21" s="1"/>
  <c r="AY31" i="21" s="1"/>
  <c r="I38" i="21"/>
  <c r="J38" i="21" s="1"/>
  <c r="AY38" i="21" s="1"/>
  <c r="I53" i="21"/>
  <c r="J53" i="21" s="1"/>
  <c r="AY53" i="21" s="1"/>
  <c r="I58" i="21"/>
  <c r="J58" i="21" s="1"/>
  <c r="AY58" i="21" s="1"/>
  <c r="I60" i="21"/>
  <c r="J60" i="21" s="1"/>
  <c r="AY60" i="21" s="1"/>
  <c r="I61" i="21"/>
  <c r="J61" i="21" s="1"/>
  <c r="AY61" i="21" s="1"/>
  <c r="I62" i="21"/>
  <c r="J62" i="21" s="1"/>
  <c r="AY62" i="21" s="1"/>
  <c r="I63" i="21"/>
  <c r="J63" i="21" s="1"/>
  <c r="AY63" i="21" s="1"/>
  <c r="I64" i="21"/>
  <c r="J64" i="21" s="1"/>
  <c r="AY64" i="21" s="1"/>
  <c r="I65" i="21"/>
  <c r="J65" i="21" s="1"/>
  <c r="AY65" i="21" s="1"/>
  <c r="I66" i="21"/>
  <c r="J66" i="21" s="1"/>
  <c r="AY66" i="21" s="1"/>
  <c r="I67" i="21"/>
  <c r="J67" i="21" s="1"/>
  <c r="AY67" i="21" s="1"/>
  <c r="I69" i="21"/>
  <c r="J69" i="21" s="1"/>
  <c r="AY69" i="21" s="1"/>
  <c r="I72" i="21"/>
  <c r="J72" i="21" s="1"/>
  <c r="AY72" i="21" s="1"/>
  <c r="I75" i="21"/>
  <c r="J75" i="21" s="1"/>
  <c r="AY75" i="21" s="1"/>
  <c r="I77" i="21"/>
  <c r="J77" i="21" s="1"/>
  <c r="AY77" i="21" s="1"/>
  <c r="I81" i="21"/>
  <c r="J81" i="21" s="1"/>
  <c r="AY81" i="21" s="1"/>
  <c r="I83" i="21"/>
  <c r="J83" i="21" s="1"/>
  <c r="AY83" i="21" s="1"/>
  <c r="I85" i="21"/>
  <c r="J85" i="21" s="1"/>
  <c r="AY85" i="21" s="1"/>
  <c r="I87" i="21"/>
  <c r="J87" i="21" s="1"/>
  <c r="AY87" i="21" s="1"/>
  <c r="I89" i="21"/>
  <c r="J89" i="21" s="1"/>
  <c r="AY89" i="21" s="1"/>
  <c r="I22" i="21"/>
  <c r="J22" i="21" s="1"/>
  <c r="AY22" i="21" s="1"/>
  <c r="I26" i="21"/>
  <c r="J26" i="21" s="1"/>
  <c r="AY26" i="21" s="1"/>
  <c r="I28" i="21"/>
  <c r="J28" i="21" s="1"/>
  <c r="AY28" i="21" s="1"/>
  <c r="I34" i="21"/>
  <c r="J34" i="21" s="1"/>
  <c r="AY34" i="21" s="1"/>
  <c r="I39" i="21"/>
  <c r="J39" i="21" s="1"/>
  <c r="AY39" i="21" s="1"/>
  <c r="I43" i="21"/>
  <c r="J43" i="21" s="1"/>
  <c r="AY43" i="21" s="1"/>
  <c r="I47" i="21"/>
  <c r="J47" i="21" s="1"/>
  <c r="AY47" i="21" s="1"/>
  <c r="I50" i="21"/>
  <c r="J50" i="21" s="1"/>
  <c r="AY50" i="21" s="1"/>
  <c r="I54" i="21"/>
  <c r="J54" i="21" s="1"/>
  <c r="AY54" i="21" s="1"/>
  <c r="I57" i="21"/>
  <c r="J57" i="21" s="1"/>
  <c r="AY57" i="21" s="1"/>
  <c r="I27" i="21"/>
  <c r="J27" i="21" s="1"/>
  <c r="AY27" i="21" s="1"/>
  <c r="I35" i="21"/>
  <c r="J35" i="21" s="1"/>
  <c r="AY35" i="21" s="1"/>
  <c r="I36" i="21"/>
  <c r="J36" i="21" s="1"/>
  <c r="AY36" i="21" s="1"/>
  <c r="I40" i="21"/>
  <c r="J40" i="21" s="1"/>
  <c r="AY40" i="21" s="1"/>
  <c r="I49" i="21"/>
  <c r="J49" i="21" s="1"/>
  <c r="AY49" i="21" s="1"/>
  <c r="I55" i="21"/>
  <c r="J55" i="21" s="1"/>
  <c r="AY55" i="21" s="1"/>
  <c r="I80" i="21"/>
  <c r="J80" i="21" s="1"/>
  <c r="AY80" i="21" s="1"/>
  <c r="I82" i="21"/>
  <c r="J82" i="21" s="1"/>
  <c r="AY82" i="21" s="1"/>
  <c r="I84" i="21"/>
  <c r="J84" i="21" s="1"/>
  <c r="AY84" i="21" s="1"/>
  <c r="I86" i="21"/>
  <c r="J86" i="21" s="1"/>
  <c r="AY86" i="21" s="1"/>
  <c r="I88" i="21"/>
  <c r="J88" i="21" s="1"/>
  <c r="AY88" i="21" s="1"/>
  <c r="I90" i="21"/>
  <c r="J90" i="21" s="1"/>
  <c r="AY90" i="21" s="1"/>
  <c r="AW79" i="21"/>
  <c r="AW78" i="21"/>
  <c r="AW76" i="21"/>
  <c r="AW74" i="21"/>
  <c r="AW73" i="21"/>
  <c r="AW71" i="21"/>
  <c r="AW70" i="21"/>
  <c r="AW109" i="21"/>
  <c r="AW108" i="21"/>
  <c r="AW107" i="21"/>
  <c r="AW106" i="21"/>
  <c r="AW105" i="21"/>
  <c r="AW104" i="21"/>
  <c r="AW103" i="21"/>
  <c r="AW102" i="21"/>
  <c r="AW101" i="21"/>
  <c r="AW100" i="21"/>
  <c r="AW99" i="21"/>
  <c r="AW98" i="21"/>
  <c r="AW97" i="21"/>
  <c r="AW96" i="21"/>
  <c r="AW95" i="21"/>
  <c r="AW94" i="21"/>
  <c r="AW93" i="21"/>
  <c r="AW92" i="21"/>
  <c r="AW91" i="21"/>
  <c r="AW90" i="21"/>
  <c r="AW89" i="21"/>
  <c r="AW88" i="21"/>
  <c r="AW87" i="21"/>
  <c r="AW86" i="21"/>
  <c r="AW85" i="21"/>
  <c r="AW84" i="21"/>
  <c r="AW83" i="21"/>
  <c r="AW82" i="21"/>
  <c r="AW81" i="21"/>
  <c r="AW80" i="21"/>
  <c r="AW77" i="21"/>
  <c r="AW75" i="21"/>
  <c r="AW72" i="21"/>
  <c r="AW69" i="21"/>
  <c r="AW67" i="21"/>
  <c r="AW66" i="21"/>
  <c r="AW65" i="21"/>
  <c r="AW64" i="21"/>
  <c r="AW63" i="21"/>
  <c r="AW62" i="21"/>
  <c r="AW61" i="21"/>
  <c r="AW60" i="21"/>
  <c r="AW58" i="21"/>
  <c r="AW55" i="21"/>
  <c r="AW53" i="21"/>
  <c r="AW51" i="21"/>
  <c r="AW49" i="21"/>
  <c r="AW46" i="21"/>
  <c r="AW44" i="21"/>
  <c r="AW42" i="21"/>
  <c r="AW40" i="21"/>
  <c r="AW38" i="21"/>
  <c r="AW36" i="21"/>
  <c r="AW35" i="21"/>
  <c r="AW32" i="21"/>
  <c r="AW31" i="21"/>
  <c r="AW30" i="21"/>
  <c r="AW27" i="21"/>
  <c r="AW24" i="21"/>
  <c r="AW22" i="21"/>
  <c r="AW21" i="21"/>
  <c r="AW68" i="21"/>
  <c r="AW59" i="21"/>
  <c r="AW57" i="21"/>
  <c r="AW56" i="21"/>
  <c r="AW54" i="21"/>
  <c r="AW52" i="21"/>
  <c r="AW50" i="21"/>
  <c r="AW48" i="21"/>
  <c r="AW47" i="21"/>
  <c r="AW45" i="21"/>
  <c r="AW43" i="21"/>
  <c r="AW41" i="21"/>
  <c r="AW39" i="21"/>
  <c r="AW37" i="21"/>
  <c r="AW34" i="21"/>
  <c r="AW33" i="21"/>
  <c r="AW29" i="21"/>
  <c r="AW28" i="21"/>
  <c r="AW26" i="21"/>
  <c r="AW25" i="21"/>
  <c r="AW23" i="21"/>
  <c r="AW19" i="21"/>
  <c r="AW16" i="21"/>
  <c r="AW15" i="21"/>
  <c r="AW14" i="21"/>
  <c r="AW13" i="21"/>
  <c r="AW12" i="21"/>
  <c r="AW11" i="21"/>
  <c r="AW9" i="21"/>
  <c r="AW186" i="20"/>
  <c r="AW188" i="20"/>
  <c r="AW189" i="20"/>
  <c r="AW191" i="20"/>
  <c r="AW196" i="20"/>
  <c r="AW198" i="20"/>
  <c r="AW200" i="20"/>
  <c r="AW202" i="20"/>
  <c r="AW204" i="20"/>
  <c r="AW206" i="20"/>
  <c r="AW208" i="20"/>
  <c r="AW110" i="20"/>
  <c r="AW112" i="20"/>
  <c r="AW114" i="20"/>
  <c r="AW116" i="20"/>
  <c r="AW117" i="20"/>
  <c r="AW119" i="20"/>
  <c r="AW121" i="20"/>
  <c r="AW123" i="20"/>
  <c r="AW125" i="20"/>
  <c r="AW127" i="20"/>
  <c r="AW129" i="20"/>
  <c r="AW131" i="20"/>
  <c r="AW133" i="20"/>
  <c r="AW134" i="20"/>
  <c r="AW136" i="20"/>
  <c r="AW138" i="20"/>
  <c r="AW141" i="20"/>
  <c r="AW142" i="20"/>
  <c r="AW144" i="20"/>
  <c r="AW146" i="20"/>
  <c r="AW148" i="20"/>
  <c r="AW150" i="20"/>
  <c r="AW151" i="20"/>
  <c r="AW153" i="20"/>
  <c r="AW156" i="20"/>
  <c r="AW158" i="20"/>
  <c r="AW159" i="20"/>
  <c r="AW161" i="20"/>
  <c r="AW164" i="20"/>
  <c r="AW166" i="20"/>
  <c r="AW167" i="20"/>
  <c r="AW169" i="20"/>
  <c r="AW172" i="20"/>
  <c r="AW174" i="20"/>
  <c r="AW175" i="20"/>
  <c r="AW177" i="20"/>
  <c r="AW180" i="20"/>
  <c r="AW182" i="20"/>
  <c r="AW183" i="20"/>
  <c r="AW20" i="21"/>
  <c r="AW18" i="21"/>
  <c r="AW17" i="21"/>
  <c r="AW10" i="21"/>
  <c r="AW185" i="20"/>
  <c r="AW187" i="20"/>
  <c r="AW190" i="20"/>
  <c r="AW192" i="20"/>
  <c r="AW193" i="20"/>
  <c r="AW194" i="20"/>
  <c r="AW195" i="20"/>
  <c r="AW197" i="20"/>
  <c r="AW199" i="20"/>
  <c r="AW201" i="20"/>
  <c r="AW203" i="20"/>
  <c r="AW205" i="20"/>
  <c r="AW207" i="20"/>
  <c r="AW209" i="20"/>
  <c r="AW111" i="20"/>
  <c r="AW113" i="20"/>
  <c r="AW115" i="20"/>
  <c r="AW118" i="20"/>
  <c r="AW120" i="20"/>
  <c r="AW122" i="20"/>
  <c r="AW124" i="20"/>
  <c r="AW126" i="20"/>
  <c r="AW128" i="20"/>
  <c r="AW130" i="20"/>
  <c r="AW132" i="20"/>
  <c r="AW135" i="20"/>
  <c r="AW137" i="20"/>
  <c r="AW139" i="20"/>
  <c r="AW140" i="20"/>
  <c r="AW143" i="20"/>
  <c r="AW145" i="20"/>
  <c r="AW147" i="20"/>
  <c r="AW149" i="20"/>
  <c r="AW152" i="20"/>
  <c r="AW154" i="20"/>
  <c r="AW155" i="20"/>
  <c r="AW157" i="20"/>
  <c r="AW160" i="20"/>
  <c r="AW162" i="20"/>
  <c r="AW163" i="20"/>
  <c r="AW165" i="20"/>
  <c r="AW168" i="20"/>
  <c r="AW170" i="20"/>
  <c r="AW171" i="20"/>
  <c r="AW173" i="20"/>
  <c r="AW176" i="20"/>
  <c r="AW178" i="20"/>
  <c r="AW179" i="20"/>
  <c r="AW181" i="20"/>
  <c r="AW184" i="20"/>
  <c r="L206" i="20"/>
  <c r="I206" i="20"/>
  <c r="J206" i="20" s="1"/>
  <c r="AY206" i="20" s="1"/>
  <c r="L198" i="20"/>
  <c r="I198" i="20"/>
  <c r="J198" i="20" s="1"/>
  <c r="AY198" i="20" s="1"/>
  <c r="L190" i="20"/>
  <c r="I190" i="20"/>
  <c r="J190" i="20" s="1"/>
  <c r="AY190" i="20" s="1"/>
  <c r="I182" i="20"/>
  <c r="J182" i="20" s="1"/>
  <c r="AY182" i="20" s="1"/>
  <c r="L182" i="20"/>
  <c r="L169" i="20"/>
  <c r="I169" i="20"/>
  <c r="J169" i="20" s="1"/>
  <c r="AY169" i="20" s="1"/>
  <c r="I207" i="20"/>
  <c r="J207" i="20" s="1"/>
  <c r="AY207" i="20" s="1"/>
  <c r="L207" i="20"/>
  <c r="L199" i="20"/>
  <c r="I199" i="20"/>
  <c r="J199" i="20" s="1"/>
  <c r="AY199" i="20" s="1"/>
  <c r="I191" i="20"/>
  <c r="J191" i="20" s="1"/>
  <c r="AY191" i="20" s="1"/>
  <c r="L191" i="20"/>
  <c r="I204" i="20"/>
  <c r="J204" i="20" s="1"/>
  <c r="AY204" i="20" s="1"/>
  <c r="L204" i="20"/>
  <c r="L196" i="20"/>
  <c r="I196" i="20"/>
  <c r="J196" i="20" s="1"/>
  <c r="AY196" i="20" s="1"/>
  <c r="I188" i="20"/>
  <c r="J188" i="20" s="1"/>
  <c r="AY188" i="20" s="1"/>
  <c r="L188" i="20"/>
  <c r="L180" i="20"/>
  <c r="I180" i="20"/>
  <c r="J180" i="20" s="1"/>
  <c r="AY180" i="20" s="1"/>
  <c r="I165" i="20"/>
  <c r="J165" i="20" s="1"/>
  <c r="AY165" i="20" s="1"/>
  <c r="L165" i="20"/>
  <c r="L205" i="20"/>
  <c r="I205" i="20"/>
  <c r="J205" i="20" s="1"/>
  <c r="AY205" i="20" s="1"/>
  <c r="I197" i="20"/>
  <c r="J197" i="20" s="1"/>
  <c r="AY197" i="20" s="1"/>
  <c r="L197" i="20"/>
  <c r="I189" i="20"/>
  <c r="J189" i="20" s="1"/>
  <c r="AY189" i="20" s="1"/>
  <c r="L189" i="20"/>
  <c r="I181" i="20"/>
  <c r="J181" i="20" s="1"/>
  <c r="AY181" i="20" s="1"/>
  <c r="L181" i="20"/>
  <c r="I167" i="20"/>
  <c r="J167" i="20" s="1"/>
  <c r="AY167" i="20" s="1"/>
  <c r="L167" i="20"/>
  <c r="I155" i="20"/>
  <c r="J155" i="20" s="1"/>
  <c r="AY155" i="20" s="1"/>
  <c r="L155" i="20"/>
  <c r="I147" i="20"/>
  <c r="J147" i="20" s="1"/>
  <c r="AY147" i="20" s="1"/>
  <c r="L147" i="20"/>
  <c r="I139" i="20"/>
  <c r="J139" i="20" s="1"/>
  <c r="AY139" i="20" s="1"/>
  <c r="L139" i="20"/>
  <c r="I131" i="20"/>
  <c r="J131" i="20" s="1"/>
  <c r="AY131" i="20" s="1"/>
  <c r="L131" i="20"/>
  <c r="I123" i="20"/>
  <c r="J123" i="20" s="1"/>
  <c r="AY123" i="20" s="1"/>
  <c r="L123" i="20"/>
  <c r="I115" i="20"/>
  <c r="J115" i="20" s="1"/>
  <c r="AY115" i="20" s="1"/>
  <c r="L115" i="20"/>
  <c r="L172" i="20"/>
  <c r="I172" i="20"/>
  <c r="J172" i="20" s="1"/>
  <c r="AY172" i="20" s="1"/>
  <c r="L164" i="20"/>
  <c r="I164" i="20"/>
  <c r="J164" i="20" s="1"/>
  <c r="AY164" i="20" s="1"/>
  <c r="L156" i="20"/>
  <c r="I156" i="20"/>
  <c r="J156" i="20" s="1"/>
  <c r="AY156" i="20" s="1"/>
  <c r="L148" i="20"/>
  <c r="I148" i="20"/>
  <c r="J148" i="20" s="1"/>
  <c r="AY148" i="20" s="1"/>
  <c r="L140" i="20"/>
  <c r="I140" i="20"/>
  <c r="J140" i="20" s="1"/>
  <c r="AY140" i="20" s="1"/>
  <c r="L132" i="20"/>
  <c r="I132" i="20"/>
  <c r="J132" i="20" s="1"/>
  <c r="AY132" i="20" s="1"/>
  <c r="L124" i="20"/>
  <c r="I124" i="20"/>
  <c r="J124" i="20" s="1"/>
  <c r="AY124" i="20" s="1"/>
  <c r="L116" i="20"/>
  <c r="I116" i="20"/>
  <c r="J116" i="20" s="1"/>
  <c r="AY116" i="20" s="1"/>
  <c r="L183" i="20"/>
  <c r="I183" i="20"/>
  <c r="J183" i="20" s="1"/>
  <c r="AY183" i="20" s="1"/>
  <c r="L171" i="20"/>
  <c r="I171" i="20"/>
  <c r="J171" i="20" s="1"/>
  <c r="AY171" i="20" s="1"/>
  <c r="L157" i="20"/>
  <c r="I157" i="20"/>
  <c r="J157" i="20" s="1"/>
  <c r="AY157" i="20" s="1"/>
  <c r="L149" i="20"/>
  <c r="I149" i="20"/>
  <c r="J149" i="20" s="1"/>
  <c r="AY149" i="20" s="1"/>
  <c r="L141" i="20"/>
  <c r="I141" i="20"/>
  <c r="J141" i="20" s="1"/>
  <c r="AY141" i="20" s="1"/>
  <c r="L133" i="20"/>
  <c r="I133" i="20"/>
  <c r="J133" i="20" s="1"/>
  <c r="AY133" i="20" s="1"/>
  <c r="L125" i="20"/>
  <c r="I125" i="20"/>
  <c r="J125" i="20" s="1"/>
  <c r="AY125" i="20" s="1"/>
  <c r="L117" i="20"/>
  <c r="I117" i="20"/>
  <c r="J117" i="20" s="1"/>
  <c r="AY117" i="20" s="1"/>
  <c r="I174" i="20"/>
  <c r="J174" i="20" s="1"/>
  <c r="AY174" i="20" s="1"/>
  <c r="L174" i="20"/>
  <c r="I166" i="20"/>
  <c r="J166" i="20" s="1"/>
  <c r="AY166" i="20" s="1"/>
  <c r="L166" i="20"/>
  <c r="I158" i="20"/>
  <c r="J158" i="20" s="1"/>
  <c r="AY158" i="20" s="1"/>
  <c r="L158" i="20"/>
  <c r="I150" i="20"/>
  <c r="J150" i="20" s="1"/>
  <c r="AY150" i="20" s="1"/>
  <c r="L150" i="20"/>
  <c r="L142" i="20"/>
  <c r="I142" i="20"/>
  <c r="J142" i="20" s="1"/>
  <c r="AY142" i="20" s="1"/>
  <c r="L134" i="20"/>
  <c r="I134" i="20"/>
  <c r="J134" i="20" s="1"/>
  <c r="AY134" i="20" s="1"/>
  <c r="L126" i="20"/>
  <c r="I126" i="20"/>
  <c r="J126" i="20" s="1"/>
  <c r="AY126" i="20" s="1"/>
  <c r="I118" i="20"/>
  <c r="J118" i="20" s="1"/>
  <c r="AY118" i="20" s="1"/>
  <c r="L118" i="20"/>
  <c r="L110" i="20"/>
  <c r="I110" i="20"/>
  <c r="J110" i="20" s="1"/>
  <c r="AY110" i="20" s="1"/>
  <c r="I202" i="20"/>
  <c r="J202" i="20" s="1"/>
  <c r="AY202" i="20" s="1"/>
  <c r="L202" i="20"/>
  <c r="L194" i="20"/>
  <c r="I194" i="20"/>
  <c r="J194" i="20" s="1"/>
  <c r="AY194" i="20" s="1"/>
  <c r="I186" i="20"/>
  <c r="J186" i="20" s="1"/>
  <c r="AY186" i="20" s="1"/>
  <c r="L186" i="20"/>
  <c r="L177" i="20"/>
  <c r="I177" i="20"/>
  <c r="J177" i="20" s="1"/>
  <c r="AY177" i="20" s="1"/>
  <c r="L161" i="20"/>
  <c r="I161" i="20"/>
  <c r="J161" i="20" s="1"/>
  <c r="AY161" i="20" s="1"/>
  <c r="L203" i="20"/>
  <c r="I203" i="20"/>
  <c r="J203" i="20" s="1"/>
  <c r="AY203" i="20" s="1"/>
  <c r="L195" i="20"/>
  <c r="I195" i="20"/>
  <c r="J195" i="20" s="1"/>
  <c r="AY195" i="20" s="1"/>
  <c r="I208" i="20"/>
  <c r="J208" i="20" s="1"/>
  <c r="AY208" i="20" s="1"/>
  <c r="L208" i="20"/>
  <c r="I200" i="20"/>
  <c r="J200" i="20" s="1"/>
  <c r="AY200" i="20" s="1"/>
  <c r="L200" i="20"/>
  <c r="I192" i="20"/>
  <c r="J192" i="20" s="1"/>
  <c r="AY192" i="20" s="1"/>
  <c r="L192" i="20"/>
  <c r="L184" i="20"/>
  <c r="I184" i="20"/>
  <c r="J184" i="20" s="1"/>
  <c r="AY184" i="20" s="1"/>
  <c r="I173" i="20"/>
  <c r="J173" i="20" s="1"/>
  <c r="AY173" i="20" s="1"/>
  <c r="L173" i="20"/>
  <c r="I209" i="20"/>
  <c r="J209" i="20" s="1"/>
  <c r="AY209" i="20" s="1"/>
  <c r="L209" i="20"/>
  <c r="I201" i="20"/>
  <c r="J201" i="20" s="1"/>
  <c r="AY201" i="20" s="1"/>
  <c r="L201" i="20"/>
  <c r="L193" i="20"/>
  <c r="I193" i="20"/>
  <c r="J193" i="20" s="1"/>
  <c r="AY193" i="20" s="1"/>
  <c r="I185" i="20"/>
  <c r="J185" i="20" s="1"/>
  <c r="AY185" i="20" s="1"/>
  <c r="L185" i="20"/>
  <c r="I175" i="20"/>
  <c r="J175" i="20" s="1"/>
  <c r="AY175" i="20" s="1"/>
  <c r="L175" i="20"/>
  <c r="I159" i="20"/>
  <c r="J159" i="20" s="1"/>
  <c r="AY159" i="20" s="1"/>
  <c r="L159" i="20"/>
  <c r="I151" i="20"/>
  <c r="J151" i="20" s="1"/>
  <c r="AY151" i="20" s="1"/>
  <c r="L151" i="20"/>
  <c r="I143" i="20"/>
  <c r="J143" i="20" s="1"/>
  <c r="AY143" i="20" s="1"/>
  <c r="L143" i="20"/>
  <c r="I135" i="20"/>
  <c r="J135" i="20" s="1"/>
  <c r="AY135" i="20" s="1"/>
  <c r="L135" i="20"/>
  <c r="I127" i="20"/>
  <c r="J127" i="20" s="1"/>
  <c r="AY127" i="20" s="1"/>
  <c r="L127" i="20"/>
  <c r="I119" i="20"/>
  <c r="J119" i="20" s="1"/>
  <c r="AY119" i="20" s="1"/>
  <c r="L119" i="20"/>
  <c r="I111" i="20"/>
  <c r="J111" i="20" s="1"/>
  <c r="AY111" i="20" s="1"/>
  <c r="L111" i="20"/>
  <c r="L176" i="20"/>
  <c r="I176" i="20"/>
  <c r="J176" i="20" s="1"/>
  <c r="AY176" i="20" s="1"/>
  <c r="L168" i="20"/>
  <c r="I168" i="20"/>
  <c r="J168" i="20" s="1"/>
  <c r="AY168" i="20" s="1"/>
  <c r="L160" i="20"/>
  <c r="I160" i="20"/>
  <c r="J160" i="20" s="1"/>
  <c r="AY160" i="20" s="1"/>
  <c r="L152" i="20"/>
  <c r="I152" i="20"/>
  <c r="J152" i="20" s="1"/>
  <c r="AY152" i="20" s="1"/>
  <c r="L144" i="20"/>
  <c r="I144" i="20"/>
  <c r="J144" i="20" s="1"/>
  <c r="AY144" i="20" s="1"/>
  <c r="L136" i="20"/>
  <c r="I136" i="20"/>
  <c r="J136" i="20" s="1"/>
  <c r="AY136" i="20" s="1"/>
  <c r="L128" i="20"/>
  <c r="I128" i="20"/>
  <c r="J128" i="20" s="1"/>
  <c r="AY128" i="20" s="1"/>
  <c r="L120" i="20"/>
  <c r="I120" i="20"/>
  <c r="J120" i="20" s="1"/>
  <c r="AY120" i="20" s="1"/>
  <c r="L112" i="20"/>
  <c r="I112" i="20"/>
  <c r="J112" i="20" s="1"/>
  <c r="AY112" i="20" s="1"/>
  <c r="I187" i="20"/>
  <c r="J187" i="20" s="1"/>
  <c r="AY187" i="20" s="1"/>
  <c r="L187" i="20"/>
  <c r="L179" i="20"/>
  <c r="I179" i="20"/>
  <c r="J179" i="20" s="1"/>
  <c r="AY179" i="20" s="1"/>
  <c r="L163" i="20"/>
  <c r="I163" i="20"/>
  <c r="J163" i="20" s="1"/>
  <c r="AY163" i="20" s="1"/>
  <c r="L153" i="20"/>
  <c r="I153" i="20"/>
  <c r="J153" i="20" s="1"/>
  <c r="AY153" i="20" s="1"/>
  <c r="L145" i="20"/>
  <c r="I145" i="20"/>
  <c r="J145" i="20" s="1"/>
  <c r="AY145" i="20" s="1"/>
  <c r="L137" i="20"/>
  <c r="I137" i="20"/>
  <c r="J137" i="20" s="1"/>
  <c r="AY137" i="20" s="1"/>
  <c r="L129" i="20"/>
  <c r="I129" i="20"/>
  <c r="J129" i="20" s="1"/>
  <c r="AY129" i="20" s="1"/>
  <c r="I121" i="20"/>
  <c r="J121" i="20" s="1"/>
  <c r="AY121" i="20" s="1"/>
  <c r="L121" i="20"/>
  <c r="L113" i="20"/>
  <c r="I113" i="20"/>
  <c r="J113" i="20" s="1"/>
  <c r="AY113" i="20" s="1"/>
  <c r="I178" i="20"/>
  <c r="J178" i="20" s="1"/>
  <c r="AY178" i="20" s="1"/>
  <c r="L178" i="20"/>
  <c r="I170" i="20"/>
  <c r="J170" i="20" s="1"/>
  <c r="AY170" i="20" s="1"/>
  <c r="L170" i="20"/>
  <c r="I162" i="20"/>
  <c r="J162" i="20" s="1"/>
  <c r="AY162" i="20" s="1"/>
  <c r="L162" i="20"/>
  <c r="I154" i="20"/>
  <c r="J154" i="20" s="1"/>
  <c r="AY154" i="20" s="1"/>
  <c r="L154" i="20"/>
  <c r="L146" i="20"/>
  <c r="I146" i="20"/>
  <c r="J146" i="20" s="1"/>
  <c r="AY146" i="20" s="1"/>
  <c r="L138" i="20"/>
  <c r="I138" i="20"/>
  <c r="J138" i="20" s="1"/>
  <c r="AY138" i="20" s="1"/>
  <c r="L130" i="20"/>
  <c r="I130" i="20"/>
  <c r="J130" i="20" s="1"/>
  <c r="AY130" i="20" s="1"/>
  <c r="L122" i="20"/>
  <c r="I122" i="20"/>
  <c r="J122" i="20" s="1"/>
  <c r="AY122" i="20" s="1"/>
  <c r="I114" i="20"/>
  <c r="J114" i="20" s="1"/>
  <c r="AY114" i="20" s="1"/>
  <c r="L114" i="20"/>
  <c r="L9" i="20"/>
  <c r="I44" i="20"/>
  <c r="I46" i="20"/>
  <c r="I48" i="20"/>
  <c r="I50" i="20"/>
  <c r="I52" i="20"/>
  <c r="I54" i="20"/>
  <c r="I56" i="20"/>
  <c r="I58" i="20"/>
  <c r="I60" i="20"/>
  <c r="I62" i="20"/>
  <c r="I64" i="20"/>
  <c r="I66" i="20"/>
  <c r="I68" i="20"/>
  <c r="I70" i="20"/>
  <c r="I72" i="20"/>
  <c r="I74" i="20"/>
  <c r="I76" i="20"/>
  <c r="I78" i="20"/>
  <c r="I80" i="20"/>
  <c r="I82" i="20"/>
  <c r="I84" i="20"/>
  <c r="I86" i="20"/>
  <c r="I88" i="20"/>
  <c r="I90" i="20"/>
  <c r="I92" i="20"/>
  <c r="I94" i="20"/>
  <c r="I96" i="20"/>
  <c r="I98" i="20"/>
  <c r="I100" i="20"/>
  <c r="I102" i="20"/>
  <c r="I104" i="20"/>
  <c r="I106" i="20"/>
  <c r="I108" i="20"/>
  <c r="I10" i="20"/>
  <c r="I12" i="20"/>
  <c r="I14" i="20"/>
  <c r="I16" i="20"/>
  <c r="I18" i="20"/>
  <c r="I20" i="20"/>
  <c r="I22" i="20"/>
  <c r="J22" i="20" s="1"/>
  <c r="AY22" i="20" s="1"/>
  <c r="I24" i="20"/>
  <c r="I26" i="20"/>
  <c r="I28" i="20"/>
  <c r="I30" i="20"/>
  <c r="I32" i="20"/>
  <c r="I34" i="20"/>
  <c r="I36" i="20"/>
  <c r="I38" i="20"/>
  <c r="I40" i="20"/>
  <c r="I42" i="20"/>
  <c r="I43" i="20"/>
  <c r="I45" i="20"/>
  <c r="I47" i="20"/>
  <c r="I49" i="20"/>
  <c r="I51" i="20"/>
  <c r="I53" i="20"/>
  <c r="I55" i="20"/>
  <c r="I57" i="20"/>
  <c r="I59" i="20"/>
  <c r="I61" i="20"/>
  <c r="I63" i="20"/>
  <c r="I65" i="20"/>
  <c r="I67" i="20"/>
  <c r="I69" i="20"/>
  <c r="I71" i="20"/>
  <c r="I73" i="20"/>
  <c r="I75" i="20"/>
  <c r="I77" i="20"/>
  <c r="I79" i="20"/>
  <c r="I81" i="20"/>
  <c r="I83" i="20"/>
  <c r="I85" i="20"/>
  <c r="I87" i="20"/>
  <c r="I89" i="20"/>
  <c r="I91" i="20"/>
  <c r="I93" i="20"/>
  <c r="I95" i="20"/>
  <c r="I97" i="20"/>
  <c r="I99" i="20"/>
  <c r="I101" i="20"/>
  <c r="I103" i="20"/>
  <c r="I105" i="20"/>
  <c r="I107" i="20"/>
  <c r="I109" i="20"/>
  <c r="I11" i="20"/>
  <c r="I13" i="20"/>
  <c r="I15" i="20"/>
  <c r="I17" i="20"/>
  <c r="I19" i="20"/>
  <c r="I21" i="20"/>
  <c r="I23" i="20"/>
  <c r="I25" i="20"/>
  <c r="I27" i="20"/>
  <c r="I29" i="20"/>
  <c r="I31" i="20"/>
  <c r="I33" i="20"/>
  <c r="I35" i="20"/>
  <c r="I37" i="20"/>
  <c r="I39" i="20"/>
  <c r="I41" i="20"/>
  <c r="I9" i="20"/>
  <c r="J9" i="20" s="1"/>
  <c r="L19" i="20"/>
  <c r="L15" i="20"/>
  <c r="L11" i="20"/>
  <c r="L107" i="20"/>
  <c r="L103" i="20"/>
  <c r="L99" i="20"/>
  <c r="L95" i="20"/>
  <c r="L91" i="20"/>
  <c r="L87" i="20"/>
  <c r="L83" i="20"/>
  <c r="L79" i="20"/>
  <c r="L75" i="20"/>
  <c r="L71" i="20"/>
  <c r="L67" i="20"/>
  <c r="L63" i="20"/>
  <c r="L59" i="20"/>
  <c r="L55" i="20"/>
  <c r="L51" i="20"/>
  <c r="L47" i="20"/>
  <c r="L20" i="20"/>
  <c r="L16" i="20"/>
  <c r="L12" i="20"/>
  <c r="L108" i="20"/>
  <c r="L104" i="20"/>
  <c r="L100" i="20"/>
  <c r="L96" i="20"/>
  <c r="L92" i="20"/>
  <c r="L88" i="20"/>
  <c r="L84" i="20"/>
  <c r="L80" i="20"/>
  <c r="L76" i="20"/>
  <c r="L72" i="20"/>
  <c r="L68" i="20"/>
  <c r="L64" i="20"/>
  <c r="L60" i="20"/>
  <c r="L56" i="20"/>
  <c r="L52" i="20"/>
  <c r="L48" i="20"/>
  <c r="L41" i="20"/>
  <c r="L44" i="20"/>
  <c r="L40" i="20"/>
  <c r="L36" i="20"/>
  <c r="L32" i="20"/>
  <c r="L28" i="20"/>
  <c r="L24" i="20"/>
  <c r="L39" i="20"/>
  <c r="L35" i="20"/>
  <c r="L31" i="20"/>
  <c r="L27" i="20"/>
  <c r="L23" i="20"/>
  <c r="L17" i="20"/>
  <c r="L13" i="20"/>
  <c r="L109" i="20"/>
  <c r="L105" i="20"/>
  <c r="L101" i="20"/>
  <c r="L97" i="20"/>
  <c r="L93" i="20"/>
  <c r="L89" i="20"/>
  <c r="L85" i="20"/>
  <c r="L81" i="20"/>
  <c r="L77" i="20"/>
  <c r="L73" i="20"/>
  <c r="L69" i="20"/>
  <c r="L65" i="20"/>
  <c r="L61" i="20"/>
  <c r="L57" i="20"/>
  <c r="L53" i="20"/>
  <c r="L49" i="20"/>
  <c r="L43" i="20"/>
  <c r="L18" i="20"/>
  <c r="L14" i="20"/>
  <c r="L10" i="20"/>
  <c r="L106" i="20"/>
  <c r="L102" i="20"/>
  <c r="L98" i="20"/>
  <c r="L94" i="20"/>
  <c r="L90" i="20"/>
  <c r="L86" i="20"/>
  <c r="L82" i="20"/>
  <c r="L78" i="20"/>
  <c r="L74" i="20"/>
  <c r="L70" i="20"/>
  <c r="L66" i="20"/>
  <c r="L62" i="20"/>
  <c r="L58" i="20"/>
  <c r="L54" i="20"/>
  <c r="L50" i="20"/>
  <c r="L45" i="20"/>
  <c r="L46" i="20"/>
  <c r="L42" i="20"/>
  <c r="L38" i="20"/>
  <c r="L34" i="20"/>
  <c r="L30" i="20"/>
  <c r="L26" i="20"/>
  <c r="L22" i="20"/>
  <c r="L37" i="20"/>
  <c r="L33" i="20"/>
  <c r="L29" i="20"/>
  <c r="L25" i="20"/>
  <c r="L21" i="20"/>
  <c r="C66" i="16"/>
  <c r="D66" i="16" s="1"/>
  <c r="AW109" i="20"/>
  <c r="AW107" i="20"/>
  <c r="AW105" i="20"/>
  <c r="AW108" i="20"/>
  <c r="AW106" i="20"/>
  <c r="AW103" i="20"/>
  <c r="AW101" i="20"/>
  <c r="AW104" i="20"/>
  <c r="AW102" i="20"/>
  <c r="AW100" i="20"/>
  <c r="AW99" i="20"/>
  <c r="AW97" i="20"/>
  <c r="AW95" i="20"/>
  <c r="AW93" i="20"/>
  <c r="AW91" i="20"/>
  <c r="AW98" i="20"/>
  <c r="AW96" i="20"/>
  <c r="AW94" i="20"/>
  <c r="AW90" i="20"/>
  <c r="AW88" i="20"/>
  <c r="AW86" i="20"/>
  <c r="AW84" i="20"/>
  <c r="AW82" i="20"/>
  <c r="AW92" i="20"/>
  <c r="AW89" i="20"/>
  <c r="AW87" i="20"/>
  <c r="AW85" i="20"/>
  <c r="AW83" i="20"/>
  <c r="AW80" i="20"/>
  <c r="AW79" i="20"/>
  <c r="AW73" i="20"/>
  <c r="AW72" i="20"/>
  <c r="AW71" i="20"/>
  <c r="AW66" i="20"/>
  <c r="AW81" i="20"/>
  <c r="AW78" i="20"/>
  <c r="AW77" i="20"/>
  <c r="AW76" i="20"/>
  <c r="AW75" i="20"/>
  <c r="AW74" i="20"/>
  <c r="AW70" i="20"/>
  <c r="AW69" i="20"/>
  <c r="AW68" i="20"/>
  <c r="AW67" i="20"/>
  <c r="AW65" i="20"/>
  <c r="AW63" i="20"/>
  <c r="AW61" i="20"/>
  <c r="AW56" i="20"/>
  <c r="AW64" i="20"/>
  <c r="AW62" i="20"/>
  <c r="AW60" i="20"/>
  <c r="AW59" i="20"/>
  <c r="AW58" i="20"/>
  <c r="AW57" i="20"/>
  <c r="AW54" i="20"/>
  <c r="AW52" i="20"/>
  <c r="AW50" i="20"/>
  <c r="AW47" i="20"/>
  <c r="AW46" i="20"/>
  <c r="AW45" i="20"/>
  <c r="AW44" i="20"/>
  <c r="AW43" i="20"/>
  <c r="AW42" i="20"/>
  <c r="AW41" i="20"/>
  <c r="AW40" i="20"/>
  <c r="AW39" i="20"/>
  <c r="AW38" i="20"/>
  <c r="AW37" i="20"/>
  <c r="AW36" i="20"/>
  <c r="AW33" i="20"/>
  <c r="AW32" i="20"/>
  <c r="AW30" i="20"/>
  <c r="AW29" i="20"/>
  <c r="AW25" i="20"/>
  <c r="AW24" i="20"/>
  <c r="AW23" i="20"/>
  <c r="AW22" i="20"/>
  <c r="AW21" i="20"/>
  <c r="AW20" i="20"/>
  <c r="AW19" i="20"/>
  <c r="AW18" i="20"/>
  <c r="AW55" i="20"/>
  <c r="AW53" i="20"/>
  <c r="AW51" i="20"/>
  <c r="AW49" i="20"/>
  <c r="AW48" i="20"/>
  <c r="AW35" i="20"/>
  <c r="AW34" i="20"/>
  <c r="AW31" i="20"/>
  <c r="AW28" i="20"/>
  <c r="AW27" i="20"/>
  <c r="AW26" i="20"/>
  <c r="AW15" i="20"/>
  <c r="AW13" i="20"/>
  <c r="AW11" i="20"/>
  <c r="AW10" i="20"/>
  <c r="AW9" i="20"/>
  <c r="AW17" i="20"/>
  <c r="AW16" i="20"/>
  <c r="AW14" i="20"/>
  <c r="AW12" i="20"/>
  <c r="B73" i="20"/>
  <c r="B45" i="20"/>
  <c r="B72" i="20"/>
  <c r="D161" i="2"/>
  <c r="D128" i="2"/>
  <c r="D150" i="2"/>
  <c r="D133" i="2"/>
  <c r="B130" i="2"/>
  <c r="B407" i="2"/>
  <c r="B232" i="2"/>
  <c r="B408" i="2"/>
  <c r="A429" i="2"/>
  <c r="B303" i="2"/>
  <c r="B304" i="2"/>
  <c r="B246" i="2"/>
  <c r="B250" i="2" s="1"/>
  <c r="B249" i="2"/>
  <c r="B275" i="2"/>
  <c r="B273" i="2"/>
  <c r="B429" i="2"/>
  <c r="B260" i="2"/>
  <c r="E110" i="17"/>
  <c r="F13" i="17"/>
  <c r="F17" i="17"/>
  <c r="F21" i="17"/>
  <c r="F25" i="17"/>
  <c r="F29" i="17"/>
  <c r="F33" i="17"/>
  <c r="F37" i="17"/>
  <c r="F41" i="17"/>
  <c r="F45" i="17"/>
  <c r="F49" i="17"/>
  <c r="F53" i="17"/>
  <c r="F57" i="17"/>
  <c r="F61" i="17"/>
  <c r="F65" i="17"/>
  <c r="F69" i="17"/>
  <c r="F73" i="17"/>
  <c r="F77" i="17"/>
  <c r="F81" i="17"/>
  <c r="F85" i="17"/>
  <c r="F89" i="17"/>
  <c r="F93" i="17"/>
  <c r="F97" i="17"/>
  <c r="F101" i="17"/>
  <c r="F105" i="17"/>
  <c r="F109" i="17"/>
  <c r="E16" i="17"/>
  <c r="E20" i="17"/>
  <c r="E24" i="17"/>
  <c r="E28" i="17"/>
  <c r="E32" i="17"/>
  <c r="E36" i="17"/>
  <c r="E40" i="17"/>
  <c r="E44" i="17"/>
  <c r="E48" i="17"/>
  <c r="E52" i="17"/>
  <c r="E56" i="17"/>
  <c r="E60" i="17"/>
  <c r="E64" i="17"/>
  <c r="E68" i="17"/>
  <c r="E72" i="17"/>
  <c r="E76" i="17"/>
  <c r="E80" i="17"/>
  <c r="E84" i="17"/>
  <c r="E88" i="17"/>
  <c r="E92" i="17"/>
  <c r="E96" i="17"/>
  <c r="E100" i="17"/>
  <c r="E104" i="17"/>
  <c r="E108" i="17"/>
  <c r="C633" i="17"/>
  <c r="F612" i="17"/>
  <c r="F610" i="17"/>
  <c r="F608" i="17"/>
  <c r="F606" i="17"/>
  <c r="F604" i="17"/>
  <c r="F602" i="17"/>
  <c r="F600" i="17"/>
  <c r="F598" i="17"/>
  <c r="F596" i="17"/>
  <c r="F613" i="17"/>
  <c r="F611" i="17"/>
  <c r="F609" i="17"/>
  <c r="F607" i="17"/>
  <c r="F605" i="17"/>
  <c r="F603" i="17"/>
  <c r="F601" i="17"/>
  <c r="F599" i="17"/>
  <c r="F597" i="17"/>
  <c r="E595" i="17"/>
  <c r="E593" i="17"/>
  <c r="E591" i="17"/>
  <c r="E589" i="17"/>
  <c r="E587" i="17"/>
  <c r="E585" i="17"/>
  <c r="E583" i="17"/>
  <c r="E581" i="17"/>
  <c r="E579" i="17"/>
  <c r="E577" i="17"/>
  <c r="E575" i="17"/>
  <c r="E573" i="17"/>
  <c r="E571" i="17"/>
  <c r="E569" i="17"/>
  <c r="E567" i="17"/>
  <c r="E565" i="17"/>
  <c r="E563" i="17"/>
  <c r="E561" i="17"/>
  <c r="E559" i="17"/>
  <c r="E557" i="17"/>
  <c r="E555" i="17"/>
  <c r="E553" i="17"/>
  <c r="E551" i="17"/>
  <c r="E549" i="17"/>
  <c r="E547" i="17"/>
  <c r="E545" i="17"/>
  <c r="F595" i="17"/>
  <c r="E592" i="17"/>
  <c r="E588" i="17"/>
  <c r="E584" i="17"/>
  <c r="E580" i="17"/>
  <c r="E576" i="17"/>
  <c r="E572" i="17"/>
  <c r="E568" i="17"/>
  <c r="E564" i="17"/>
  <c r="E560" i="17"/>
  <c r="E556" i="17"/>
  <c r="E552" i="17"/>
  <c r="E548" i="17"/>
  <c r="E544" i="17"/>
  <c r="E542" i="17"/>
  <c r="E540" i="17"/>
  <c r="E538" i="17"/>
  <c r="E536" i="17"/>
  <c r="E534" i="17"/>
  <c r="E532" i="17"/>
  <c r="E530" i="17"/>
  <c r="E528" i="17"/>
  <c r="E526" i="17"/>
  <c r="E524" i="17"/>
  <c r="E522" i="17"/>
  <c r="F593" i="17"/>
  <c r="F589" i="17"/>
  <c r="F585" i="17"/>
  <c r="F581" i="17"/>
  <c r="F577" i="17"/>
  <c r="F573" i="17"/>
  <c r="F569" i="17"/>
  <c r="F565" i="17"/>
  <c r="F561" i="17"/>
  <c r="F557" i="17"/>
  <c r="F553" i="17"/>
  <c r="F549" i="17"/>
  <c r="F545" i="17"/>
  <c r="F542" i="17"/>
  <c r="F540" i="17"/>
  <c r="F538" i="17"/>
  <c r="F536" i="17"/>
  <c r="F534" i="17"/>
  <c r="F532" i="17"/>
  <c r="F530" i="17"/>
  <c r="F528" i="17"/>
  <c r="F526" i="17"/>
  <c r="F524" i="17"/>
  <c r="F522" i="17"/>
  <c r="F520" i="17"/>
  <c r="F519" i="17"/>
  <c r="E517" i="17"/>
  <c r="E515" i="17"/>
  <c r="E513" i="17"/>
  <c r="E511" i="17"/>
  <c r="E509" i="17"/>
  <c r="E507" i="17"/>
  <c r="E505" i="17"/>
  <c r="E503" i="17"/>
  <c r="E501" i="17"/>
  <c r="E499" i="17"/>
  <c r="E497" i="17"/>
  <c r="E495" i="17"/>
  <c r="E493" i="17"/>
  <c r="E491" i="17"/>
  <c r="E489" i="17"/>
  <c r="E487" i="17"/>
  <c r="E485" i="17"/>
  <c r="E483" i="17"/>
  <c r="E481" i="17"/>
  <c r="E479" i="17"/>
  <c r="E477" i="17"/>
  <c r="E475" i="17"/>
  <c r="E473" i="17"/>
  <c r="E471" i="17"/>
  <c r="E469" i="17"/>
  <c r="E467" i="17"/>
  <c r="E465" i="17"/>
  <c r="E463" i="17"/>
  <c r="E461" i="17"/>
  <c r="E459" i="17"/>
  <c r="E457" i="17"/>
  <c r="E455" i="17"/>
  <c r="E453" i="17"/>
  <c r="E451" i="17"/>
  <c r="E449" i="17"/>
  <c r="E447" i="17"/>
  <c r="E445" i="17"/>
  <c r="E443" i="17"/>
  <c r="E441" i="17"/>
  <c r="E439" i="17"/>
  <c r="E437" i="17"/>
  <c r="E435" i="17"/>
  <c r="E433" i="17"/>
  <c r="E431" i="17"/>
  <c r="E429" i="17"/>
  <c r="E427" i="17"/>
  <c r="E425" i="17"/>
  <c r="E423" i="17"/>
  <c r="E421" i="17"/>
  <c r="E419" i="17"/>
  <c r="E520" i="17"/>
  <c r="F517" i="17"/>
  <c r="F515" i="17"/>
  <c r="F513" i="17"/>
  <c r="F511" i="17"/>
  <c r="F509" i="17"/>
  <c r="F507" i="17"/>
  <c r="F505" i="17"/>
  <c r="F503" i="17"/>
  <c r="F501" i="17"/>
  <c r="F499" i="17"/>
  <c r="F497" i="17"/>
  <c r="F495" i="17"/>
  <c r="F493" i="17"/>
  <c r="F491" i="17"/>
  <c r="F489" i="17"/>
  <c r="F487" i="17"/>
  <c r="F485" i="17"/>
  <c r="F483" i="17"/>
  <c r="F481" i="17"/>
  <c r="F479" i="17"/>
  <c r="F477" i="17"/>
  <c r="F475" i="17"/>
  <c r="F473" i="17"/>
  <c r="F471" i="17"/>
  <c r="F469" i="17"/>
  <c r="F467" i="17"/>
  <c r="F465" i="17"/>
  <c r="F463" i="17"/>
  <c r="F461" i="17"/>
  <c r="F459" i="17"/>
  <c r="F457" i="17"/>
  <c r="F455" i="17"/>
  <c r="F453" i="17"/>
  <c r="F451" i="17"/>
  <c r="F449" i="17"/>
  <c r="F447" i="17"/>
  <c r="F445" i="17"/>
  <c r="F443" i="17"/>
  <c r="F441" i="17"/>
  <c r="F439" i="17"/>
  <c r="F437" i="17"/>
  <c r="F435" i="17"/>
  <c r="F433" i="17"/>
  <c r="F431" i="17"/>
  <c r="F429" i="17"/>
  <c r="F427" i="17"/>
  <c r="F425" i="17"/>
  <c r="F423" i="17"/>
  <c r="F421" i="17"/>
  <c r="F419" i="17"/>
  <c r="F417" i="17"/>
  <c r="F415" i="17"/>
  <c r="F413" i="17"/>
  <c r="F411" i="17"/>
  <c r="F409" i="17"/>
  <c r="F407" i="17"/>
  <c r="F405" i="17"/>
  <c r="F403" i="17"/>
  <c r="F401" i="17"/>
  <c r="F399" i="17"/>
  <c r="F15" i="17"/>
  <c r="F19" i="17"/>
  <c r="F23" i="17"/>
  <c r="F27" i="17"/>
  <c r="F31" i="17"/>
  <c r="F35" i="17"/>
  <c r="F39" i="17"/>
  <c r="F43" i="17"/>
  <c r="F47" i="17"/>
  <c r="F51" i="17"/>
  <c r="F55" i="17"/>
  <c r="F59" i="17"/>
  <c r="F63" i="17"/>
  <c r="F67" i="17"/>
  <c r="F71" i="17"/>
  <c r="F75" i="17"/>
  <c r="F79" i="17"/>
  <c r="F83" i="17"/>
  <c r="F87" i="17"/>
  <c r="F91" i="17"/>
  <c r="F95" i="17"/>
  <c r="F99" i="17"/>
  <c r="F103" i="17"/>
  <c r="F107" i="17"/>
  <c r="E14" i="17"/>
  <c r="E18" i="17"/>
  <c r="E22" i="17"/>
  <c r="E26" i="17"/>
  <c r="E30" i="17"/>
  <c r="E34" i="17"/>
  <c r="E38" i="17"/>
  <c r="E42" i="17"/>
  <c r="E46" i="17"/>
  <c r="E50" i="17"/>
  <c r="E54" i="17"/>
  <c r="E58" i="17"/>
  <c r="E62" i="17"/>
  <c r="E66" i="17"/>
  <c r="E70" i="17"/>
  <c r="E74" i="17"/>
  <c r="E78" i="17"/>
  <c r="E82" i="17"/>
  <c r="E86" i="17"/>
  <c r="E90" i="17"/>
  <c r="E94" i="17"/>
  <c r="E98" i="17"/>
  <c r="E102" i="17"/>
  <c r="E106" i="17"/>
  <c r="E613" i="17"/>
  <c r="E611" i="17"/>
  <c r="E609" i="17"/>
  <c r="E607" i="17"/>
  <c r="E605" i="17"/>
  <c r="E603" i="17"/>
  <c r="E601" i="17"/>
  <c r="E599" i="17"/>
  <c r="E597" i="17"/>
  <c r="A623" i="17"/>
  <c r="E612" i="17"/>
  <c r="E610" i="17"/>
  <c r="E608" i="17"/>
  <c r="E606" i="17"/>
  <c r="E604" i="17"/>
  <c r="E602" i="17"/>
  <c r="E600" i="17"/>
  <c r="E598" i="17"/>
  <c r="E596" i="17"/>
  <c r="F594" i="17"/>
  <c r="F592" i="17"/>
  <c r="F590" i="17"/>
  <c r="F588" i="17"/>
  <c r="F586" i="17"/>
  <c r="F584" i="17"/>
  <c r="F582" i="17"/>
  <c r="F580" i="17"/>
  <c r="F578" i="17"/>
  <c r="F576" i="17"/>
  <c r="F574" i="17"/>
  <c r="F572" i="17"/>
  <c r="F570" i="17"/>
  <c r="F568" i="17"/>
  <c r="F566" i="17"/>
  <c r="F564" i="17"/>
  <c r="F562" i="17"/>
  <c r="F560" i="17"/>
  <c r="F558" i="17"/>
  <c r="F556" i="17"/>
  <c r="F554" i="17"/>
  <c r="F552" i="17"/>
  <c r="F550" i="17"/>
  <c r="F548" i="17"/>
  <c r="F546" i="17"/>
  <c r="F544" i="17"/>
  <c r="E594" i="17"/>
  <c r="E590" i="17"/>
  <c r="E586" i="17"/>
  <c r="E582" i="17"/>
  <c r="E578" i="17"/>
  <c r="E574" i="17"/>
  <c r="E570" i="17"/>
  <c r="E566" i="17"/>
  <c r="E562" i="17"/>
  <c r="E558" i="17"/>
  <c r="E554" i="17"/>
  <c r="E550" i="17"/>
  <c r="E546" i="17"/>
  <c r="F543" i="17"/>
  <c r="F541" i="17"/>
  <c r="F539" i="17"/>
  <c r="F537" i="17"/>
  <c r="F535" i="17"/>
  <c r="F533" i="17"/>
  <c r="F531" i="17"/>
  <c r="F529" i="17"/>
  <c r="F527" i="17"/>
  <c r="F525" i="17"/>
  <c r="F523" i="17"/>
  <c r="F521" i="17"/>
  <c r="F591" i="17"/>
  <c r="F587" i="17"/>
  <c r="F583" i="17"/>
  <c r="F579" i="17"/>
  <c r="F575" i="17"/>
  <c r="F571" i="17"/>
  <c r="F567" i="17"/>
  <c r="F563" i="17"/>
  <c r="F559" i="17"/>
  <c r="F555" i="17"/>
  <c r="F551" i="17"/>
  <c r="F547" i="17"/>
  <c r="E543" i="17"/>
  <c r="E541" i="17"/>
  <c r="E539" i="17"/>
  <c r="E537" i="17"/>
  <c r="E535" i="17"/>
  <c r="E533" i="17"/>
  <c r="E531" i="17"/>
  <c r="E529" i="17"/>
  <c r="E527" i="17"/>
  <c r="E525" i="17"/>
  <c r="E523" i="17"/>
  <c r="E521" i="17"/>
  <c r="E519" i="17"/>
  <c r="F518" i="17"/>
  <c r="F516" i="17"/>
  <c r="F514" i="17"/>
  <c r="F512" i="17"/>
  <c r="F510" i="17"/>
  <c r="F508" i="17"/>
  <c r="F506" i="17"/>
  <c r="F504" i="17"/>
  <c r="F502" i="17"/>
  <c r="F500" i="17"/>
  <c r="F498" i="17"/>
  <c r="F496" i="17"/>
  <c r="F494" i="17"/>
  <c r="F492" i="17"/>
  <c r="F490" i="17"/>
  <c r="F488" i="17"/>
  <c r="F486" i="17"/>
  <c r="F484" i="17"/>
  <c r="F482" i="17"/>
  <c r="F480" i="17"/>
  <c r="F478" i="17"/>
  <c r="F476" i="17"/>
  <c r="F474" i="17"/>
  <c r="F472" i="17"/>
  <c r="F470" i="17"/>
  <c r="F468" i="17"/>
  <c r="F466" i="17"/>
  <c r="F464" i="17"/>
  <c r="F462" i="17"/>
  <c r="F460" i="17"/>
  <c r="F458" i="17"/>
  <c r="F456" i="17"/>
  <c r="F454" i="17"/>
  <c r="F452" i="17"/>
  <c r="F450" i="17"/>
  <c r="F448" i="17"/>
  <c r="F446" i="17"/>
  <c r="F444" i="17"/>
  <c r="F442" i="17"/>
  <c r="F440" i="17"/>
  <c r="F438" i="17"/>
  <c r="F436" i="17"/>
  <c r="F434" i="17"/>
  <c r="F432" i="17"/>
  <c r="F430" i="17"/>
  <c r="F428" i="17"/>
  <c r="F426" i="17"/>
  <c r="F424" i="17"/>
  <c r="F422" i="17"/>
  <c r="F420" i="17"/>
  <c r="F418" i="17"/>
  <c r="E518" i="17"/>
  <c r="E516" i="17"/>
  <c r="E514" i="17"/>
  <c r="E512" i="17"/>
  <c r="E510" i="17"/>
  <c r="E508" i="17"/>
  <c r="E506" i="17"/>
  <c r="E504" i="17"/>
  <c r="E502" i="17"/>
  <c r="E500" i="17"/>
  <c r="E498" i="17"/>
  <c r="E496" i="17"/>
  <c r="E494" i="17"/>
  <c r="E492" i="17"/>
  <c r="E490" i="17"/>
  <c r="E488" i="17"/>
  <c r="E486" i="17"/>
  <c r="E484" i="17"/>
  <c r="E482" i="17"/>
  <c r="E480" i="17"/>
  <c r="E478" i="17"/>
  <c r="E476" i="17"/>
  <c r="E474" i="17"/>
  <c r="E472" i="17"/>
  <c r="E470" i="17"/>
  <c r="E468" i="17"/>
  <c r="E466" i="17"/>
  <c r="E464" i="17"/>
  <c r="E462" i="17"/>
  <c r="E460" i="17"/>
  <c r="E458" i="17"/>
  <c r="E456" i="17"/>
  <c r="E454" i="17"/>
  <c r="E452" i="17"/>
  <c r="E450" i="17"/>
  <c r="E448" i="17"/>
  <c r="E446" i="17"/>
  <c r="E444" i="17"/>
  <c r="E442" i="17"/>
  <c r="E440" i="17"/>
  <c r="E438" i="17"/>
  <c r="E436" i="17"/>
  <c r="E434" i="17"/>
  <c r="E432" i="17"/>
  <c r="E430" i="17"/>
  <c r="E428" i="17"/>
  <c r="E426" i="17"/>
  <c r="E424" i="17"/>
  <c r="E422" i="17"/>
  <c r="E420" i="17"/>
  <c r="E418" i="17"/>
  <c r="E416" i="17"/>
  <c r="E414" i="17"/>
  <c r="E412" i="17"/>
  <c r="E410" i="17"/>
  <c r="E408" i="17"/>
  <c r="E406" i="17"/>
  <c r="E404" i="17"/>
  <c r="E402" i="17"/>
  <c r="E400" i="17"/>
  <c r="E398" i="17"/>
  <c r="E396" i="17"/>
  <c r="E394" i="17"/>
  <c r="E392" i="17"/>
  <c r="E390" i="17"/>
  <c r="E388" i="17"/>
  <c r="E386" i="17"/>
  <c r="E384" i="17"/>
  <c r="E382" i="17"/>
  <c r="E380" i="17"/>
  <c r="E378" i="17"/>
  <c r="E376" i="17"/>
  <c r="E374" i="17"/>
  <c r="E372" i="17"/>
  <c r="E370" i="17"/>
  <c r="E368" i="17"/>
  <c r="E366" i="17"/>
  <c r="E364" i="17"/>
  <c r="E362" i="17"/>
  <c r="E360" i="17"/>
  <c r="E358" i="17"/>
  <c r="E356" i="17"/>
  <c r="E354" i="17"/>
  <c r="E352" i="17"/>
  <c r="E350" i="17"/>
  <c r="E348" i="17"/>
  <c r="E346" i="17"/>
  <c r="E344" i="17"/>
  <c r="E342" i="17"/>
  <c r="E340" i="17"/>
  <c r="E338" i="17"/>
  <c r="E336" i="17"/>
  <c r="E334" i="17"/>
  <c r="E332" i="17"/>
  <c r="E330" i="17"/>
  <c r="E328" i="17"/>
  <c r="E326" i="17"/>
  <c r="E324" i="17"/>
  <c r="E322" i="17"/>
  <c r="E320" i="17"/>
  <c r="E318" i="17"/>
  <c r="E316" i="17"/>
  <c r="E417" i="17"/>
  <c r="E415" i="17"/>
  <c r="E413" i="17"/>
  <c r="E411" i="17"/>
  <c r="E409" i="17"/>
  <c r="E407" i="17"/>
  <c r="E405" i="17"/>
  <c r="E403" i="17"/>
  <c r="E401" i="17"/>
  <c r="E399" i="17"/>
  <c r="E397" i="17"/>
  <c r="E395" i="17"/>
  <c r="E393" i="17"/>
  <c r="E391" i="17"/>
  <c r="E389" i="17"/>
  <c r="E387" i="17"/>
  <c r="E385" i="17"/>
  <c r="E383" i="17"/>
  <c r="E381" i="17"/>
  <c r="E379" i="17"/>
  <c r="E377" i="17"/>
  <c r="E375" i="17"/>
  <c r="E373" i="17"/>
  <c r="E371" i="17"/>
  <c r="E369" i="17"/>
  <c r="E367" i="17"/>
  <c r="E365" i="17"/>
  <c r="E363" i="17"/>
  <c r="E361" i="17"/>
  <c r="E359" i="17"/>
  <c r="E357" i="17"/>
  <c r="E355" i="17"/>
  <c r="E353" i="17"/>
  <c r="E351" i="17"/>
  <c r="E349" i="17"/>
  <c r="E347" i="17"/>
  <c r="E345" i="17"/>
  <c r="E343" i="17"/>
  <c r="E341" i="17"/>
  <c r="E339" i="17"/>
  <c r="E337" i="17"/>
  <c r="E335" i="17"/>
  <c r="E333" i="17"/>
  <c r="E331" i="17"/>
  <c r="E329" i="17"/>
  <c r="E327" i="17"/>
  <c r="E325" i="17"/>
  <c r="E323" i="17"/>
  <c r="E321" i="17"/>
  <c r="E319" i="17"/>
  <c r="E317" i="17"/>
  <c r="E315" i="17"/>
  <c r="F313" i="17"/>
  <c r="F311" i="17"/>
  <c r="F309" i="17"/>
  <c r="F307" i="17"/>
  <c r="F305" i="17"/>
  <c r="F303" i="17"/>
  <c r="F301" i="17"/>
  <c r="F299" i="17"/>
  <c r="F297" i="17"/>
  <c r="F295" i="17"/>
  <c r="F293" i="17"/>
  <c r="F291" i="17"/>
  <c r="F289" i="17"/>
  <c r="F287" i="17"/>
  <c r="F285" i="17"/>
  <c r="F283" i="17"/>
  <c r="F281" i="17"/>
  <c r="F279" i="17"/>
  <c r="F277" i="17"/>
  <c r="F275" i="17"/>
  <c r="F273" i="17"/>
  <c r="F271" i="17"/>
  <c r="F269" i="17"/>
  <c r="F267" i="17"/>
  <c r="F265" i="17"/>
  <c r="F263" i="17"/>
  <c r="F261" i="17"/>
  <c r="F259" i="17"/>
  <c r="F257" i="17"/>
  <c r="F255" i="17"/>
  <c r="F253" i="17"/>
  <c r="F251" i="17"/>
  <c r="F249" i="17"/>
  <c r="F247" i="17"/>
  <c r="F245" i="17"/>
  <c r="F243" i="17"/>
  <c r="F241" i="17"/>
  <c r="F239" i="17"/>
  <c r="F237" i="17"/>
  <c r="F235" i="17"/>
  <c r="F233" i="17"/>
  <c r="F231" i="17"/>
  <c r="F229" i="17"/>
  <c r="F227" i="17"/>
  <c r="F225" i="17"/>
  <c r="F223" i="17"/>
  <c r="F221" i="17"/>
  <c r="F219" i="17"/>
  <c r="F217" i="17"/>
  <c r="F215" i="17"/>
  <c r="F213" i="17"/>
  <c r="F211" i="17"/>
  <c r="F209" i="17"/>
  <c r="F207" i="17"/>
  <c r="F205" i="17"/>
  <c r="F203" i="17"/>
  <c r="F201" i="17"/>
  <c r="F199" i="17"/>
  <c r="F197" i="17"/>
  <c r="F195" i="17"/>
  <c r="F193" i="17"/>
  <c r="F191" i="17"/>
  <c r="F189" i="17"/>
  <c r="F187" i="17"/>
  <c r="F185" i="17"/>
  <c r="F183" i="17"/>
  <c r="F181" i="17"/>
  <c r="F179" i="17"/>
  <c r="F177" i="17"/>
  <c r="F175" i="17"/>
  <c r="F173" i="17"/>
  <c r="F171" i="17"/>
  <c r="F169" i="17"/>
  <c r="F167" i="17"/>
  <c r="F165" i="17"/>
  <c r="F163" i="17"/>
  <c r="F161" i="17"/>
  <c r="F159" i="17"/>
  <c r="F157" i="17"/>
  <c r="F155" i="17"/>
  <c r="F153" i="17"/>
  <c r="F151" i="17"/>
  <c r="F149" i="17"/>
  <c r="F147" i="17"/>
  <c r="F145" i="17"/>
  <c r="F143" i="17"/>
  <c r="F141" i="17"/>
  <c r="F139" i="17"/>
  <c r="F137" i="17"/>
  <c r="F135" i="17"/>
  <c r="F133" i="17"/>
  <c r="F131" i="17"/>
  <c r="F129" i="17"/>
  <c r="F127" i="17"/>
  <c r="F125" i="17"/>
  <c r="F123" i="17"/>
  <c r="F121" i="17"/>
  <c r="F119" i="17"/>
  <c r="F117" i="17"/>
  <c r="F115" i="17"/>
  <c r="F113" i="17"/>
  <c r="F111" i="17"/>
  <c r="E313" i="17"/>
  <c r="E311" i="17"/>
  <c r="E309" i="17"/>
  <c r="E307" i="17"/>
  <c r="E305" i="17"/>
  <c r="E303" i="17"/>
  <c r="E301" i="17"/>
  <c r="E299" i="17"/>
  <c r="E297" i="17"/>
  <c r="E295" i="17"/>
  <c r="E293" i="17"/>
  <c r="E291" i="17"/>
  <c r="E289" i="17"/>
  <c r="E287" i="17"/>
  <c r="E285" i="17"/>
  <c r="E283" i="17"/>
  <c r="E281" i="17"/>
  <c r="F397" i="17"/>
  <c r="F395" i="17"/>
  <c r="F393" i="17"/>
  <c r="F391" i="17"/>
  <c r="F389" i="17"/>
  <c r="F387" i="17"/>
  <c r="F385" i="17"/>
  <c r="F383" i="17"/>
  <c r="F381" i="17"/>
  <c r="F379" i="17"/>
  <c r="F377" i="17"/>
  <c r="F375" i="17"/>
  <c r="F373" i="17"/>
  <c r="F371" i="17"/>
  <c r="F369" i="17"/>
  <c r="F367" i="17"/>
  <c r="F365" i="17"/>
  <c r="F363" i="17"/>
  <c r="F361" i="17"/>
  <c r="F359" i="17"/>
  <c r="F357" i="17"/>
  <c r="F355" i="17"/>
  <c r="F353" i="17"/>
  <c r="F351" i="17"/>
  <c r="F349" i="17"/>
  <c r="F347" i="17"/>
  <c r="F345" i="17"/>
  <c r="F343" i="17"/>
  <c r="F341" i="17"/>
  <c r="F339" i="17"/>
  <c r="F337" i="17"/>
  <c r="F335" i="17"/>
  <c r="F333" i="17"/>
  <c r="F331" i="17"/>
  <c r="F329" i="17"/>
  <c r="F327" i="17"/>
  <c r="F325" i="17"/>
  <c r="F323" i="17"/>
  <c r="F321" i="17"/>
  <c r="F319" i="17"/>
  <c r="F317" i="17"/>
  <c r="F315" i="17"/>
  <c r="F416" i="17"/>
  <c r="F414" i="17"/>
  <c r="F412" i="17"/>
  <c r="F410" i="17"/>
  <c r="F408" i="17"/>
  <c r="F406" i="17"/>
  <c r="F404" i="17"/>
  <c r="F402" i="17"/>
  <c r="F400" i="17"/>
  <c r="F398" i="17"/>
  <c r="F396" i="17"/>
  <c r="F394" i="17"/>
  <c r="F392" i="17"/>
  <c r="F390" i="17"/>
  <c r="F388" i="17"/>
  <c r="F386" i="17"/>
  <c r="F384" i="17"/>
  <c r="F382" i="17"/>
  <c r="F380" i="17"/>
  <c r="F378" i="17"/>
  <c r="F376" i="17"/>
  <c r="F374" i="17"/>
  <c r="F372" i="17"/>
  <c r="F370" i="17"/>
  <c r="F368" i="17"/>
  <c r="F366" i="17"/>
  <c r="F364" i="17"/>
  <c r="F362" i="17"/>
  <c r="F360" i="17"/>
  <c r="F358" i="17"/>
  <c r="F356" i="17"/>
  <c r="F354" i="17"/>
  <c r="F352" i="17"/>
  <c r="F350" i="17"/>
  <c r="F348" i="17"/>
  <c r="F346" i="17"/>
  <c r="F344" i="17"/>
  <c r="F342" i="17"/>
  <c r="F340" i="17"/>
  <c r="F338" i="17"/>
  <c r="F336" i="17"/>
  <c r="F334" i="17"/>
  <c r="F332" i="17"/>
  <c r="F330" i="17"/>
  <c r="F328" i="17"/>
  <c r="F326" i="17"/>
  <c r="F324" i="17"/>
  <c r="F322" i="17"/>
  <c r="F320" i="17"/>
  <c r="F318" i="17"/>
  <c r="F316" i="17"/>
  <c r="E314" i="17"/>
  <c r="E312" i="17"/>
  <c r="E310" i="17"/>
  <c r="E308" i="17"/>
  <c r="E306" i="17"/>
  <c r="E304" i="17"/>
  <c r="E302" i="17"/>
  <c r="E300" i="17"/>
  <c r="E298" i="17"/>
  <c r="E296" i="17"/>
  <c r="E294" i="17"/>
  <c r="E292" i="17"/>
  <c r="E290" i="17"/>
  <c r="E288" i="17"/>
  <c r="E286" i="17"/>
  <c r="E284" i="17"/>
  <c r="E282" i="17"/>
  <c r="E280" i="17"/>
  <c r="E278" i="17"/>
  <c r="E276" i="17"/>
  <c r="E274" i="17"/>
  <c r="E272" i="17"/>
  <c r="E270" i="17"/>
  <c r="E268" i="17"/>
  <c r="E266" i="17"/>
  <c r="E264" i="17"/>
  <c r="E262" i="17"/>
  <c r="E260" i="17"/>
  <c r="E258" i="17"/>
  <c r="E256" i="17"/>
  <c r="E254" i="17"/>
  <c r="E252" i="17"/>
  <c r="E250" i="17"/>
  <c r="E248" i="17"/>
  <c r="E246" i="17"/>
  <c r="E244" i="17"/>
  <c r="E242" i="17"/>
  <c r="E240" i="17"/>
  <c r="E238" i="17"/>
  <c r="E236" i="17"/>
  <c r="E234" i="17"/>
  <c r="E232" i="17"/>
  <c r="E230" i="17"/>
  <c r="E228" i="17"/>
  <c r="E226" i="17"/>
  <c r="E224" i="17"/>
  <c r="E222" i="17"/>
  <c r="E220" i="17"/>
  <c r="E218" i="17"/>
  <c r="E216" i="17"/>
  <c r="E214" i="17"/>
  <c r="E212" i="17"/>
  <c r="E210" i="17"/>
  <c r="E208" i="17"/>
  <c r="E206" i="17"/>
  <c r="E204" i="17"/>
  <c r="E202" i="17"/>
  <c r="E200" i="17"/>
  <c r="E198" i="17"/>
  <c r="E196" i="17"/>
  <c r="E194" i="17"/>
  <c r="E192" i="17"/>
  <c r="E190" i="17"/>
  <c r="E188" i="17"/>
  <c r="E186" i="17"/>
  <c r="E184" i="17"/>
  <c r="E182" i="17"/>
  <c r="E180" i="17"/>
  <c r="E178" i="17"/>
  <c r="E176" i="17"/>
  <c r="E174" i="17"/>
  <c r="E172" i="17"/>
  <c r="E170" i="17"/>
  <c r="E168" i="17"/>
  <c r="E166" i="17"/>
  <c r="E164" i="17"/>
  <c r="E162" i="17"/>
  <c r="E160" i="17"/>
  <c r="E158" i="17"/>
  <c r="E156" i="17"/>
  <c r="E154" i="17"/>
  <c r="E152" i="17"/>
  <c r="E150" i="17"/>
  <c r="E148" i="17"/>
  <c r="E146" i="17"/>
  <c r="E144" i="17"/>
  <c r="E142" i="17"/>
  <c r="E140" i="17"/>
  <c r="E138" i="17"/>
  <c r="E136" i="17"/>
  <c r="E134" i="17"/>
  <c r="E132" i="17"/>
  <c r="E130" i="17"/>
  <c r="E128" i="17"/>
  <c r="E126" i="17"/>
  <c r="E124" i="17"/>
  <c r="E122" i="17"/>
  <c r="E120" i="17"/>
  <c r="E118" i="17"/>
  <c r="E116" i="17"/>
  <c r="E114" i="17"/>
  <c r="E112" i="17"/>
  <c r="F314" i="17"/>
  <c r="F312" i="17"/>
  <c r="F310" i="17"/>
  <c r="F308" i="17"/>
  <c r="F306" i="17"/>
  <c r="F304" i="17"/>
  <c r="F302" i="17"/>
  <c r="F300" i="17"/>
  <c r="F298" i="17"/>
  <c r="F296" i="17"/>
  <c r="F294" i="17"/>
  <c r="F292" i="17"/>
  <c r="F290" i="17"/>
  <c r="F288" i="17"/>
  <c r="F286" i="17"/>
  <c r="F284" i="17"/>
  <c r="F282" i="17"/>
  <c r="F280" i="17"/>
  <c r="F278" i="17"/>
  <c r="F276" i="17"/>
  <c r="F274" i="17"/>
  <c r="F272" i="17"/>
  <c r="F270" i="17"/>
  <c r="F268" i="17"/>
  <c r="F266" i="17"/>
  <c r="F264" i="17"/>
  <c r="F262" i="17"/>
  <c r="F260" i="17"/>
  <c r="F258" i="17"/>
  <c r="F256" i="17"/>
  <c r="F254" i="17"/>
  <c r="F252" i="17"/>
  <c r="F250" i="17"/>
  <c r="F248" i="17"/>
  <c r="F246" i="17"/>
  <c r="F244" i="17"/>
  <c r="F242" i="17"/>
  <c r="F240" i="17"/>
  <c r="F238" i="17"/>
  <c r="F236" i="17"/>
  <c r="F234" i="17"/>
  <c r="F232" i="17"/>
  <c r="F230" i="17"/>
  <c r="F228" i="17"/>
  <c r="F226" i="17"/>
  <c r="F224" i="17"/>
  <c r="F222" i="17"/>
  <c r="F220" i="17"/>
  <c r="F218" i="17"/>
  <c r="F216" i="17"/>
  <c r="F214" i="17"/>
  <c r="F212" i="17"/>
  <c r="F210" i="17"/>
  <c r="F208" i="17"/>
  <c r="F206" i="17"/>
  <c r="F204" i="17"/>
  <c r="F202" i="17"/>
  <c r="F200" i="17"/>
  <c r="F198" i="17"/>
  <c r="F196" i="17"/>
  <c r="F194" i="17"/>
  <c r="E277" i="17"/>
  <c r="E273" i="17"/>
  <c r="E269" i="17"/>
  <c r="E265" i="17"/>
  <c r="E261" i="17"/>
  <c r="E257" i="17"/>
  <c r="E253" i="17"/>
  <c r="E249" i="17"/>
  <c r="E245" i="17"/>
  <c r="E241" i="17"/>
  <c r="E237" i="17"/>
  <c r="E233" i="17"/>
  <c r="E229" i="17"/>
  <c r="E225" i="17"/>
  <c r="E221" i="17"/>
  <c r="E217" i="17"/>
  <c r="E213" i="17"/>
  <c r="E209" i="17"/>
  <c r="E205" i="17"/>
  <c r="E201" i="17"/>
  <c r="E197" i="17"/>
  <c r="E193" i="17"/>
  <c r="E191" i="17"/>
  <c r="E189" i="17"/>
  <c r="E187" i="17"/>
  <c r="E185" i="17"/>
  <c r="E183" i="17"/>
  <c r="E181" i="17"/>
  <c r="E179" i="17"/>
  <c r="E177" i="17"/>
  <c r="E175" i="17"/>
  <c r="E173" i="17"/>
  <c r="E171" i="17"/>
  <c r="E169" i="17"/>
  <c r="E167" i="17"/>
  <c r="E165" i="17"/>
  <c r="E163" i="17"/>
  <c r="E161" i="17"/>
  <c r="E159" i="17"/>
  <c r="E157" i="17"/>
  <c r="E155" i="17"/>
  <c r="E153" i="17"/>
  <c r="E151" i="17"/>
  <c r="E149" i="17"/>
  <c r="E147" i="17"/>
  <c r="E145" i="17"/>
  <c r="E143" i="17"/>
  <c r="E141" i="17"/>
  <c r="E139" i="17"/>
  <c r="E137" i="17"/>
  <c r="E135" i="17"/>
  <c r="E133" i="17"/>
  <c r="E131" i="17"/>
  <c r="E129" i="17"/>
  <c r="E127" i="17"/>
  <c r="E125" i="17"/>
  <c r="E123" i="17"/>
  <c r="E121" i="17"/>
  <c r="E119" i="17"/>
  <c r="E117" i="17"/>
  <c r="E115" i="17"/>
  <c r="E113" i="17"/>
  <c r="E111" i="17"/>
  <c r="E279" i="17"/>
  <c r="E275" i="17"/>
  <c r="E271" i="17"/>
  <c r="E267" i="17"/>
  <c r="E263" i="17"/>
  <c r="E259" i="17"/>
  <c r="E255" i="17"/>
  <c r="E251" i="17"/>
  <c r="E247" i="17"/>
  <c r="E243" i="17"/>
  <c r="E239" i="17"/>
  <c r="E235" i="17"/>
  <c r="E231" i="17"/>
  <c r="E227" i="17"/>
  <c r="E223" i="17"/>
  <c r="E219" i="17"/>
  <c r="E215" i="17"/>
  <c r="E211" i="17"/>
  <c r="E207" i="17"/>
  <c r="E203" i="17"/>
  <c r="E199" i="17"/>
  <c r="E195" i="17"/>
  <c r="F192" i="17"/>
  <c r="F190" i="17"/>
  <c r="F188" i="17"/>
  <c r="F186" i="17"/>
  <c r="F184" i="17"/>
  <c r="F182" i="17"/>
  <c r="F180" i="17"/>
  <c r="F178" i="17"/>
  <c r="F176" i="17"/>
  <c r="F174" i="17"/>
  <c r="F172" i="17"/>
  <c r="F170" i="17"/>
  <c r="F168" i="17"/>
  <c r="F166" i="17"/>
  <c r="F164" i="17"/>
  <c r="F162" i="17"/>
  <c r="F160" i="17"/>
  <c r="F158" i="17"/>
  <c r="F156" i="17"/>
  <c r="F154" i="17"/>
  <c r="F152" i="17"/>
  <c r="F150" i="17"/>
  <c r="F148" i="17"/>
  <c r="F146" i="17"/>
  <c r="F144" i="17"/>
  <c r="F142" i="17"/>
  <c r="F140" i="17"/>
  <c r="F138" i="17"/>
  <c r="F136" i="17"/>
  <c r="F134" i="17"/>
  <c r="F132" i="17"/>
  <c r="F130" i="17"/>
  <c r="F128" i="17"/>
  <c r="F126" i="17"/>
  <c r="F124" i="17"/>
  <c r="F122" i="17"/>
  <c r="F120" i="17"/>
  <c r="F118" i="17"/>
  <c r="F116" i="17"/>
  <c r="F114" i="17"/>
  <c r="F112" i="17"/>
  <c r="F110" i="17"/>
  <c r="E13" i="17"/>
  <c r="F14" i="17"/>
  <c r="E15" i="17"/>
  <c r="F16" i="17"/>
  <c r="E17" i="17"/>
  <c r="F18" i="17"/>
  <c r="E19" i="17"/>
  <c r="F20" i="17"/>
  <c r="E21" i="17"/>
  <c r="F22" i="17"/>
  <c r="E23" i="17"/>
  <c r="F24" i="17"/>
  <c r="E25" i="17"/>
  <c r="F26" i="17"/>
  <c r="E27" i="17"/>
  <c r="F28" i="17"/>
  <c r="E29" i="17"/>
  <c r="F30" i="17"/>
  <c r="E31" i="17"/>
  <c r="F32" i="17"/>
  <c r="E33" i="17"/>
  <c r="F34" i="17"/>
  <c r="E35" i="17"/>
  <c r="F36" i="17"/>
  <c r="E37" i="17"/>
  <c r="F38" i="17"/>
  <c r="E39" i="17"/>
  <c r="F40" i="17"/>
  <c r="E41" i="17"/>
  <c r="F42" i="17"/>
  <c r="E43" i="17"/>
  <c r="F44" i="17"/>
  <c r="E45" i="17"/>
  <c r="F46" i="17"/>
  <c r="E47" i="17"/>
  <c r="F48" i="17"/>
  <c r="E49" i="17"/>
  <c r="F50" i="17"/>
  <c r="E51" i="17"/>
  <c r="F52" i="17"/>
  <c r="E53" i="17"/>
  <c r="F54" i="17"/>
  <c r="E55" i="17"/>
  <c r="F56" i="17"/>
  <c r="E57" i="17"/>
  <c r="F58" i="17"/>
  <c r="E59" i="17"/>
  <c r="F60" i="17"/>
  <c r="E61" i="17"/>
  <c r="F62" i="17"/>
  <c r="E63" i="17"/>
  <c r="F64" i="17"/>
  <c r="E65" i="17"/>
  <c r="F66" i="17"/>
  <c r="E67" i="17"/>
  <c r="F68" i="17"/>
  <c r="E69" i="17"/>
  <c r="F70" i="17"/>
  <c r="E71" i="17"/>
  <c r="F72" i="17"/>
  <c r="E73" i="17"/>
  <c r="F74" i="17"/>
  <c r="E75" i="17"/>
  <c r="F76" i="17"/>
  <c r="E77" i="17"/>
  <c r="F78" i="17"/>
  <c r="E79" i="17"/>
  <c r="F80" i="17"/>
  <c r="E81" i="17"/>
  <c r="F82" i="17"/>
  <c r="E83" i="17"/>
  <c r="F84" i="17"/>
  <c r="E85" i="17"/>
  <c r="F86" i="17"/>
  <c r="E87" i="17"/>
  <c r="F88" i="17"/>
  <c r="E89" i="17"/>
  <c r="F90" i="17"/>
  <c r="E91" i="17"/>
  <c r="F92" i="17"/>
  <c r="E93" i="17"/>
  <c r="F94" i="17"/>
  <c r="E95" i="17"/>
  <c r="F96" i="17"/>
  <c r="E97" i="17"/>
  <c r="F98" i="17"/>
  <c r="E99" i="17"/>
  <c r="F100" i="17"/>
  <c r="E101" i="17"/>
  <c r="F102" i="17"/>
  <c r="E103" i="17"/>
  <c r="F104" i="17"/>
  <c r="E105" i="17"/>
  <c r="F106" i="17"/>
  <c r="E107" i="17"/>
  <c r="F108" i="17"/>
  <c r="E109" i="17"/>
  <c r="E626" i="17"/>
  <c r="F626" i="17"/>
  <c r="C3" i="17"/>
  <c r="B20" i="2"/>
  <c r="B74" i="2" s="1"/>
  <c r="B18" i="2"/>
  <c r="B19" i="2"/>
  <c r="C57" i="2" s="1"/>
  <c r="N14" i="8"/>
  <c r="G3" i="8"/>
  <c r="G159" i="8" s="1"/>
  <c r="G158" i="8" s="1"/>
  <c r="G157" i="8" s="1"/>
  <c r="G156" i="8" s="1"/>
  <c r="G155" i="8" s="1"/>
  <c r="G154" i="8" s="1"/>
  <c r="G153" i="8" s="1"/>
  <c r="G152" i="8" s="1"/>
  <c r="G151" i="8" s="1"/>
  <c r="G150" i="8" s="1"/>
  <c r="G149" i="8" s="1"/>
  <c r="G148" i="8" s="1"/>
  <c r="G147" i="8" s="1"/>
  <c r="G146" i="8" s="1"/>
  <c r="G145" i="8" s="1"/>
  <c r="G144" i="8" s="1"/>
  <c r="G143" i="8" s="1"/>
  <c r="G142" i="8" s="1"/>
  <c r="G141" i="8" s="1"/>
  <c r="G140" i="8" s="1"/>
  <c r="G139" i="8" s="1"/>
  <c r="G138" i="8" s="1"/>
  <c r="G137" i="8" s="1"/>
  <c r="G136" i="8" s="1"/>
  <c r="G135" i="8" s="1"/>
  <c r="G134" i="8" s="1"/>
  <c r="G133" i="8" s="1"/>
  <c r="G132" i="8" s="1"/>
  <c r="G131" i="8" s="1"/>
  <c r="G130" i="8" s="1"/>
  <c r="G129" i="8" s="1"/>
  <c r="G128" i="8" s="1"/>
  <c r="G127" i="8" s="1"/>
  <c r="G126" i="8" s="1"/>
  <c r="G125" i="8" s="1"/>
  <c r="G124" i="8" s="1"/>
  <c r="G123" i="8" s="1"/>
  <c r="G122" i="8" s="1"/>
  <c r="G121" i="8" s="1"/>
  <c r="G120" i="8" s="1"/>
  <c r="G119" i="8" s="1"/>
  <c r="G118" i="8" s="1"/>
  <c r="G117" i="8" s="1"/>
  <c r="G116" i="8" s="1"/>
  <c r="G115" i="8" s="1"/>
  <c r="G114" i="8" s="1"/>
  <c r="G113" i="8" s="1"/>
  <c r="G112" i="8" s="1"/>
  <c r="G111" i="8" s="1"/>
  <c r="G110" i="8" s="1"/>
  <c r="G109" i="8" s="1"/>
  <c r="G108" i="8" s="1"/>
  <c r="G107" i="8" s="1"/>
  <c r="G106" i="8" s="1"/>
  <c r="G105" i="8" s="1"/>
  <c r="G104" i="8" s="1"/>
  <c r="G103" i="8" s="1"/>
  <c r="G102" i="8" s="1"/>
  <c r="G101" i="8" s="1"/>
  <c r="G100" i="8" s="1"/>
  <c r="G99" i="8" s="1"/>
  <c r="G98" i="8" s="1"/>
  <c r="G97" i="8" s="1"/>
  <c r="G96" i="8" s="1"/>
  <c r="G95" i="8" s="1"/>
  <c r="G94" i="8" s="1"/>
  <c r="G93" i="8" s="1"/>
  <c r="G92" i="8" s="1"/>
  <c r="G91" i="8" s="1"/>
  <c r="G90" i="8" s="1"/>
  <c r="G89" i="8" s="1"/>
  <c r="G88" i="8" s="1"/>
  <c r="G87" i="8" s="1"/>
  <c r="G86" i="8" s="1"/>
  <c r="G85" i="8" s="1"/>
  <c r="G84" i="8" s="1"/>
  <c r="G83" i="8" s="1"/>
  <c r="G82" i="8" s="1"/>
  <c r="G81" i="8" s="1"/>
  <c r="G80" i="8" s="1"/>
  <c r="G79" i="8" s="1"/>
  <c r="G78" i="8" s="1"/>
  <c r="G77" i="8" s="1"/>
  <c r="G76" i="8" s="1"/>
  <c r="G75" i="8" s="1"/>
  <c r="G74" i="8" s="1"/>
  <c r="G73" i="8" s="1"/>
  <c r="G72" i="8" s="1"/>
  <c r="G71" i="8" s="1"/>
  <c r="G70" i="8" s="1"/>
  <c r="G69" i="8" s="1"/>
  <c r="G68" i="8" s="1"/>
  <c r="G67" i="8" s="1"/>
  <c r="G66" i="8" s="1"/>
  <c r="G65" i="8" s="1"/>
  <c r="G64" i="8" s="1"/>
  <c r="G63" i="8" s="1"/>
  <c r="G62" i="8" s="1"/>
  <c r="G61" i="8" s="1"/>
  <c r="G60" i="8" s="1"/>
  <c r="G59" i="8" s="1"/>
  <c r="G58" i="8" s="1"/>
  <c r="G57" i="8" s="1"/>
  <c r="G56" i="8" s="1"/>
  <c r="G55" i="8" s="1"/>
  <c r="G54" i="8" s="1"/>
  <c r="G53" i="8" s="1"/>
  <c r="G52" i="8" s="1"/>
  <c r="G51" i="8" s="1"/>
  <c r="G50" i="8" s="1"/>
  <c r="G49" i="8" s="1"/>
  <c r="G48" i="8" s="1"/>
  <c r="G47" i="8" s="1"/>
  <c r="G46" i="8" s="1"/>
  <c r="G45" i="8" s="1"/>
  <c r="G44" i="8" s="1"/>
  <c r="G43" i="8" s="1"/>
  <c r="G42" i="8" s="1"/>
  <c r="G41" i="8" s="1"/>
  <c r="G40" i="8" s="1"/>
  <c r="G39" i="8" s="1"/>
  <c r="G38" i="8" s="1"/>
  <c r="G37" i="8" s="1"/>
  <c r="G36" i="8" s="1"/>
  <c r="G35" i="8" s="1"/>
  <c r="G34" i="8" s="1"/>
  <c r="G33" i="8" s="1"/>
  <c r="G32" i="8" s="1"/>
  <c r="G31" i="8" s="1"/>
  <c r="G30" i="8" s="1"/>
  <c r="G29" i="8" s="1"/>
  <c r="G28" i="8" s="1"/>
  <c r="G27" i="8" s="1"/>
  <c r="G26" i="8" s="1"/>
  <c r="G25" i="8" s="1"/>
  <c r="G24" i="8" s="1"/>
  <c r="G23" i="8" s="1"/>
  <c r="G22" i="8" s="1"/>
  <c r="G21" i="8" s="1"/>
  <c r="G20" i="8" s="1"/>
  <c r="G19" i="8" s="1"/>
  <c r="G18" i="8" s="1"/>
  <c r="G17" i="8" s="1"/>
  <c r="G16" i="8" s="1"/>
  <c r="G15" i="8" s="1"/>
  <c r="G14" i="8" s="1"/>
  <c r="G13" i="8" s="1"/>
  <c r="G12" i="8" s="1"/>
  <c r="G11" i="8" s="1"/>
  <c r="G10" i="8" s="1"/>
  <c r="G9" i="8" s="1"/>
  <c r="G8" i="8" s="1"/>
  <c r="G7" i="8" s="1"/>
  <c r="G6" i="8" s="1"/>
  <c r="B49" i="2"/>
  <c r="B469" i="2"/>
  <c r="O10" i="8"/>
  <c r="B334" i="2" s="1"/>
  <c r="B452" i="2" s="1"/>
  <c r="C67" i="16"/>
  <c r="D67" i="16" s="1"/>
  <c r="B411" i="2"/>
  <c r="B412" i="2" s="1"/>
  <c r="B70" i="2"/>
  <c r="E69" i="1"/>
  <c r="B206" i="2"/>
  <c r="E59" i="1" s="1"/>
  <c r="C57" i="16" s="1"/>
  <c r="D57" i="16" s="1"/>
  <c r="B470" i="2"/>
  <c r="B62" i="2" l="1"/>
  <c r="B460" i="2"/>
  <c r="B450" i="2"/>
  <c r="A450" i="2"/>
  <c r="J27" i="20"/>
  <c r="AY27" i="20" s="1"/>
  <c r="BA27" i="20" s="1"/>
  <c r="J35" i="20"/>
  <c r="AY35" i="20" s="1"/>
  <c r="BA35" i="20" s="1"/>
  <c r="J24" i="20"/>
  <c r="AY24" i="20" s="1"/>
  <c r="J32" i="20"/>
  <c r="AY32" i="20" s="1"/>
  <c r="BA32" i="20" s="1"/>
  <c r="J40" i="20"/>
  <c r="AY40" i="20" s="1"/>
  <c r="BA40" i="20" s="1"/>
  <c r="J52" i="20"/>
  <c r="AY52" i="20" s="1"/>
  <c r="BA52" i="20" s="1"/>
  <c r="J60" i="20"/>
  <c r="AY60" i="20" s="1"/>
  <c r="BA60" i="20" s="1"/>
  <c r="J68" i="20"/>
  <c r="AY68" i="20" s="1"/>
  <c r="BA68" i="20" s="1"/>
  <c r="J76" i="20"/>
  <c r="AY76" i="20" s="1"/>
  <c r="BA76" i="20" s="1"/>
  <c r="J84" i="20"/>
  <c r="AY84" i="20" s="1"/>
  <c r="BA84" i="20" s="1"/>
  <c r="J92" i="20"/>
  <c r="AY92" i="20" s="1"/>
  <c r="BA92" i="20" s="1"/>
  <c r="J100" i="20"/>
  <c r="AY100" i="20" s="1"/>
  <c r="BA100" i="20" s="1"/>
  <c r="J108" i="20"/>
  <c r="AY108" i="20" s="1"/>
  <c r="BA108" i="20" s="1"/>
  <c r="J16" i="20"/>
  <c r="AY16" i="20" s="1"/>
  <c r="BA16" i="20" s="1"/>
  <c r="J47" i="20"/>
  <c r="AY47" i="20" s="1"/>
  <c r="BA47" i="20" s="1"/>
  <c r="J55" i="20"/>
  <c r="AY55" i="20" s="1"/>
  <c r="BA55" i="20" s="1"/>
  <c r="J63" i="20"/>
  <c r="AY63" i="20" s="1"/>
  <c r="BA63" i="20" s="1"/>
  <c r="J71" i="20"/>
  <c r="AY71" i="20" s="1"/>
  <c r="BA71" i="20" s="1"/>
  <c r="J79" i="20"/>
  <c r="AY79" i="20" s="1"/>
  <c r="BA79" i="20" s="1"/>
  <c r="J87" i="20"/>
  <c r="AY87" i="20" s="1"/>
  <c r="BA87" i="20" s="1"/>
  <c r="J95" i="20"/>
  <c r="AY95" i="20" s="1"/>
  <c r="BA95" i="20" s="1"/>
  <c r="J103" i="20"/>
  <c r="AY103" i="20" s="1"/>
  <c r="BA103" i="20" s="1"/>
  <c r="J11" i="20"/>
  <c r="AY11" i="20" s="1"/>
  <c r="BA11" i="20" s="1"/>
  <c r="J19" i="20"/>
  <c r="AY19" i="20" s="1"/>
  <c r="BA19" i="20" s="1"/>
  <c r="B60" i="2"/>
  <c r="J28" i="20"/>
  <c r="AY28" i="20" s="1"/>
  <c r="BA28" i="20" s="1"/>
  <c r="J44" i="20"/>
  <c r="AY44" i="20" s="1"/>
  <c r="BA44" i="20" s="1"/>
  <c r="J48" i="20"/>
  <c r="AY48" i="20" s="1"/>
  <c r="BA48" i="20" s="1"/>
  <c r="J56" i="20"/>
  <c r="AY56" i="20" s="1"/>
  <c r="BA56" i="20" s="1"/>
  <c r="J64" i="20"/>
  <c r="AY64" i="20" s="1"/>
  <c r="BA64" i="20" s="1"/>
  <c r="J72" i="20"/>
  <c r="AY72" i="20" s="1"/>
  <c r="BA72" i="20" s="1"/>
  <c r="J80" i="20"/>
  <c r="AY80" i="20" s="1"/>
  <c r="BA80" i="20" s="1"/>
  <c r="J88" i="20"/>
  <c r="AY88" i="20" s="1"/>
  <c r="BA88" i="20" s="1"/>
  <c r="J96" i="20"/>
  <c r="AY96" i="20" s="1"/>
  <c r="BA96" i="20" s="1"/>
  <c r="J104" i="20"/>
  <c r="AY104" i="20" s="1"/>
  <c r="BA104" i="20" s="1"/>
  <c r="J12" i="20"/>
  <c r="AY12" i="20" s="1"/>
  <c r="BA12" i="20" s="1"/>
  <c r="J20" i="20"/>
  <c r="AY20" i="20" s="1"/>
  <c r="BA20" i="20" s="1"/>
  <c r="J43" i="20"/>
  <c r="AY43" i="20" s="1"/>
  <c r="BA43" i="20" s="1"/>
  <c r="J23" i="20"/>
  <c r="AY23" i="20" s="1"/>
  <c r="BA23" i="20" s="1"/>
  <c r="J39" i="20"/>
  <c r="AY39" i="20" s="1"/>
  <c r="BA39" i="20" s="1"/>
  <c r="J36" i="20"/>
  <c r="AY36" i="20" s="1"/>
  <c r="BA36" i="20" s="1"/>
  <c r="J51" i="20"/>
  <c r="AY51" i="20" s="1"/>
  <c r="BA51" i="20" s="1"/>
  <c r="J59" i="20"/>
  <c r="AY59" i="20" s="1"/>
  <c r="BA59" i="20" s="1"/>
  <c r="J67" i="20"/>
  <c r="AY67" i="20" s="1"/>
  <c r="BA67" i="20" s="1"/>
  <c r="J75" i="20"/>
  <c r="AY75" i="20" s="1"/>
  <c r="BA75" i="20" s="1"/>
  <c r="J83" i="20"/>
  <c r="AY83" i="20" s="1"/>
  <c r="BA83" i="20" s="1"/>
  <c r="J91" i="20"/>
  <c r="AY91" i="20" s="1"/>
  <c r="BA91" i="20" s="1"/>
  <c r="J99" i="20"/>
  <c r="AY99" i="20" s="1"/>
  <c r="BA99" i="20" s="1"/>
  <c r="J107" i="20"/>
  <c r="AY107" i="20" s="1"/>
  <c r="BA107" i="20" s="1"/>
  <c r="J15" i="20"/>
  <c r="AY15" i="20" s="1"/>
  <c r="BA15" i="20" s="1"/>
  <c r="AY9" i="20"/>
  <c r="BA9" i="20" s="1"/>
  <c r="B75" i="20" s="1"/>
  <c r="B76" i="20" s="1"/>
  <c r="AC158" i="20"/>
  <c r="AC160" i="20"/>
  <c r="AC162" i="20"/>
  <c r="AC164" i="20"/>
  <c r="AC166" i="20"/>
  <c r="AC168" i="20"/>
  <c r="AC170" i="20"/>
  <c r="AC172" i="20"/>
  <c r="AC174" i="20"/>
  <c r="AC176" i="20"/>
  <c r="AC178" i="20"/>
  <c r="AC180" i="20"/>
  <c r="AC182" i="20"/>
  <c r="AC184" i="20"/>
  <c r="AC186" i="20"/>
  <c r="AC188" i="20"/>
  <c r="AC190" i="20"/>
  <c r="AC192" i="20"/>
  <c r="AC194" i="20"/>
  <c r="AC196" i="20"/>
  <c r="AC198" i="20"/>
  <c r="AC200" i="20"/>
  <c r="AC202" i="20"/>
  <c r="AC204" i="20"/>
  <c r="AC157" i="20"/>
  <c r="AC161" i="20"/>
  <c r="AC165" i="20"/>
  <c r="AC169" i="20"/>
  <c r="AC173" i="20"/>
  <c r="AC177" i="20"/>
  <c r="AC181" i="20"/>
  <c r="AC185" i="20"/>
  <c r="AC189" i="20"/>
  <c r="AC193" i="20"/>
  <c r="AC197" i="20"/>
  <c r="AC201" i="20"/>
  <c r="AC205" i="20"/>
  <c r="AC207" i="20"/>
  <c r="AC209" i="20"/>
  <c r="AC175" i="20"/>
  <c r="AC183" i="20"/>
  <c r="AC191" i="20"/>
  <c r="AC199" i="20"/>
  <c r="AC206" i="20"/>
  <c r="AC159" i="20"/>
  <c r="AC163" i="20"/>
  <c r="AC167" i="20"/>
  <c r="AC171" i="20"/>
  <c r="AC179" i="20"/>
  <c r="AC187" i="20"/>
  <c r="AC195" i="20"/>
  <c r="AC203" i="20"/>
  <c r="AC208" i="20"/>
  <c r="AC90" i="21"/>
  <c r="AC86" i="21"/>
  <c r="AC82" i="21"/>
  <c r="AC55" i="21"/>
  <c r="AC40" i="21"/>
  <c r="AC35" i="21"/>
  <c r="AC57" i="21"/>
  <c r="AC50" i="21"/>
  <c r="AC43" i="21"/>
  <c r="AC34" i="21"/>
  <c r="AC26" i="21"/>
  <c r="AC89" i="21"/>
  <c r="AC85" i="21"/>
  <c r="AC81" i="21"/>
  <c r="AC75" i="21"/>
  <c r="AC69" i="21"/>
  <c r="AC66" i="21"/>
  <c r="AC64" i="21"/>
  <c r="AC62" i="21"/>
  <c r="AC60" i="21"/>
  <c r="AC53" i="21"/>
  <c r="AC31" i="21"/>
  <c r="AC24" i="21"/>
  <c r="AC56" i="21"/>
  <c r="AC48" i="21"/>
  <c r="AC41" i="21"/>
  <c r="AC33" i="21"/>
  <c r="AC25" i="21"/>
  <c r="AC21" i="21"/>
  <c r="AC16" i="21"/>
  <c r="AC14" i="21"/>
  <c r="AC12" i="21"/>
  <c r="AC9" i="21"/>
  <c r="AC18" i="21"/>
  <c r="AC10" i="21"/>
  <c r="AC32" i="21"/>
  <c r="AC44" i="21"/>
  <c r="AC51" i="21"/>
  <c r="AC92" i="21"/>
  <c r="AC94" i="21"/>
  <c r="AC96" i="21"/>
  <c r="AC98" i="21"/>
  <c r="AC100" i="21"/>
  <c r="AC102" i="21"/>
  <c r="AC104" i="21"/>
  <c r="AC106" i="21"/>
  <c r="AC108" i="21"/>
  <c r="AC70" i="21"/>
  <c r="AC73" i="21"/>
  <c r="AC76" i="21"/>
  <c r="AC79" i="21"/>
  <c r="AC88" i="21"/>
  <c r="AC84" i="21"/>
  <c r="AC80" i="21"/>
  <c r="AC49" i="21"/>
  <c r="AC36" i="21"/>
  <c r="AC27" i="21"/>
  <c r="AC54" i="21"/>
  <c r="AC47" i="21"/>
  <c r="AC39" i="21"/>
  <c r="AC28" i="21"/>
  <c r="AC22" i="21"/>
  <c r="AC87" i="21"/>
  <c r="AC83" i="21"/>
  <c r="AC77" i="21"/>
  <c r="AC72" i="21"/>
  <c r="AC67" i="21"/>
  <c r="AC65" i="21"/>
  <c r="AC63" i="21"/>
  <c r="AC61" i="21"/>
  <c r="AC58" i="21"/>
  <c r="AC38" i="21"/>
  <c r="AC30" i="21"/>
  <c r="AC68" i="21"/>
  <c r="AC52" i="21"/>
  <c r="AC45" i="21"/>
  <c r="AC37" i="21"/>
  <c r="AC29" i="21"/>
  <c r="AC23" i="21"/>
  <c r="AC19" i="21"/>
  <c r="AC15" i="21"/>
  <c r="AC13" i="21"/>
  <c r="AC11" i="21"/>
  <c r="AC20" i="21"/>
  <c r="AC17" i="21"/>
  <c r="AC59" i="21"/>
  <c r="AC42" i="21"/>
  <c r="AC46" i="21"/>
  <c r="AC91" i="21"/>
  <c r="AC93" i="21"/>
  <c r="AC95" i="21"/>
  <c r="AC97" i="21"/>
  <c r="AC99" i="21"/>
  <c r="AC101" i="21"/>
  <c r="AC103" i="21"/>
  <c r="AC105" i="21"/>
  <c r="AC107" i="21"/>
  <c r="AC109" i="21"/>
  <c r="AC71" i="21"/>
  <c r="AC74" i="21"/>
  <c r="AC78" i="21"/>
  <c r="AU90" i="21"/>
  <c r="AU86" i="21"/>
  <c r="AU82" i="21"/>
  <c r="AU55" i="21"/>
  <c r="AU40" i="21"/>
  <c r="AU35" i="21"/>
  <c r="AU57" i="21"/>
  <c r="AU50" i="21"/>
  <c r="AU43" i="21"/>
  <c r="AU34" i="21"/>
  <c r="AU26" i="21"/>
  <c r="AU89" i="21"/>
  <c r="AU85" i="21"/>
  <c r="AU81" i="21"/>
  <c r="AU75" i="21"/>
  <c r="AU69" i="21"/>
  <c r="AU66" i="21"/>
  <c r="AU64" i="21"/>
  <c r="AU62" i="21"/>
  <c r="AU60" i="21"/>
  <c r="AU53" i="21"/>
  <c r="AU31" i="21"/>
  <c r="AU24" i="21"/>
  <c r="AU56" i="21"/>
  <c r="AU48" i="21"/>
  <c r="AU41" i="21"/>
  <c r="AU33" i="21"/>
  <c r="AU25" i="21"/>
  <c r="AU21" i="21"/>
  <c r="AU16" i="21"/>
  <c r="AU14" i="21"/>
  <c r="AU12" i="21"/>
  <c r="AU9" i="21"/>
  <c r="AU18" i="21"/>
  <c r="AU10" i="21"/>
  <c r="AU32" i="21"/>
  <c r="AU44" i="21"/>
  <c r="AU51" i="21"/>
  <c r="AU92" i="21"/>
  <c r="AU94" i="21"/>
  <c r="AU96" i="21"/>
  <c r="AU98" i="21"/>
  <c r="AU100" i="21"/>
  <c r="AU102" i="21"/>
  <c r="AU104" i="21"/>
  <c r="AU106" i="21"/>
  <c r="AU108" i="21"/>
  <c r="AU70" i="21"/>
  <c r="AU73" i="21"/>
  <c r="AU76" i="21"/>
  <c r="AU79" i="21"/>
  <c r="AU88" i="21"/>
  <c r="AU84" i="21"/>
  <c r="AU80" i="21"/>
  <c r="AU49" i="21"/>
  <c r="AU36" i="21"/>
  <c r="AU27" i="21"/>
  <c r="AU54" i="21"/>
  <c r="AU47" i="21"/>
  <c r="AU39" i="21"/>
  <c r="AU28" i="21"/>
  <c r="AU22" i="21"/>
  <c r="AU87" i="21"/>
  <c r="AU83" i="21"/>
  <c r="AU77" i="21"/>
  <c r="AU72" i="21"/>
  <c r="AU67" i="21"/>
  <c r="AU65" i="21"/>
  <c r="AU63" i="21"/>
  <c r="AU61" i="21"/>
  <c r="AU58" i="21"/>
  <c r="AU38" i="21"/>
  <c r="AU30" i="21"/>
  <c r="AU68" i="21"/>
  <c r="AU52" i="21"/>
  <c r="AU45" i="21"/>
  <c r="AU37" i="21"/>
  <c r="AU29" i="21"/>
  <c r="AU23" i="21"/>
  <c r="AU19" i="21"/>
  <c r="AU15" i="21"/>
  <c r="AU13" i="21"/>
  <c r="AU11" i="21"/>
  <c r="AU20" i="21"/>
  <c r="AU17" i="21"/>
  <c r="AU59" i="21"/>
  <c r="AU42" i="21"/>
  <c r="AU46" i="21"/>
  <c r="AU91" i="21"/>
  <c r="AU93" i="21"/>
  <c r="AU95" i="21"/>
  <c r="AU97" i="21"/>
  <c r="AU99" i="21"/>
  <c r="AU101" i="21"/>
  <c r="AU103" i="21"/>
  <c r="AU105" i="21"/>
  <c r="AU107" i="21"/>
  <c r="AU109" i="21"/>
  <c r="AU71" i="21"/>
  <c r="AU74" i="21"/>
  <c r="AU78" i="21"/>
  <c r="O90" i="21"/>
  <c r="M90" i="21" s="1"/>
  <c r="N90" i="21"/>
  <c r="O86" i="21"/>
  <c r="M86" i="21" s="1"/>
  <c r="N86" i="21"/>
  <c r="O82" i="21"/>
  <c r="M82" i="21" s="1"/>
  <c r="N82" i="21"/>
  <c r="O55" i="21"/>
  <c r="M55" i="21" s="1"/>
  <c r="N55" i="21"/>
  <c r="O40" i="21"/>
  <c r="M40" i="21" s="1"/>
  <c r="N40" i="21"/>
  <c r="O35" i="21"/>
  <c r="M35" i="21" s="1"/>
  <c r="N35" i="21"/>
  <c r="O57" i="21"/>
  <c r="M57" i="21" s="1"/>
  <c r="N57" i="21"/>
  <c r="O50" i="21"/>
  <c r="M50" i="21" s="1"/>
  <c r="N50" i="21"/>
  <c r="O43" i="21"/>
  <c r="M43" i="21" s="1"/>
  <c r="N43" i="21"/>
  <c r="O34" i="21"/>
  <c r="M34" i="21" s="1"/>
  <c r="N34" i="21"/>
  <c r="O26" i="21"/>
  <c r="M26" i="21" s="1"/>
  <c r="N26" i="21"/>
  <c r="N89" i="21"/>
  <c r="O89" i="21"/>
  <c r="M89" i="21" s="1"/>
  <c r="N85" i="21"/>
  <c r="O85" i="21"/>
  <c r="N81" i="21"/>
  <c r="O81" i="21"/>
  <c r="M81" i="21" s="1"/>
  <c r="N75" i="21"/>
  <c r="O75" i="21"/>
  <c r="N69" i="21"/>
  <c r="O69" i="21"/>
  <c r="M69" i="21" s="1"/>
  <c r="O66" i="21"/>
  <c r="M66" i="21" s="1"/>
  <c r="N66" i="21"/>
  <c r="O64" i="21"/>
  <c r="M64" i="21" s="1"/>
  <c r="N64" i="21"/>
  <c r="O62" i="21"/>
  <c r="M62" i="21" s="1"/>
  <c r="N62" i="21"/>
  <c r="O60" i="21"/>
  <c r="M60" i="21" s="1"/>
  <c r="N60" i="21"/>
  <c r="O53" i="21"/>
  <c r="M53" i="21" s="1"/>
  <c r="N53" i="21"/>
  <c r="O31" i="21"/>
  <c r="M31" i="21" s="1"/>
  <c r="N31" i="21"/>
  <c r="O24" i="21"/>
  <c r="M24" i="21" s="1"/>
  <c r="N24" i="21"/>
  <c r="O56" i="21"/>
  <c r="M56" i="21" s="1"/>
  <c r="N56" i="21"/>
  <c r="O48" i="21"/>
  <c r="M48" i="21" s="1"/>
  <c r="N48" i="21"/>
  <c r="O41" i="21"/>
  <c r="M41" i="21" s="1"/>
  <c r="N41" i="21"/>
  <c r="O33" i="21"/>
  <c r="M33" i="21" s="1"/>
  <c r="N33" i="21"/>
  <c r="O25" i="21"/>
  <c r="M25" i="21" s="1"/>
  <c r="N25" i="21"/>
  <c r="O21" i="21"/>
  <c r="M21" i="21" s="1"/>
  <c r="N21" i="21"/>
  <c r="O16" i="21"/>
  <c r="M16" i="21" s="1"/>
  <c r="N16" i="21"/>
  <c r="O14" i="21"/>
  <c r="M14" i="21" s="1"/>
  <c r="N14" i="21"/>
  <c r="O12" i="21"/>
  <c r="M12" i="21" s="1"/>
  <c r="N12" i="21"/>
  <c r="O9" i="21"/>
  <c r="M9" i="21" s="1"/>
  <c r="N9" i="21"/>
  <c r="O18" i="21"/>
  <c r="M18" i="21" s="1"/>
  <c r="N18" i="21"/>
  <c r="O10" i="21"/>
  <c r="M10" i="21" s="1"/>
  <c r="N10" i="21"/>
  <c r="O32" i="21"/>
  <c r="M32" i="21" s="1"/>
  <c r="N32" i="21"/>
  <c r="O44" i="21"/>
  <c r="M44" i="21" s="1"/>
  <c r="N44" i="21"/>
  <c r="O51" i="21"/>
  <c r="M51" i="21" s="1"/>
  <c r="N51" i="21"/>
  <c r="O92" i="21"/>
  <c r="M92" i="21" s="1"/>
  <c r="N92" i="21"/>
  <c r="O94" i="21"/>
  <c r="M94" i="21" s="1"/>
  <c r="N94" i="21"/>
  <c r="O96" i="21"/>
  <c r="M96" i="21" s="1"/>
  <c r="N96" i="21"/>
  <c r="O98" i="21"/>
  <c r="M98" i="21" s="1"/>
  <c r="N98" i="21"/>
  <c r="O100" i="21"/>
  <c r="M100" i="21" s="1"/>
  <c r="N100" i="21"/>
  <c r="O102" i="21"/>
  <c r="M102" i="21" s="1"/>
  <c r="N102" i="21"/>
  <c r="O104" i="21"/>
  <c r="M104" i="21" s="1"/>
  <c r="N104" i="21"/>
  <c r="O106" i="21"/>
  <c r="M106" i="21" s="1"/>
  <c r="N106" i="21"/>
  <c r="O108" i="21"/>
  <c r="M108" i="21" s="1"/>
  <c r="N108" i="21"/>
  <c r="O70" i="21"/>
  <c r="M70" i="21" s="1"/>
  <c r="N70" i="21"/>
  <c r="N73" i="21"/>
  <c r="O73" i="21"/>
  <c r="M73" i="21" s="1"/>
  <c r="O76" i="21"/>
  <c r="M76" i="21" s="1"/>
  <c r="N76" i="21"/>
  <c r="N79" i="21"/>
  <c r="O79" i="21"/>
  <c r="M79" i="21" s="1"/>
  <c r="O88" i="21"/>
  <c r="M88" i="21" s="1"/>
  <c r="N88" i="21"/>
  <c r="O84" i="21"/>
  <c r="M84" i="21" s="1"/>
  <c r="N84" i="21"/>
  <c r="O80" i="21"/>
  <c r="M80" i="21" s="1"/>
  <c r="N80" i="21"/>
  <c r="O49" i="21"/>
  <c r="M49" i="21" s="1"/>
  <c r="N49" i="21"/>
  <c r="O36" i="21"/>
  <c r="M36" i="21" s="1"/>
  <c r="N36" i="21"/>
  <c r="O27" i="21"/>
  <c r="M27" i="21" s="1"/>
  <c r="N27" i="21"/>
  <c r="O54" i="21"/>
  <c r="M54" i="21" s="1"/>
  <c r="N54" i="21"/>
  <c r="O47" i="21"/>
  <c r="M47" i="21" s="1"/>
  <c r="N47" i="21"/>
  <c r="O39" i="21"/>
  <c r="M39" i="21" s="1"/>
  <c r="N39" i="21"/>
  <c r="O28" i="21"/>
  <c r="M28" i="21" s="1"/>
  <c r="N28" i="21"/>
  <c r="O22" i="21"/>
  <c r="M22" i="21" s="1"/>
  <c r="N22" i="21"/>
  <c r="N87" i="21"/>
  <c r="O87" i="21"/>
  <c r="M87" i="21" s="1"/>
  <c r="N83" i="21"/>
  <c r="O83" i="21"/>
  <c r="N77" i="21"/>
  <c r="O77" i="21"/>
  <c r="M77" i="21" s="1"/>
  <c r="O72" i="21"/>
  <c r="M72" i="21" s="1"/>
  <c r="N72" i="21"/>
  <c r="O67" i="21"/>
  <c r="M67" i="21" s="1"/>
  <c r="N67" i="21"/>
  <c r="O65" i="21"/>
  <c r="M65" i="21" s="1"/>
  <c r="N65" i="21"/>
  <c r="O63" i="21"/>
  <c r="M63" i="21" s="1"/>
  <c r="N63" i="21"/>
  <c r="O61" i="21"/>
  <c r="M61" i="21" s="1"/>
  <c r="N61" i="21"/>
  <c r="O58" i="21"/>
  <c r="M58" i="21" s="1"/>
  <c r="N58" i="21"/>
  <c r="O38" i="21"/>
  <c r="M38" i="21" s="1"/>
  <c r="N38" i="21"/>
  <c r="O30" i="21"/>
  <c r="M30" i="21" s="1"/>
  <c r="N30" i="21"/>
  <c r="O68" i="21"/>
  <c r="M68" i="21" s="1"/>
  <c r="N68" i="21"/>
  <c r="O52" i="21"/>
  <c r="M52" i="21" s="1"/>
  <c r="N52" i="21"/>
  <c r="O45" i="21"/>
  <c r="M45" i="21" s="1"/>
  <c r="N45" i="21"/>
  <c r="O37" i="21"/>
  <c r="M37" i="21" s="1"/>
  <c r="N37" i="21"/>
  <c r="O29" i="21"/>
  <c r="M29" i="21" s="1"/>
  <c r="N29" i="21"/>
  <c r="O23" i="21"/>
  <c r="M23" i="21" s="1"/>
  <c r="N23" i="21"/>
  <c r="O19" i="21"/>
  <c r="M19" i="21" s="1"/>
  <c r="N19" i="21"/>
  <c r="O15" i="21"/>
  <c r="M15" i="21" s="1"/>
  <c r="N15" i="21"/>
  <c r="O13" i="21"/>
  <c r="M13" i="21" s="1"/>
  <c r="N13" i="21"/>
  <c r="O11" i="21"/>
  <c r="M11" i="21" s="1"/>
  <c r="N11" i="21"/>
  <c r="O20" i="21"/>
  <c r="M20" i="21" s="1"/>
  <c r="N20" i="21"/>
  <c r="O17" i="21"/>
  <c r="M17" i="21" s="1"/>
  <c r="N17" i="21"/>
  <c r="O59" i="21"/>
  <c r="M59" i="21" s="1"/>
  <c r="N59" i="21"/>
  <c r="O42" i="21"/>
  <c r="M42" i="21" s="1"/>
  <c r="N42" i="21"/>
  <c r="O46" i="21"/>
  <c r="M46" i="21" s="1"/>
  <c r="N46" i="21"/>
  <c r="N91" i="21"/>
  <c r="O91" i="21"/>
  <c r="M91" i="21" s="1"/>
  <c r="N93" i="21"/>
  <c r="O93" i="21"/>
  <c r="N95" i="21"/>
  <c r="O95" i="21"/>
  <c r="M95" i="21" s="1"/>
  <c r="N97" i="21"/>
  <c r="O97" i="21"/>
  <c r="N99" i="21"/>
  <c r="O99" i="21"/>
  <c r="M99" i="21" s="1"/>
  <c r="N101" i="21"/>
  <c r="O101" i="21"/>
  <c r="N103" i="21"/>
  <c r="O103" i="21"/>
  <c r="M103" i="21" s="1"/>
  <c r="N105" i="21"/>
  <c r="O105" i="21"/>
  <c r="N107" i="21"/>
  <c r="O107" i="21"/>
  <c r="M107" i="21" s="1"/>
  <c r="N109" i="21"/>
  <c r="O109" i="21"/>
  <c r="N71" i="21"/>
  <c r="O71" i="21"/>
  <c r="M71" i="21" s="1"/>
  <c r="O74" i="21"/>
  <c r="M74" i="21" s="1"/>
  <c r="N74" i="21"/>
  <c r="O78" i="21"/>
  <c r="M78" i="21" s="1"/>
  <c r="N78" i="21"/>
  <c r="AT90" i="21"/>
  <c r="BA90" i="21"/>
  <c r="AT86" i="21"/>
  <c r="BA86" i="21"/>
  <c r="AT82" i="21"/>
  <c r="BA82" i="21"/>
  <c r="BA55" i="21"/>
  <c r="AT55" i="21"/>
  <c r="BA40" i="21"/>
  <c r="AT40" i="21"/>
  <c r="BA35" i="21"/>
  <c r="AT35" i="21"/>
  <c r="AT57" i="21"/>
  <c r="BA57" i="21"/>
  <c r="AT50" i="21"/>
  <c r="BA50" i="21"/>
  <c r="AT43" i="21"/>
  <c r="BA43" i="21"/>
  <c r="AT34" i="21"/>
  <c r="BA34" i="21"/>
  <c r="AT26" i="21"/>
  <c r="BA26" i="21"/>
  <c r="AT89" i="21"/>
  <c r="BA89" i="21"/>
  <c r="AT85" i="21"/>
  <c r="BA85" i="21"/>
  <c r="AT81" i="21"/>
  <c r="BA81" i="21"/>
  <c r="AT75" i="21"/>
  <c r="BA75" i="21"/>
  <c r="BA69" i="21"/>
  <c r="AT69" i="21"/>
  <c r="BA66" i="21"/>
  <c r="AT66" i="21"/>
  <c r="BA64" i="21"/>
  <c r="AT64" i="21"/>
  <c r="BA62" i="21"/>
  <c r="AT62" i="21"/>
  <c r="BA60" i="21"/>
  <c r="AT60" i="21"/>
  <c r="BA53" i="21"/>
  <c r="AT53" i="21"/>
  <c r="BA31" i="21"/>
  <c r="AT31" i="21"/>
  <c r="BA24" i="21"/>
  <c r="AT24" i="21"/>
  <c r="AT56" i="21"/>
  <c r="BA56" i="21"/>
  <c r="AT48" i="21"/>
  <c r="BA48" i="21"/>
  <c r="AT41" i="21"/>
  <c r="BA41" i="21"/>
  <c r="AT33" i="21"/>
  <c r="BA33" i="21"/>
  <c r="AT25" i="21"/>
  <c r="BA25" i="21"/>
  <c r="BA21" i="21"/>
  <c r="AT21" i="21"/>
  <c r="BA16" i="21"/>
  <c r="AT16" i="21"/>
  <c r="BA14" i="21"/>
  <c r="AT14" i="21"/>
  <c r="BA12" i="21"/>
  <c r="AT12" i="21"/>
  <c r="BA9" i="21"/>
  <c r="B75" i="21" s="1"/>
  <c r="B76" i="21" s="1"/>
  <c r="AT9" i="21"/>
  <c r="AT18" i="21"/>
  <c r="BA18" i="21"/>
  <c r="AT10" i="21"/>
  <c r="BA10" i="21"/>
  <c r="BA32" i="21"/>
  <c r="AT32" i="21"/>
  <c r="BA44" i="21"/>
  <c r="AT44" i="21"/>
  <c r="BA51" i="21"/>
  <c r="AT51" i="21"/>
  <c r="AT92" i="21"/>
  <c r="BA92" i="21"/>
  <c r="AT94" i="21"/>
  <c r="BA94" i="21"/>
  <c r="AT96" i="21"/>
  <c r="BA96" i="21"/>
  <c r="AT98" i="21"/>
  <c r="BA98" i="21"/>
  <c r="AT100" i="21"/>
  <c r="BA100" i="21"/>
  <c r="AT102" i="21"/>
  <c r="BA102" i="21"/>
  <c r="AT104" i="21"/>
  <c r="BA104" i="21"/>
  <c r="AT106" i="21"/>
  <c r="BA106" i="21"/>
  <c r="AT108" i="21"/>
  <c r="BA108" i="21"/>
  <c r="BA70" i="21"/>
  <c r="AT70" i="21"/>
  <c r="BA73" i="21"/>
  <c r="AT73" i="21"/>
  <c r="BA76" i="21"/>
  <c r="AT76" i="21"/>
  <c r="BA79" i="21"/>
  <c r="AT79" i="21"/>
  <c r="AT88" i="21"/>
  <c r="BA88" i="21"/>
  <c r="AT84" i="21"/>
  <c r="BA84" i="21"/>
  <c r="AT80" i="21"/>
  <c r="BA80" i="21"/>
  <c r="BA49" i="21"/>
  <c r="AT49" i="21"/>
  <c r="BA36" i="21"/>
  <c r="AT36" i="21"/>
  <c r="BA27" i="21"/>
  <c r="AT27" i="21"/>
  <c r="AT54" i="21"/>
  <c r="BA54" i="21"/>
  <c r="AT47" i="21"/>
  <c r="BA47" i="21"/>
  <c r="AT39" i="21"/>
  <c r="BA39" i="21"/>
  <c r="AT28" i="21"/>
  <c r="BA28" i="21"/>
  <c r="BA22" i="21"/>
  <c r="AT22" i="21"/>
  <c r="AT87" i="21"/>
  <c r="BA87" i="21"/>
  <c r="AT83" i="21"/>
  <c r="BA83" i="21"/>
  <c r="AT77" i="21"/>
  <c r="BA77" i="21"/>
  <c r="AT72" i="21"/>
  <c r="BA72" i="21"/>
  <c r="BA67" i="21"/>
  <c r="AT67" i="21"/>
  <c r="BA65" i="21"/>
  <c r="AT65" i="21"/>
  <c r="BA63" i="21"/>
  <c r="AT63" i="21"/>
  <c r="BA61" i="21"/>
  <c r="AT61" i="21"/>
  <c r="BA58" i="21"/>
  <c r="AT58" i="21"/>
  <c r="BA38" i="21"/>
  <c r="AT38" i="21"/>
  <c r="BA30" i="21"/>
  <c r="AT30" i="21"/>
  <c r="AT68" i="21"/>
  <c r="BA68" i="21"/>
  <c r="AT52" i="21"/>
  <c r="BA52" i="21"/>
  <c r="AT45" i="21"/>
  <c r="BA45" i="21"/>
  <c r="AT37" i="21"/>
  <c r="BA37" i="21"/>
  <c r="AT29" i="21"/>
  <c r="BA29" i="21"/>
  <c r="AT23" i="21"/>
  <c r="BA23" i="21"/>
  <c r="BA19" i="21"/>
  <c r="AT19" i="21"/>
  <c r="BA15" i="21"/>
  <c r="AT15" i="21"/>
  <c r="BA13" i="21"/>
  <c r="AT13" i="21"/>
  <c r="BA11" i="21"/>
  <c r="AT11" i="21"/>
  <c r="AT20" i="21"/>
  <c r="BA20" i="21"/>
  <c r="AT17" i="21"/>
  <c r="BA17" i="21"/>
  <c r="AT59" i="21"/>
  <c r="BA59" i="21"/>
  <c r="BA42" i="21"/>
  <c r="AT42" i="21"/>
  <c r="BA46" i="21"/>
  <c r="AT46" i="21"/>
  <c r="AT91" i="21"/>
  <c r="BA91" i="21"/>
  <c r="AT93" i="21"/>
  <c r="BA93" i="21"/>
  <c r="AT95" i="21"/>
  <c r="BA95" i="21"/>
  <c r="AT97" i="21"/>
  <c r="BA97" i="21"/>
  <c r="AT99" i="21"/>
  <c r="BA99" i="21"/>
  <c r="AT101" i="21"/>
  <c r="BA101" i="21"/>
  <c r="AT103" i="21"/>
  <c r="BA103" i="21"/>
  <c r="AT105" i="21"/>
  <c r="BA105" i="21"/>
  <c r="AT107" i="21"/>
  <c r="BA107" i="21"/>
  <c r="AT109" i="21"/>
  <c r="BA109" i="21"/>
  <c r="BA71" i="21"/>
  <c r="AT71" i="21"/>
  <c r="BA74" i="21"/>
  <c r="AT74" i="21"/>
  <c r="BA78" i="21"/>
  <c r="AT78" i="21"/>
  <c r="O114" i="20"/>
  <c r="M114" i="20" s="1"/>
  <c r="AC114" i="20" s="1"/>
  <c r="N114" i="20"/>
  <c r="BA114" i="20"/>
  <c r="AU114" i="20"/>
  <c r="AT114" i="20"/>
  <c r="O138" i="20"/>
  <c r="M138" i="20" s="1"/>
  <c r="AC138" i="20" s="1"/>
  <c r="N138" i="20"/>
  <c r="BA138" i="20"/>
  <c r="AU138" i="20"/>
  <c r="AT138" i="20"/>
  <c r="O154" i="20"/>
  <c r="M154" i="20" s="1"/>
  <c r="AC154" i="20" s="1"/>
  <c r="N154" i="20"/>
  <c r="BA154" i="20"/>
  <c r="AU154" i="20"/>
  <c r="AT154" i="20"/>
  <c r="O170" i="20"/>
  <c r="M170" i="20" s="1"/>
  <c r="N170" i="20"/>
  <c r="BA170" i="20"/>
  <c r="AU170" i="20"/>
  <c r="AT170" i="20"/>
  <c r="N121" i="20"/>
  <c r="BA121" i="20"/>
  <c r="O121" i="20"/>
  <c r="M121" i="20" s="1"/>
  <c r="AC121" i="20" s="1"/>
  <c r="AU121" i="20"/>
  <c r="AT121" i="20"/>
  <c r="O129" i="20"/>
  <c r="M129" i="20" s="1"/>
  <c r="AC129" i="20" s="1"/>
  <c r="N129" i="20"/>
  <c r="BA129" i="20"/>
  <c r="AU129" i="20"/>
  <c r="AT129" i="20"/>
  <c r="O145" i="20"/>
  <c r="M145" i="20" s="1"/>
  <c r="AC145" i="20" s="1"/>
  <c r="BA145" i="20"/>
  <c r="AU145" i="20"/>
  <c r="N145" i="20"/>
  <c r="AT145" i="20"/>
  <c r="O163" i="20"/>
  <c r="N163" i="20"/>
  <c r="BA163" i="20"/>
  <c r="AU163" i="20"/>
  <c r="AT163" i="20"/>
  <c r="O112" i="20"/>
  <c r="M112" i="20" s="1"/>
  <c r="AC112" i="20" s="1"/>
  <c r="N112" i="20"/>
  <c r="BA112" i="20"/>
  <c r="AT112" i="20"/>
  <c r="AU112" i="20"/>
  <c r="O128" i="20"/>
  <c r="M128" i="20" s="1"/>
  <c r="AC128" i="20" s="1"/>
  <c r="AT128" i="20"/>
  <c r="AU128" i="20"/>
  <c r="N128" i="20"/>
  <c r="BA128" i="20"/>
  <c r="O144" i="20"/>
  <c r="M144" i="20" s="1"/>
  <c r="AC144" i="20" s="1"/>
  <c r="N144" i="20"/>
  <c r="BA144" i="20"/>
  <c r="AU144" i="20"/>
  <c r="AT144" i="20"/>
  <c r="BA152" i="20"/>
  <c r="AU152" i="20"/>
  <c r="AT152" i="20"/>
  <c r="O152" i="20"/>
  <c r="M152" i="20" s="1"/>
  <c r="AC152" i="20" s="1"/>
  <c r="N152" i="20"/>
  <c r="BA168" i="20"/>
  <c r="AU168" i="20"/>
  <c r="AT168" i="20"/>
  <c r="O168" i="20"/>
  <c r="N168" i="20"/>
  <c r="O119" i="20"/>
  <c r="M119" i="20" s="1"/>
  <c r="AC119" i="20" s="1"/>
  <c r="AU119" i="20"/>
  <c r="N119" i="20"/>
  <c r="BA119" i="20"/>
  <c r="AT119" i="20"/>
  <c r="AU143" i="20"/>
  <c r="AT143" i="20"/>
  <c r="BA143" i="20"/>
  <c r="O143" i="20"/>
  <c r="M143" i="20" s="1"/>
  <c r="AC143" i="20" s="1"/>
  <c r="N143" i="20"/>
  <c r="P143" i="20" s="1"/>
  <c r="O159" i="20"/>
  <c r="N159" i="20"/>
  <c r="BA159" i="20"/>
  <c r="AU159" i="20"/>
  <c r="AT159" i="20"/>
  <c r="O209" i="20"/>
  <c r="N209" i="20"/>
  <c r="BA209" i="20"/>
  <c r="AT209" i="20"/>
  <c r="AU209" i="20"/>
  <c r="O173" i="20"/>
  <c r="N173" i="20"/>
  <c r="BA173" i="20"/>
  <c r="AU173" i="20"/>
  <c r="AT173" i="20"/>
  <c r="O192" i="20"/>
  <c r="N192" i="20"/>
  <c r="BA192" i="20"/>
  <c r="AU192" i="20"/>
  <c r="AT192" i="20"/>
  <c r="O200" i="20"/>
  <c r="N200" i="20"/>
  <c r="AU200" i="20"/>
  <c r="BA200" i="20"/>
  <c r="AT200" i="20"/>
  <c r="O195" i="20"/>
  <c r="N195" i="20"/>
  <c r="BA195" i="20"/>
  <c r="AT195" i="20"/>
  <c r="AU195" i="20"/>
  <c r="O177" i="20"/>
  <c r="N177" i="20"/>
  <c r="BA177" i="20"/>
  <c r="AU177" i="20"/>
  <c r="AT177" i="20"/>
  <c r="N186" i="20"/>
  <c r="BA186" i="20"/>
  <c r="O186" i="20"/>
  <c r="M186" i="20" s="1"/>
  <c r="AU186" i="20"/>
  <c r="AT186" i="20"/>
  <c r="O194" i="20"/>
  <c r="AU194" i="20"/>
  <c r="N194" i="20"/>
  <c r="BA194" i="20"/>
  <c r="AT194" i="20"/>
  <c r="O202" i="20"/>
  <c r="N202" i="20"/>
  <c r="BA202" i="20"/>
  <c r="AU202" i="20"/>
  <c r="AT202" i="20"/>
  <c r="BA118" i="20"/>
  <c r="N118" i="20"/>
  <c r="P118" i="20" s="1"/>
  <c r="AT118" i="20"/>
  <c r="O118" i="20"/>
  <c r="M118" i="20" s="1"/>
  <c r="AC118" i="20" s="1"/>
  <c r="AU118" i="20"/>
  <c r="O142" i="20"/>
  <c r="M142" i="20" s="1"/>
  <c r="AC142" i="20" s="1"/>
  <c r="N142" i="20"/>
  <c r="BA142" i="20"/>
  <c r="AU142" i="20"/>
  <c r="AT142" i="20"/>
  <c r="O158" i="20"/>
  <c r="M158" i="20" s="1"/>
  <c r="N158" i="20"/>
  <c r="BA158" i="20"/>
  <c r="AU158" i="20"/>
  <c r="AT158" i="20"/>
  <c r="O174" i="20"/>
  <c r="M174" i="20" s="1"/>
  <c r="N174" i="20"/>
  <c r="BA174" i="20"/>
  <c r="AU174" i="20"/>
  <c r="AT174" i="20"/>
  <c r="BA141" i="20"/>
  <c r="AU141" i="20"/>
  <c r="AT141" i="20"/>
  <c r="O141" i="20"/>
  <c r="M141" i="20" s="1"/>
  <c r="AC141" i="20" s="1"/>
  <c r="N141" i="20"/>
  <c r="O157" i="20"/>
  <c r="M157" i="20" s="1"/>
  <c r="N157" i="20"/>
  <c r="BA157" i="20"/>
  <c r="AU157" i="20"/>
  <c r="AT157" i="20"/>
  <c r="O183" i="20"/>
  <c r="M183" i="20" s="1"/>
  <c r="N183" i="20"/>
  <c r="P183" i="20" s="1"/>
  <c r="AU183" i="20"/>
  <c r="AT183" i="20"/>
  <c r="BA183" i="20"/>
  <c r="AJ183" i="20"/>
  <c r="AK183" i="20" s="1"/>
  <c r="O132" i="20"/>
  <c r="M132" i="20" s="1"/>
  <c r="AC132" i="20" s="1"/>
  <c r="N132" i="20"/>
  <c r="BA132" i="20"/>
  <c r="AU132" i="20"/>
  <c r="AT132" i="20"/>
  <c r="BA140" i="20"/>
  <c r="AU140" i="20"/>
  <c r="AT140" i="20"/>
  <c r="O140" i="20"/>
  <c r="M140" i="20" s="1"/>
  <c r="AC140" i="20" s="1"/>
  <c r="N140" i="20"/>
  <c r="O156" i="20"/>
  <c r="M156" i="20" s="1"/>
  <c r="AC156" i="20" s="1"/>
  <c r="N156" i="20"/>
  <c r="P156" i="20" s="1"/>
  <c r="BA156" i="20"/>
  <c r="AU156" i="20"/>
  <c r="AT156" i="20"/>
  <c r="O172" i="20"/>
  <c r="N172" i="20"/>
  <c r="BA172" i="20"/>
  <c r="AU172" i="20"/>
  <c r="AT172" i="20"/>
  <c r="O139" i="20"/>
  <c r="M139" i="20" s="1"/>
  <c r="AC139" i="20" s="1"/>
  <c r="N139" i="20"/>
  <c r="AU139" i="20"/>
  <c r="AT139" i="20"/>
  <c r="BA139" i="20"/>
  <c r="O155" i="20"/>
  <c r="M155" i="20" s="1"/>
  <c r="AC155" i="20" s="1"/>
  <c r="N155" i="20"/>
  <c r="P155" i="20" s="1"/>
  <c r="BA155" i="20"/>
  <c r="AU155" i="20"/>
  <c r="AT155" i="20"/>
  <c r="O181" i="20"/>
  <c r="N181" i="20"/>
  <c r="AU181" i="20"/>
  <c r="AT181" i="20"/>
  <c r="BA181" i="20"/>
  <c r="O189" i="20"/>
  <c r="N189" i="20"/>
  <c r="BA189" i="20"/>
  <c r="AT189" i="20"/>
  <c r="AU189" i="20"/>
  <c r="O165" i="20"/>
  <c r="N165" i="20"/>
  <c r="BA165" i="20"/>
  <c r="AU165" i="20"/>
  <c r="AT165" i="20"/>
  <c r="O196" i="20"/>
  <c r="N196" i="20"/>
  <c r="AT196" i="20"/>
  <c r="BA196" i="20"/>
  <c r="AU196" i="20"/>
  <c r="O204" i="20"/>
  <c r="N204" i="20"/>
  <c r="BA204" i="20"/>
  <c r="AU204" i="20"/>
  <c r="AT204" i="20"/>
  <c r="O169" i="20"/>
  <c r="M169" i="20" s="1"/>
  <c r="N169" i="20"/>
  <c r="BA169" i="20"/>
  <c r="AU169" i="20"/>
  <c r="AT169" i="20"/>
  <c r="AU190" i="20"/>
  <c r="AT190" i="20"/>
  <c r="O190" i="20"/>
  <c r="M190" i="20" s="1"/>
  <c r="N190" i="20"/>
  <c r="BA190" i="20"/>
  <c r="O198" i="20"/>
  <c r="M198" i="20" s="1"/>
  <c r="N198" i="20"/>
  <c r="AU198" i="20"/>
  <c r="BA198" i="20"/>
  <c r="AT198" i="20"/>
  <c r="O206" i="20"/>
  <c r="M206" i="20" s="1"/>
  <c r="N206" i="20"/>
  <c r="BA206" i="20"/>
  <c r="AU206" i="20"/>
  <c r="AT206" i="20"/>
  <c r="AT122" i="20"/>
  <c r="N122" i="20"/>
  <c r="BA122" i="20"/>
  <c r="O122" i="20"/>
  <c r="M122" i="20" s="1"/>
  <c r="AC122" i="20" s="1"/>
  <c r="AU122" i="20"/>
  <c r="O130" i="20"/>
  <c r="M130" i="20" s="1"/>
  <c r="AC130" i="20" s="1"/>
  <c r="N130" i="20"/>
  <c r="BA130" i="20"/>
  <c r="AU130" i="20"/>
  <c r="AT130" i="20"/>
  <c r="O146" i="20"/>
  <c r="M146" i="20" s="1"/>
  <c r="AC146" i="20" s="1"/>
  <c r="N146" i="20"/>
  <c r="BA146" i="20"/>
  <c r="AU146" i="20"/>
  <c r="AT146" i="20"/>
  <c r="O162" i="20"/>
  <c r="M162" i="20" s="1"/>
  <c r="N162" i="20"/>
  <c r="BA162" i="20"/>
  <c r="AU162" i="20"/>
  <c r="AT162" i="20"/>
  <c r="O178" i="20"/>
  <c r="M178" i="20" s="1"/>
  <c r="N178" i="20"/>
  <c r="BA178" i="20"/>
  <c r="AU178" i="20"/>
  <c r="AT178" i="20"/>
  <c r="O113" i="20"/>
  <c r="M113" i="20" s="1"/>
  <c r="AC113" i="20" s="1"/>
  <c r="N113" i="20"/>
  <c r="AT113" i="20"/>
  <c r="BA113" i="20"/>
  <c r="AU113" i="20"/>
  <c r="O137" i="20"/>
  <c r="M137" i="20" s="1"/>
  <c r="AC137" i="20" s="1"/>
  <c r="N137" i="20"/>
  <c r="AU137" i="20"/>
  <c r="AT137" i="20"/>
  <c r="BA137" i="20"/>
  <c r="O153" i="20"/>
  <c r="M153" i="20" s="1"/>
  <c r="AC153" i="20" s="1"/>
  <c r="N153" i="20"/>
  <c r="BA153" i="20"/>
  <c r="AU153" i="20"/>
  <c r="AT153" i="20"/>
  <c r="O179" i="20"/>
  <c r="M179" i="20" s="1"/>
  <c r="N179" i="20"/>
  <c r="BA179" i="20"/>
  <c r="AU179" i="20"/>
  <c r="AT179" i="20"/>
  <c r="BA187" i="20"/>
  <c r="AU187" i="20"/>
  <c r="N187" i="20"/>
  <c r="AT187" i="20"/>
  <c r="O187" i="20"/>
  <c r="M187" i="20" s="1"/>
  <c r="AU120" i="20"/>
  <c r="AT120" i="20"/>
  <c r="N120" i="20"/>
  <c r="BA120" i="20"/>
  <c r="O120" i="20"/>
  <c r="M120" i="20" s="1"/>
  <c r="AC120" i="20" s="1"/>
  <c r="O136" i="20"/>
  <c r="M136" i="20" s="1"/>
  <c r="AC136" i="20" s="1"/>
  <c r="N136" i="20"/>
  <c r="BA136" i="20"/>
  <c r="AU136" i="20"/>
  <c r="AT136" i="20"/>
  <c r="BA160" i="20"/>
  <c r="AU160" i="20"/>
  <c r="AT160" i="20"/>
  <c r="O160" i="20"/>
  <c r="M160" i="20" s="1"/>
  <c r="N160" i="20"/>
  <c r="BA176" i="20"/>
  <c r="AU176" i="20"/>
  <c r="AT176" i="20"/>
  <c r="O176" i="20"/>
  <c r="M176" i="20" s="1"/>
  <c r="N176" i="20"/>
  <c r="AU111" i="20"/>
  <c r="O111" i="20"/>
  <c r="M111" i="20" s="1"/>
  <c r="AC111" i="20" s="1"/>
  <c r="N111" i="20"/>
  <c r="BA111" i="20"/>
  <c r="AT111" i="20"/>
  <c r="AU127" i="20"/>
  <c r="AT127" i="20"/>
  <c r="O127" i="20"/>
  <c r="M127" i="20" s="1"/>
  <c r="AC127" i="20" s="1"/>
  <c r="N127" i="20"/>
  <c r="BA127" i="20"/>
  <c r="AU135" i="20"/>
  <c r="AT135" i="20"/>
  <c r="BA135" i="20"/>
  <c r="O135" i="20"/>
  <c r="M135" i="20" s="1"/>
  <c r="AC135" i="20" s="1"/>
  <c r="N135" i="20"/>
  <c r="BA151" i="20"/>
  <c r="O151" i="20"/>
  <c r="M151" i="20" s="1"/>
  <c r="AC151" i="20" s="1"/>
  <c r="N151" i="20"/>
  <c r="AU151" i="20"/>
  <c r="AT151" i="20"/>
  <c r="O175" i="20"/>
  <c r="M175" i="20" s="1"/>
  <c r="N175" i="20"/>
  <c r="BA175" i="20"/>
  <c r="AU175" i="20"/>
  <c r="AT175" i="20"/>
  <c r="AU185" i="20"/>
  <c r="O185" i="20"/>
  <c r="M185" i="20" s="1"/>
  <c r="N185" i="20"/>
  <c r="BA185" i="20"/>
  <c r="AT185" i="20"/>
  <c r="N193" i="20"/>
  <c r="P193" i="20" s="1"/>
  <c r="AU193" i="20"/>
  <c r="O193" i="20"/>
  <c r="M193" i="20" s="1"/>
  <c r="AT193" i="20"/>
  <c r="BA193" i="20"/>
  <c r="O201" i="20"/>
  <c r="M201" i="20" s="1"/>
  <c r="N201" i="20"/>
  <c r="BA201" i="20"/>
  <c r="AU201" i="20"/>
  <c r="AT201" i="20"/>
  <c r="O184" i="20"/>
  <c r="M184" i="20" s="1"/>
  <c r="N184" i="20"/>
  <c r="AU184" i="20"/>
  <c r="AT184" i="20"/>
  <c r="BA184" i="20"/>
  <c r="O208" i="20"/>
  <c r="M208" i="20" s="1"/>
  <c r="N208" i="20"/>
  <c r="BA208" i="20"/>
  <c r="AT208" i="20"/>
  <c r="AU208" i="20"/>
  <c r="O203" i="20"/>
  <c r="M203" i="20" s="1"/>
  <c r="N203" i="20"/>
  <c r="BA203" i="20"/>
  <c r="AU203" i="20"/>
  <c r="AT203" i="20"/>
  <c r="O161" i="20"/>
  <c r="M161" i="20" s="1"/>
  <c r="N161" i="20"/>
  <c r="BA161" i="20"/>
  <c r="AU161" i="20"/>
  <c r="AT161" i="20"/>
  <c r="O110" i="20"/>
  <c r="M110" i="20" s="1"/>
  <c r="AC110" i="20" s="1"/>
  <c r="N110" i="20"/>
  <c r="BA110" i="20"/>
  <c r="AT110" i="20"/>
  <c r="AU110" i="20"/>
  <c r="N126" i="20"/>
  <c r="BA126" i="20"/>
  <c r="O126" i="20"/>
  <c r="M126" i="20" s="1"/>
  <c r="AC126" i="20" s="1"/>
  <c r="AU126" i="20"/>
  <c r="AT126" i="20"/>
  <c r="O134" i="20"/>
  <c r="M134" i="20" s="1"/>
  <c r="AC134" i="20" s="1"/>
  <c r="N134" i="20"/>
  <c r="BA134" i="20"/>
  <c r="AU134" i="20"/>
  <c r="AT134" i="20"/>
  <c r="O150" i="20"/>
  <c r="M150" i="20" s="1"/>
  <c r="AC150" i="20" s="1"/>
  <c r="N150" i="20"/>
  <c r="BA150" i="20"/>
  <c r="AU150" i="20"/>
  <c r="AT150" i="20"/>
  <c r="O166" i="20"/>
  <c r="M166" i="20" s="1"/>
  <c r="N166" i="20"/>
  <c r="BA166" i="20"/>
  <c r="AU166" i="20"/>
  <c r="AT166" i="20"/>
  <c r="BA117" i="20"/>
  <c r="AU117" i="20"/>
  <c r="AT117" i="20"/>
  <c r="O117" i="20"/>
  <c r="M117" i="20" s="1"/>
  <c r="AC117" i="20" s="1"/>
  <c r="N117" i="20"/>
  <c r="AU125" i="20"/>
  <c r="N125" i="20"/>
  <c r="BA125" i="20"/>
  <c r="AT125" i="20"/>
  <c r="O125" i="20"/>
  <c r="M125" i="20" s="1"/>
  <c r="AC125" i="20" s="1"/>
  <c r="AU133" i="20"/>
  <c r="AT133" i="20"/>
  <c r="BA133" i="20"/>
  <c r="O133" i="20"/>
  <c r="M133" i="20" s="1"/>
  <c r="AC133" i="20" s="1"/>
  <c r="N133" i="20"/>
  <c r="O149" i="20"/>
  <c r="M149" i="20" s="1"/>
  <c r="AC149" i="20" s="1"/>
  <c r="N149" i="20"/>
  <c r="BA149" i="20"/>
  <c r="AU149" i="20"/>
  <c r="AT149" i="20"/>
  <c r="O171" i="20"/>
  <c r="M171" i="20" s="1"/>
  <c r="N171" i="20"/>
  <c r="P171" i="20" s="1"/>
  <c r="AM171" i="20" s="1"/>
  <c r="BA171" i="20"/>
  <c r="AJ171" i="20"/>
  <c r="AK171" i="20" s="1"/>
  <c r="AU171" i="20"/>
  <c r="AT171" i="20"/>
  <c r="O116" i="20"/>
  <c r="M116" i="20" s="1"/>
  <c r="AC116" i="20" s="1"/>
  <c r="N116" i="20"/>
  <c r="P116" i="20" s="1"/>
  <c r="AM116" i="20" s="1"/>
  <c r="BA116" i="20"/>
  <c r="AU116" i="20"/>
  <c r="AT116" i="20"/>
  <c r="O124" i="20"/>
  <c r="M124" i="20" s="1"/>
  <c r="AC124" i="20" s="1"/>
  <c r="N124" i="20"/>
  <c r="BA124" i="20"/>
  <c r="AT124" i="20"/>
  <c r="AU124" i="20"/>
  <c r="O148" i="20"/>
  <c r="M148" i="20" s="1"/>
  <c r="AC148" i="20" s="1"/>
  <c r="N148" i="20"/>
  <c r="BA148" i="20"/>
  <c r="AU148" i="20"/>
  <c r="AT148" i="20"/>
  <c r="O164" i="20"/>
  <c r="M164" i="20" s="1"/>
  <c r="N164" i="20"/>
  <c r="BA164" i="20"/>
  <c r="AU164" i="20"/>
  <c r="AT164" i="20"/>
  <c r="O115" i="20"/>
  <c r="M115" i="20" s="1"/>
  <c r="AC115" i="20" s="1"/>
  <c r="N115" i="20"/>
  <c r="AU115" i="20"/>
  <c r="AT115" i="20"/>
  <c r="BA115" i="20"/>
  <c r="N123" i="20"/>
  <c r="BA123" i="20"/>
  <c r="AT123" i="20"/>
  <c r="O123" i="20"/>
  <c r="M123" i="20" s="1"/>
  <c r="AC123" i="20" s="1"/>
  <c r="AU123" i="20"/>
  <c r="O131" i="20"/>
  <c r="M131" i="20" s="1"/>
  <c r="AC131" i="20" s="1"/>
  <c r="N131" i="20"/>
  <c r="BA131" i="20"/>
  <c r="AU131" i="20"/>
  <c r="AT131" i="20"/>
  <c r="O147" i="20"/>
  <c r="M147" i="20" s="1"/>
  <c r="AC147" i="20" s="1"/>
  <c r="BA147" i="20"/>
  <c r="AU147" i="20"/>
  <c r="AT147" i="20"/>
  <c r="N147" i="20"/>
  <c r="O167" i="20"/>
  <c r="M167" i="20" s="1"/>
  <c r="N167" i="20"/>
  <c r="BA167" i="20"/>
  <c r="AU167" i="20"/>
  <c r="AT167" i="20"/>
  <c r="O197" i="20"/>
  <c r="M197" i="20" s="1"/>
  <c r="N197" i="20"/>
  <c r="BA197" i="20"/>
  <c r="AT197" i="20"/>
  <c r="AU197" i="20"/>
  <c r="O205" i="20"/>
  <c r="M205" i="20" s="1"/>
  <c r="N205" i="20"/>
  <c r="BA205" i="20"/>
  <c r="AU205" i="20"/>
  <c r="AT205" i="20"/>
  <c r="O180" i="20"/>
  <c r="M180" i="20" s="1"/>
  <c r="AT180" i="20"/>
  <c r="BA180" i="20"/>
  <c r="N180" i="20"/>
  <c r="AU180" i="20"/>
  <c r="N188" i="20"/>
  <c r="O188" i="20"/>
  <c r="AT188" i="20"/>
  <c r="BA188" i="20"/>
  <c r="AU188" i="20"/>
  <c r="O191" i="20"/>
  <c r="N191" i="20"/>
  <c r="BA191" i="20"/>
  <c r="AU191" i="20"/>
  <c r="AT191" i="20"/>
  <c r="O199" i="20"/>
  <c r="N199" i="20"/>
  <c r="AT199" i="20"/>
  <c r="BA199" i="20"/>
  <c r="AU199" i="20"/>
  <c r="O207" i="20"/>
  <c r="BA207" i="20"/>
  <c r="AT207" i="20"/>
  <c r="AU207" i="20"/>
  <c r="N207" i="20"/>
  <c r="O182" i="20"/>
  <c r="N182" i="20"/>
  <c r="AU182" i="20"/>
  <c r="AT182" i="20"/>
  <c r="BA182" i="20"/>
  <c r="AT9" i="20"/>
  <c r="AT64" i="20"/>
  <c r="AT22" i="20"/>
  <c r="AU9" i="20"/>
  <c r="BA24" i="20"/>
  <c r="AU47" i="20"/>
  <c r="AU22" i="20"/>
  <c r="O22" i="20"/>
  <c r="O9" i="20"/>
  <c r="N9" i="20"/>
  <c r="O76" i="20"/>
  <c r="M76" i="20" s="1"/>
  <c r="AC76" i="20" s="1"/>
  <c r="J21" i="20"/>
  <c r="AY21" i="20" s="1"/>
  <c r="J33" i="20"/>
  <c r="J37" i="20"/>
  <c r="AY37" i="20" s="1"/>
  <c r="J26" i="20"/>
  <c r="J34" i="20"/>
  <c r="J38" i="20"/>
  <c r="AY38" i="20" s="1"/>
  <c r="J42" i="20"/>
  <c r="AY42" i="20" s="1"/>
  <c r="J46" i="20"/>
  <c r="AY46" i="20" s="1"/>
  <c r="J45" i="20"/>
  <c r="AY45" i="20" s="1"/>
  <c r="J50" i="20"/>
  <c r="AY50" i="20" s="1"/>
  <c r="J54" i="20"/>
  <c r="AY54" i="20" s="1"/>
  <c r="J58" i="20"/>
  <c r="AY58" i="20" s="1"/>
  <c r="J62" i="20"/>
  <c r="J66" i="20"/>
  <c r="J70" i="20"/>
  <c r="J74" i="20"/>
  <c r="J78" i="20"/>
  <c r="J82" i="20"/>
  <c r="J86" i="20"/>
  <c r="J90" i="20"/>
  <c r="J94" i="20"/>
  <c r="J98" i="20"/>
  <c r="J102" i="20"/>
  <c r="J106" i="20"/>
  <c r="J10" i="20"/>
  <c r="AY10" i="20" s="1"/>
  <c r="J18" i="20"/>
  <c r="AY18" i="20" s="1"/>
  <c r="J49" i="20"/>
  <c r="AY49" i="20" s="1"/>
  <c r="J53" i="20"/>
  <c r="AY53" i="20" s="1"/>
  <c r="J57" i="20"/>
  <c r="AY57" i="20" s="1"/>
  <c r="J61" i="20"/>
  <c r="J65" i="20"/>
  <c r="J69" i="20"/>
  <c r="J73" i="20"/>
  <c r="J77" i="20"/>
  <c r="J81" i="20"/>
  <c r="J85" i="20"/>
  <c r="J89" i="20"/>
  <c r="J93" i="20"/>
  <c r="J97" i="20"/>
  <c r="J101" i="20"/>
  <c r="J105" i="20"/>
  <c r="J109" i="20"/>
  <c r="J13" i="20"/>
  <c r="AY13" i="20" s="1"/>
  <c r="J17" i="20"/>
  <c r="AY17" i="20" s="1"/>
  <c r="J41" i="20"/>
  <c r="AY41" i="20" s="1"/>
  <c r="J25" i="20"/>
  <c r="J29" i="20"/>
  <c r="J30" i="20"/>
  <c r="J14" i="20"/>
  <c r="AY14" i="20" s="1"/>
  <c r="J31" i="20"/>
  <c r="BA22" i="20"/>
  <c r="G178" i="2"/>
  <c r="B258" i="2"/>
  <c r="B105" i="2"/>
  <c r="B119" i="2" s="1"/>
  <c r="B262" i="2"/>
  <c r="C54" i="16"/>
  <c r="D54" i="16" s="1"/>
  <c r="B200" i="2"/>
  <c r="B72" i="2"/>
  <c r="A460" i="2"/>
  <c r="B391" i="2"/>
  <c r="D391" i="2"/>
  <c r="B61" i="2"/>
  <c r="B73" i="2"/>
  <c r="G92" i="2"/>
  <c r="K151" i="2"/>
  <c r="B80" i="2"/>
  <c r="C80" i="2"/>
  <c r="L151" i="2"/>
  <c r="G90" i="2"/>
  <c r="B278" i="2"/>
  <c r="F6" i="17" s="1"/>
  <c r="E623" i="17"/>
  <c r="F623" i="17"/>
  <c r="B340" i="2"/>
  <c r="G91" i="2"/>
  <c r="C58" i="2"/>
  <c r="C56" i="2"/>
  <c r="B339" i="2"/>
  <c r="B341" i="2"/>
  <c r="B15" i="6"/>
  <c r="B3" i="6"/>
  <c r="B16" i="6"/>
  <c r="H338" i="2"/>
  <c r="E74" i="1"/>
  <c r="AT40" i="20" l="1"/>
  <c r="O95" i="20"/>
  <c r="M95" i="20" s="1"/>
  <c r="AC95" i="20" s="1"/>
  <c r="AT39" i="20"/>
  <c r="O63" i="20"/>
  <c r="M63" i="20" s="1"/>
  <c r="AC63" i="20" s="1"/>
  <c r="N40" i="20"/>
  <c r="AU76" i="20"/>
  <c r="AT63" i="20"/>
  <c r="N20" i="20"/>
  <c r="O27" i="20"/>
  <c r="M27" i="20" s="1"/>
  <c r="AT76" i="20"/>
  <c r="AT27" i="20"/>
  <c r="O108" i="20"/>
  <c r="M108" i="20" s="1"/>
  <c r="AC108" i="20" s="1"/>
  <c r="AU95" i="20"/>
  <c r="AT15" i="20"/>
  <c r="B64" i="2"/>
  <c r="N63" i="20"/>
  <c r="P63" i="20" s="1"/>
  <c r="AM63" i="20" s="1"/>
  <c r="N76" i="20"/>
  <c r="P76" i="20" s="1"/>
  <c r="AM76" i="20" s="1"/>
  <c r="O40" i="20"/>
  <c r="M40" i="20" s="1"/>
  <c r="AC40" i="20" s="1"/>
  <c r="AU63" i="20"/>
  <c r="AU40" i="20"/>
  <c r="AT108" i="20"/>
  <c r="N95" i="20"/>
  <c r="P95" i="20" s="1"/>
  <c r="AA95" i="20" s="1"/>
  <c r="N108" i="20"/>
  <c r="P108" i="20" s="1"/>
  <c r="AQ108" i="20" s="1"/>
  <c r="N56" i="20"/>
  <c r="N27" i="20"/>
  <c r="AU108" i="20"/>
  <c r="AU27" i="20"/>
  <c r="AT95" i="20"/>
  <c r="AT51" i="20"/>
  <c r="AT83" i="20"/>
  <c r="AT96" i="20"/>
  <c r="AT28" i="20"/>
  <c r="O24" i="20"/>
  <c r="M24" i="20" s="1"/>
  <c r="O11" i="20"/>
  <c r="M11" i="20" s="1"/>
  <c r="AC11" i="20" s="1"/>
  <c r="O79" i="20"/>
  <c r="M79" i="20" s="1"/>
  <c r="AC79" i="20" s="1"/>
  <c r="O47" i="20"/>
  <c r="M47" i="20" s="1"/>
  <c r="AC47" i="20" s="1"/>
  <c r="AU60" i="20"/>
  <c r="O92" i="20"/>
  <c r="M92" i="20" s="1"/>
  <c r="AC92" i="20" s="1"/>
  <c r="O60" i="20"/>
  <c r="M60" i="20" s="1"/>
  <c r="AC60" i="20" s="1"/>
  <c r="N24" i="20"/>
  <c r="AU11" i="20"/>
  <c r="AU92" i="20"/>
  <c r="AU24" i="20"/>
  <c r="AT103" i="20"/>
  <c r="AT71" i="20"/>
  <c r="AT16" i="20"/>
  <c r="AT84" i="20"/>
  <c r="AT52" i="20"/>
  <c r="N11" i="20"/>
  <c r="N79" i="20"/>
  <c r="P79" i="20" s="1"/>
  <c r="AM79" i="20" s="1"/>
  <c r="N47" i="20"/>
  <c r="N92" i="20"/>
  <c r="P92" i="20" s="1"/>
  <c r="N60" i="20"/>
  <c r="P60" i="20" s="1"/>
  <c r="AM60" i="20" s="1"/>
  <c r="AU79" i="20"/>
  <c r="AU104" i="20"/>
  <c r="AT11" i="20"/>
  <c r="AT79" i="20"/>
  <c r="AT47" i="20"/>
  <c r="AT92" i="20"/>
  <c r="AT60" i="20"/>
  <c r="AT24" i="20"/>
  <c r="O83" i="20"/>
  <c r="M83" i="20" s="1"/>
  <c r="AC83" i="20" s="1"/>
  <c r="O84" i="20"/>
  <c r="M84" i="20" s="1"/>
  <c r="AC84" i="20" s="1"/>
  <c r="N28" i="20"/>
  <c r="O15" i="20"/>
  <c r="M15" i="20" s="1"/>
  <c r="AC15" i="20" s="1"/>
  <c r="O51" i="20"/>
  <c r="M51" i="20" s="1"/>
  <c r="AC51" i="20" s="1"/>
  <c r="O16" i="20"/>
  <c r="M16" i="20" s="1"/>
  <c r="AC16" i="20" s="1"/>
  <c r="AU19" i="20"/>
  <c r="O99" i="20"/>
  <c r="M99" i="20" s="1"/>
  <c r="AC99" i="20" s="1"/>
  <c r="O67" i="20"/>
  <c r="M67" i="20" s="1"/>
  <c r="AC67" i="20" s="1"/>
  <c r="O100" i="20"/>
  <c r="M100" i="20" s="1"/>
  <c r="AC100" i="20" s="1"/>
  <c r="O68" i="20"/>
  <c r="M68" i="20" s="1"/>
  <c r="AC68" i="20" s="1"/>
  <c r="N48" i="20"/>
  <c r="O35" i="20"/>
  <c r="M35" i="20" s="1"/>
  <c r="AC35" i="20" s="1"/>
  <c r="AU99" i="20"/>
  <c r="AU87" i="20"/>
  <c r="AU67" i="20"/>
  <c r="AU55" i="20"/>
  <c r="AU28" i="20"/>
  <c r="O19" i="20"/>
  <c r="O103" i="20"/>
  <c r="M103" i="20" s="1"/>
  <c r="AC103" i="20" s="1"/>
  <c r="O87" i="20"/>
  <c r="M87" i="20" s="1"/>
  <c r="AC87" i="20" s="1"/>
  <c r="O71" i="20"/>
  <c r="M71" i="20" s="1"/>
  <c r="AC71" i="20" s="1"/>
  <c r="O55" i="20"/>
  <c r="M55" i="20" s="1"/>
  <c r="AC55" i="20" s="1"/>
  <c r="O12" i="20"/>
  <c r="M12" i="20" s="1"/>
  <c r="AC12" i="20" s="1"/>
  <c r="O96" i="20"/>
  <c r="M96" i="20" s="1"/>
  <c r="AC96" i="20" s="1"/>
  <c r="O80" i="20"/>
  <c r="M80" i="20" s="1"/>
  <c r="AC80" i="20" s="1"/>
  <c r="O64" i="20"/>
  <c r="M64" i="20" s="1"/>
  <c r="AC64" i="20" s="1"/>
  <c r="N52" i="20"/>
  <c r="N32" i="20"/>
  <c r="O39" i="20"/>
  <c r="M39" i="20" s="1"/>
  <c r="AC39" i="20" s="1"/>
  <c r="O43" i="20"/>
  <c r="M43" i="20" s="1"/>
  <c r="AC43" i="20" s="1"/>
  <c r="AU15" i="20"/>
  <c r="AU100" i="20"/>
  <c r="AU80" i="20"/>
  <c r="AU68" i="20"/>
  <c r="AU48" i="20"/>
  <c r="AU32" i="20"/>
  <c r="AU35" i="20"/>
  <c r="AT43" i="20"/>
  <c r="B197" i="2"/>
  <c r="B186" i="2"/>
  <c r="B185" i="2"/>
  <c r="B180" i="2"/>
  <c r="M191" i="20"/>
  <c r="AJ191" i="20"/>
  <c r="AK191" i="20" s="1"/>
  <c r="M182" i="20"/>
  <c r="M207" i="20"/>
  <c r="AJ207" i="20"/>
  <c r="AK207" i="20" s="1"/>
  <c r="M199" i="20"/>
  <c r="AJ199" i="20"/>
  <c r="AK199" i="20" s="1"/>
  <c r="M188" i="20"/>
  <c r="Q193" i="20"/>
  <c r="R193" i="20" s="1"/>
  <c r="AM193" i="20"/>
  <c r="AJ193" i="20"/>
  <c r="AK193" i="20" s="1"/>
  <c r="M204" i="20"/>
  <c r="M165" i="20"/>
  <c r="M189" i="20"/>
  <c r="M172" i="20"/>
  <c r="M202" i="20"/>
  <c r="M194" i="20"/>
  <c r="M200" i="20"/>
  <c r="M163" i="20"/>
  <c r="P191" i="20"/>
  <c r="Q191" i="20" s="1"/>
  <c r="AJ205" i="20"/>
  <c r="AK205" i="20" s="1"/>
  <c r="AJ167" i="20"/>
  <c r="AK167" i="20" s="1"/>
  <c r="P167" i="20"/>
  <c r="Q167" i="20" s="1"/>
  <c r="R167" i="20" s="1"/>
  <c r="AQ116" i="20"/>
  <c r="AQ171" i="20"/>
  <c r="AQ193" i="20"/>
  <c r="AJ185" i="20"/>
  <c r="AK185" i="20" s="1"/>
  <c r="P151" i="20"/>
  <c r="S151" i="20" s="1"/>
  <c r="AJ160" i="20"/>
  <c r="AK160" i="20" s="1"/>
  <c r="AJ179" i="20"/>
  <c r="AK179" i="20" s="1"/>
  <c r="P179" i="20"/>
  <c r="U179" i="20" s="1"/>
  <c r="V179" i="20" s="1"/>
  <c r="W179" i="20" s="1"/>
  <c r="AJ206" i="20"/>
  <c r="AK206" i="20" s="1"/>
  <c r="P206" i="20"/>
  <c r="AH206" i="20" s="1"/>
  <c r="M196" i="20"/>
  <c r="M181" i="20"/>
  <c r="AM155" i="20"/>
  <c r="AQ155" i="20"/>
  <c r="AQ156" i="20"/>
  <c r="AM156" i="20"/>
  <c r="AM183" i="20"/>
  <c r="AQ183" i="20"/>
  <c r="AH118" i="20"/>
  <c r="AM118" i="20"/>
  <c r="M177" i="20"/>
  <c r="M195" i="20"/>
  <c r="M192" i="20"/>
  <c r="M173" i="20"/>
  <c r="M209" i="20"/>
  <c r="M159" i="20"/>
  <c r="AQ143" i="20"/>
  <c r="AM143" i="20"/>
  <c r="M168" i="20"/>
  <c r="P204" i="20"/>
  <c r="S204" i="20" s="1"/>
  <c r="P196" i="20"/>
  <c r="AH196" i="20" s="1"/>
  <c r="P181" i="20"/>
  <c r="AH181" i="20" s="1"/>
  <c r="P139" i="20"/>
  <c r="Q139" i="20" s="1"/>
  <c r="P172" i="20"/>
  <c r="AF172" i="20" s="1"/>
  <c r="AG172" i="20" s="1"/>
  <c r="P173" i="20"/>
  <c r="Q173" i="20" s="1"/>
  <c r="P159" i="20"/>
  <c r="S159" i="20" s="1"/>
  <c r="P152" i="20"/>
  <c r="AA152" i="20" s="1"/>
  <c r="AB152" i="20" s="1"/>
  <c r="AJ170" i="20"/>
  <c r="AK170" i="20" s="1"/>
  <c r="AQ95" i="20"/>
  <c r="AM95" i="20"/>
  <c r="AM108" i="20"/>
  <c r="AQ92" i="20"/>
  <c r="AM92" i="20"/>
  <c r="AJ116" i="20"/>
  <c r="AK116" i="20" s="1"/>
  <c r="AQ151" i="20"/>
  <c r="AJ143" i="20"/>
  <c r="AK143" i="20" s="1"/>
  <c r="AJ152" i="20"/>
  <c r="AK152" i="20" s="1"/>
  <c r="AJ155" i="20"/>
  <c r="AK155" i="20" s="1"/>
  <c r="Q155" i="20"/>
  <c r="R155" i="20" s="1"/>
  <c r="AJ139" i="20"/>
  <c r="AK139" i="20" s="1"/>
  <c r="AJ156" i="20"/>
  <c r="AK156" i="20" s="1"/>
  <c r="Q156" i="20"/>
  <c r="R156" i="20" s="1"/>
  <c r="AJ118" i="20"/>
  <c r="AK118" i="20" s="1"/>
  <c r="AQ118" i="20"/>
  <c r="P9" i="20"/>
  <c r="AD9" i="20" s="1"/>
  <c r="N19" i="20"/>
  <c r="N15" i="20"/>
  <c r="N103" i="20"/>
  <c r="P103" i="20" s="1"/>
  <c r="Q103" i="20" s="1"/>
  <c r="AS103" i="20" s="1"/>
  <c r="N99" i="20"/>
  <c r="P99" i="20" s="1"/>
  <c r="AM99" i="20" s="1"/>
  <c r="N87" i="20"/>
  <c r="P87" i="20" s="1"/>
  <c r="Q87" i="20" s="1"/>
  <c r="AS87" i="20" s="1"/>
  <c r="N83" i="20"/>
  <c r="P83" i="20" s="1"/>
  <c r="N71" i="20"/>
  <c r="P71" i="20" s="1"/>
  <c r="AM71" i="20" s="1"/>
  <c r="N67" i="20"/>
  <c r="P67" i="20" s="1"/>
  <c r="AJ67" i="20" s="1"/>
  <c r="AK67" i="20" s="1"/>
  <c r="N55" i="20"/>
  <c r="N51" i="20"/>
  <c r="P51" i="20" s="1"/>
  <c r="AM51" i="20" s="1"/>
  <c r="N16" i="20"/>
  <c r="N12" i="20"/>
  <c r="N100" i="20"/>
  <c r="P100" i="20" s="1"/>
  <c r="AO100" i="20" s="1"/>
  <c r="AP100" i="20" s="1"/>
  <c r="N96" i="20"/>
  <c r="P96" i="20" s="1"/>
  <c r="AD96" i="20" s="1"/>
  <c r="N84" i="20"/>
  <c r="P84" i="20" s="1"/>
  <c r="AJ84" i="20" s="1"/>
  <c r="AK84" i="20" s="1"/>
  <c r="N80" i="20"/>
  <c r="P80" i="20" s="1"/>
  <c r="AM80" i="20" s="1"/>
  <c r="N68" i="20"/>
  <c r="N64" i="20"/>
  <c r="P64" i="20" s="1"/>
  <c r="O52" i="20"/>
  <c r="M52" i="20" s="1"/>
  <c r="AC52" i="20" s="1"/>
  <c r="O48" i="20"/>
  <c r="M48" i="20" s="1"/>
  <c r="AC48" i="20" s="1"/>
  <c r="O32" i="20"/>
  <c r="O28" i="20"/>
  <c r="N39" i="20"/>
  <c r="N35" i="20"/>
  <c r="N43" i="20"/>
  <c r="AU103" i="20"/>
  <c r="AU83" i="20"/>
  <c r="AU71" i="20"/>
  <c r="AU51" i="20"/>
  <c r="AU16" i="20"/>
  <c r="AU12" i="20"/>
  <c r="AU96" i="20"/>
  <c r="AU84" i="20"/>
  <c r="AU64" i="20"/>
  <c r="AU52" i="20"/>
  <c r="AU39" i="20"/>
  <c r="AU43" i="20"/>
  <c r="AT19" i="20"/>
  <c r="AT99" i="20"/>
  <c r="AT87" i="20"/>
  <c r="AT67" i="20"/>
  <c r="AT55" i="20"/>
  <c r="AT12" i="20"/>
  <c r="AT100" i="20"/>
  <c r="AT80" i="20"/>
  <c r="AT68" i="20"/>
  <c r="AT48" i="20"/>
  <c r="AT32" i="20"/>
  <c r="AT35" i="20"/>
  <c r="N88" i="20"/>
  <c r="AJ108" i="20"/>
  <c r="AK108" i="20" s="1"/>
  <c r="AJ100" i="20"/>
  <c r="AK100" i="20" s="1"/>
  <c r="AJ92" i="20"/>
  <c r="AK92" i="20" s="1"/>
  <c r="AJ103" i="20"/>
  <c r="AK103" i="20" s="1"/>
  <c r="AJ95" i="20"/>
  <c r="AK95" i="20" s="1"/>
  <c r="AJ96" i="20"/>
  <c r="AK96" i="20" s="1"/>
  <c r="N104" i="20"/>
  <c r="N72" i="20"/>
  <c r="N44" i="20"/>
  <c r="AU88" i="20"/>
  <c r="AU72" i="20"/>
  <c r="AU56" i="20"/>
  <c r="AT44" i="20"/>
  <c r="AT23" i="20"/>
  <c r="O59" i="20"/>
  <c r="M59" i="20" s="1"/>
  <c r="AC59" i="20" s="1"/>
  <c r="O20" i="20"/>
  <c r="P20" i="20" s="1"/>
  <c r="AD20" i="20" s="1"/>
  <c r="O104" i="20"/>
  <c r="M104" i="20" s="1"/>
  <c r="O88" i="20"/>
  <c r="O72" i="20"/>
  <c r="M72" i="20" s="1"/>
  <c r="AC72" i="20" s="1"/>
  <c r="O56" i="20"/>
  <c r="M56" i="20" s="1"/>
  <c r="AC56" i="20" s="1"/>
  <c r="O44" i="20"/>
  <c r="M44" i="20" s="1"/>
  <c r="AC44" i="20" s="1"/>
  <c r="AU20" i="20"/>
  <c r="AU44" i="20"/>
  <c r="AT20" i="20"/>
  <c r="AT104" i="20"/>
  <c r="AT88" i="20"/>
  <c r="AT72" i="20"/>
  <c r="AT56" i="20"/>
  <c r="AC104" i="20"/>
  <c r="O91" i="20"/>
  <c r="M91" i="20" s="1"/>
  <c r="AC91" i="20" s="1"/>
  <c r="O23" i="20"/>
  <c r="O107" i="20"/>
  <c r="M107" i="20" s="1"/>
  <c r="AC107" i="20" s="1"/>
  <c r="O75" i="20"/>
  <c r="M75" i="20" s="1"/>
  <c r="AC75" i="20" s="1"/>
  <c r="N36" i="20"/>
  <c r="AT107" i="20"/>
  <c r="AT91" i="20"/>
  <c r="AT75" i="20"/>
  <c r="AT59" i="20"/>
  <c r="N107" i="20"/>
  <c r="N91" i="20"/>
  <c r="P91" i="20" s="1"/>
  <c r="N75" i="20"/>
  <c r="P75" i="20" s="1"/>
  <c r="N59" i="20"/>
  <c r="O36" i="20"/>
  <c r="M36" i="20" s="1"/>
  <c r="AC36" i="20" s="1"/>
  <c r="N23" i="20"/>
  <c r="AU107" i="20"/>
  <c r="AU91" i="20"/>
  <c r="AU75" i="20"/>
  <c r="AU59" i="20"/>
  <c r="AU36" i="20"/>
  <c r="AU23" i="20"/>
  <c r="AT36" i="20"/>
  <c r="AY31" i="20"/>
  <c r="BA31" i="20" s="1"/>
  <c r="AY30" i="20"/>
  <c r="BA30" i="20" s="1"/>
  <c r="AY105" i="20"/>
  <c r="BA105" i="20" s="1"/>
  <c r="AY97" i="20"/>
  <c r="BA97" i="20" s="1"/>
  <c r="AY89" i="20"/>
  <c r="BA89" i="20" s="1"/>
  <c r="AY81" i="20"/>
  <c r="BA81" i="20" s="1"/>
  <c r="AY73" i="20"/>
  <c r="BA73" i="20" s="1"/>
  <c r="AY65" i="20"/>
  <c r="BA65" i="20" s="1"/>
  <c r="AY102" i="20"/>
  <c r="BA102" i="20" s="1"/>
  <c r="AY94" i="20"/>
  <c r="BA94" i="20" s="1"/>
  <c r="AY86" i="20"/>
  <c r="BA86" i="20" s="1"/>
  <c r="AY78" i="20"/>
  <c r="BA78" i="20" s="1"/>
  <c r="AY70" i="20"/>
  <c r="BA70" i="20" s="1"/>
  <c r="AY62" i="20"/>
  <c r="BA62" i="20" s="1"/>
  <c r="AY34" i="20"/>
  <c r="BA34" i="20" s="1"/>
  <c r="AY29" i="20"/>
  <c r="BA29" i="20" s="1"/>
  <c r="AY25" i="20"/>
  <c r="BA25" i="20" s="1"/>
  <c r="AY109" i="20"/>
  <c r="BA109" i="20" s="1"/>
  <c r="AY101" i="20"/>
  <c r="BA101" i="20" s="1"/>
  <c r="AY93" i="20"/>
  <c r="BA93" i="20" s="1"/>
  <c r="AY85" i="20"/>
  <c r="BA85" i="20" s="1"/>
  <c r="AY77" i="20"/>
  <c r="BA77" i="20" s="1"/>
  <c r="AY69" i="20"/>
  <c r="BA69" i="20" s="1"/>
  <c r="AY61" i="20"/>
  <c r="BA61" i="20" s="1"/>
  <c r="AY106" i="20"/>
  <c r="BA106" i="20" s="1"/>
  <c r="AY98" i="20"/>
  <c r="BA98" i="20" s="1"/>
  <c r="AY90" i="20"/>
  <c r="BA90" i="20" s="1"/>
  <c r="AY82" i="20"/>
  <c r="BA82" i="20" s="1"/>
  <c r="AY74" i="20"/>
  <c r="BA74" i="20" s="1"/>
  <c r="AY66" i="20"/>
  <c r="BA66" i="20" s="1"/>
  <c r="AY26" i="20"/>
  <c r="BA26" i="20" s="1"/>
  <c r="AY33" i="20"/>
  <c r="BA33" i="20" s="1"/>
  <c r="AA116" i="20"/>
  <c r="AB116" i="20" s="1"/>
  <c r="Q116" i="20"/>
  <c r="R116" i="20" s="1"/>
  <c r="AO116" i="20"/>
  <c r="AP116" i="20" s="1"/>
  <c r="AO183" i="20"/>
  <c r="AP183" i="20" s="1"/>
  <c r="AA183" i="20"/>
  <c r="AB183" i="20" s="1"/>
  <c r="P69" i="21"/>
  <c r="AD69" i="21" s="1"/>
  <c r="P89" i="21"/>
  <c r="AD89" i="21" s="1"/>
  <c r="P109" i="21"/>
  <c r="AD109" i="21" s="1"/>
  <c r="M109" i="21"/>
  <c r="P105" i="21"/>
  <c r="AD105" i="21" s="1"/>
  <c r="M105" i="21"/>
  <c r="P101" i="21"/>
  <c r="AD101" i="21" s="1"/>
  <c r="M101" i="21"/>
  <c r="P97" i="21"/>
  <c r="AD97" i="21" s="1"/>
  <c r="M97" i="21"/>
  <c r="P93" i="21"/>
  <c r="AD93" i="21" s="1"/>
  <c r="M93" i="21"/>
  <c r="P83" i="21"/>
  <c r="AD83" i="21" s="1"/>
  <c r="M83" i="21"/>
  <c r="P75" i="21"/>
  <c r="AD75" i="21" s="1"/>
  <c r="M75" i="21"/>
  <c r="P85" i="21"/>
  <c r="X85" i="21" s="1"/>
  <c r="M85" i="21"/>
  <c r="P81" i="21"/>
  <c r="X81" i="21" s="1"/>
  <c r="P74" i="21"/>
  <c r="AH74" i="21" s="1"/>
  <c r="P46" i="21"/>
  <c r="P59" i="21"/>
  <c r="AH59" i="21" s="1"/>
  <c r="P20" i="21"/>
  <c r="AD20" i="21" s="1"/>
  <c r="P13" i="21"/>
  <c r="P19" i="21"/>
  <c r="P29" i="21"/>
  <c r="AJ29" i="21" s="1"/>
  <c r="P45" i="21"/>
  <c r="AD45" i="21" s="1"/>
  <c r="P68" i="21"/>
  <c r="AH68" i="21" s="1"/>
  <c r="P38" i="21"/>
  <c r="P61" i="21"/>
  <c r="P65" i="21"/>
  <c r="P72" i="21"/>
  <c r="AH72" i="21" s="1"/>
  <c r="P22" i="21"/>
  <c r="AD22" i="21" s="1"/>
  <c r="P39" i="21"/>
  <c r="P54" i="21"/>
  <c r="AD54" i="21" s="1"/>
  <c r="P36" i="21"/>
  <c r="S36" i="21" s="1"/>
  <c r="P80" i="21"/>
  <c r="AJ80" i="21" s="1"/>
  <c r="AK80" i="21" s="1"/>
  <c r="P88" i="21"/>
  <c r="P76" i="21"/>
  <c r="AD76" i="21" s="1"/>
  <c r="P70" i="21"/>
  <c r="AH70" i="21" s="1"/>
  <c r="P106" i="21"/>
  <c r="AD106" i="21" s="1"/>
  <c r="P102" i="21"/>
  <c r="AH102" i="21" s="1"/>
  <c r="P98" i="21"/>
  <c r="AH98" i="21" s="1"/>
  <c r="P94" i="21"/>
  <c r="AH94" i="21" s="1"/>
  <c r="P51" i="21"/>
  <c r="P32" i="21"/>
  <c r="P18" i="21"/>
  <c r="AD18" i="21" s="1"/>
  <c r="P12" i="21"/>
  <c r="P16" i="21"/>
  <c r="P25" i="21"/>
  <c r="P41" i="21"/>
  <c r="P56" i="21"/>
  <c r="AF56" i="21" s="1"/>
  <c r="P31" i="21"/>
  <c r="P60" i="21"/>
  <c r="P64" i="21"/>
  <c r="P34" i="21"/>
  <c r="P50" i="21"/>
  <c r="P35" i="21"/>
  <c r="AM35" i="21" s="1"/>
  <c r="P55" i="21"/>
  <c r="AD55" i="21" s="1"/>
  <c r="P86" i="21"/>
  <c r="AA86" i="21" s="1"/>
  <c r="AB86" i="21" s="1"/>
  <c r="P78" i="21"/>
  <c r="P71" i="21"/>
  <c r="P107" i="21"/>
  <c r="P103" i="21"/>
  <c r="P99" i="21"/>
  <c r="P95" i="21"/>
  <c r="P91" i="21"/>
  <c r="P42" i="21"/>
  <c r="S42" i="21" s="1"/>
  <c r="P17" i="21"/>
  <c r="P11" i="21"/>
  <c r="AA11" i="21" s="1"/>
  <c r="AB11" i="21" s="1"/>
  <c r="P15" i="21"/>
  <c r="AD15" i="21" s="1"/>
  <c r="P23" i="21"/>
  <c r="P37" i="21"/>
  <c r="P52" i="21"/>
  <c r="AM52" i="21" s="1"/>
  <c r="P30" i="21"/>
  <c r="AD30" i="21" s="1"/>
  <c r="P58" i="21"/>
  <c r="AH58" i="21" s="1"/>
  <c r="P63" i="21"/>
  <c r="AD63" i="21" s="1"/>
  <c r="P67" i="21"/>
  <c r="S67" i="21" s="1"/>
  <c r="P77" i="21"/>
  <c r="AA77" i="21" s="1"/>
  <c r="AB77" i="21" s="1"/>
  <c r="P87" i="21"/>
  <c r="P28" i="21"/>
  <c r="AJ28" i="21" s="1"/>
  <c r="P47" i="21"/>
  <c r="AD47" i="21" s="1"/>
  <c r="P27" i="21"/>
  <c r="P49" i="21"/>
  <c r="AD49" i="21" s="1"/>
  <c r="P84" i="21"/>
  <c r="AH84" i="21" s="1"/>
  <c r="P79" i="21"/>
  <c r="P73" i="21"/>
  <c r="P108" i="21"/>
  <c r="P104" i="21"/>
  <c r="P100" i="21"/>
  <c r="P96" i="21"/>
  <c r="P92" i="21"/>
  <c r="P44" i="21"/>
  <c r="AH44" i="21" s="1"/>
  <c r="P10" i="21"/>
  <c r="P9" i="21"/>
  <c r="AQ9" i="21" s="1"/>
  <c r="P14" i="21"/>
  <c r="AD14" i="21" s="1"/>
  <c r="P21" i="21"/>
  <c r="AA21" i="21" s="1"/>
  <c r="AB21" i="21" s="1"/>
  <c r="P33" i="21"/>
  <c r="P48" i="21"/>
  <c r="AM48" i="21" s="1"/>
  <c r="P24" i="21"/>
  <c r="AD24" i="21" s="1"/>
  <c r="P53" i="21"/>
  <c r="AH53" i="21" s="1"/>
  <c r="P62" i="21"/>
  <c r="AD62" i="21" s="1"/>
  <c r="P66" i="21"/>
  <c r="AH66" i="21" s="1"/>
  <c r="P26" i="21"/>
  <c r="AJ26" i="21" s="1"/>
  <c r="P43" i="21"/>
  <c r="AD43" i="21" s="1"/>
  <c r="P57" i="21"/>
  <c r="AH57" i="21" s="1"/>
  <c r="P40" i="21"/>
  <c r="P82" i="21"/>
  <c r="S82" i="21" s="1"/>
  <c r="P90" i="21"/>
  <c r="Q90" i="21" s="1"/>
  <c r="AF116" i="20"/>
  <c r="AO156" i="20"/>
  <c r="AP156" i="20" s="1"/>
  <c r="Q183" i="20"/>
  <c r="AA156" i="20"/>
  <c r="AB156" i="20" s="1"/>
  <c r="AF143" i="20"/>
  <c r="AG143" i="20" s="1"/>
  <c r="Q143" i="20"/>
  <c r="AF156" i="20"/>
  <c r="AG156" i="20" s="1"/>
  <c r="AF183" i="20"/>
  <c r="AH183" i="20"/>
  <c r="AJ87" i="20"/>
  <c r="AK87" i="20" s="1"/>
  <c r="P199" i="20"/>
  <c r="P188" i="20"/>
  <c r="P115" i="20"/>
  <c r="AM115" i="20" s="1"/>
  <c r="AO171" i="20"/>
  <c r="AP171" i="20" s="1"/>
  <c r="S171" i="20"/>
  <c r="AD171" i="20"/>
  <c r="U171" i="20"/>
  <c r="V171" i="20" s="1"/>
  <c r="W171" i="20" s="1"/>
  <c r="AF171" i="20"/>
  <c r="Q171" i="20"/>
  <c r="P117" i="20"/>
  <c r="AM117" i="20" s="1"/>
  <c r="P166" i="20"/>
  <c r="P150" i="20"/>
  <c r="AM150" i="20" s="1"/>
  <c r="P134" i="20"/>
  <c r="AM134" i="20" s="1"/>
  <c r="P161" i="20"/>
  <c r="P203" i="20"/>
  <c r="P208" i="20"/>
  <c r="P182" i="20"/>
  <c r="P207" i="20"/>
  <c r="P180" i="20"/>
  <c r="P205" i="20"/>
  <c r="P197" i="20"/>
  <c r="P147" i="20"/>
  <c r="AM147" i="20" s="1"/>
  <c r="P131" i="20"/>
  <c r="AM131" i="20" s="1"/>
  <c r="P123" i="20"/>
  <c r="AM123" i="20" s="1"/>
  <c r="P164" i="20"/>
  <c r="P148" i="20"/>
  <c r="P124" i="20"/>
  <c r="AM124" i="20" s="1"/>
  <c r="AH116" i="20"/>
  <c r="S116" i="20"/>
  <c r="AD116" i="20"/>
  <c r="U116" i="20"/>
  <c r="V116" i="20" s="1"/>
  <c r="W116" i="20" s="1"/>
  <c r="X116" i="20"/>
  <c r="Y116" i="20" s="1"/>
  <c r="Z116" i="20" s="1"/>
  <c r="AH171" i="20"/>
  <c r="AA171" i="20"/>
  <c r="AB171" i="20" s="1"/>
  <c r="P201" i="20"/>
  <c r="AF193" i="20"/>
  <c r="S193" i="20"/>
  <c r="U193" i="20"/>
  <c r="V193" i="20" s="1"/>
  <c r="W193" i="20" s="1"/>
  <c r="AD193" i="20"/>
  <c r="AA193" i="20"/>
  <c r="AB193" i="20" s="1"/>
  <c r="X193" i="20"/>
  <c r="Y193" i="20" s="1"/>
  <c r="Z193" i="20" s="1"/>
  <c r="P185" i="20"/>
  <c r="P127" i="20"/>
  <c r="AM127" i="20" s="1"/>
  <c r="P136" i="20"/>
  <c r="AM136" i="20" s="1"/>
  <c r="P120" i="20"/>
  <c r="AM120" i="20" s="1"/>
  <c r="P137" i="20"/>
  <c r="AM137" i="20" s="1"/>
  <c r="P178" i="20"/>
  <c r="P162" i="20"/>
  <c r="P146" i="20"/>
  <c r="AM146" i="20" s="1"/>
  <c r="P130" i="20"/>
  <c r="AM130" i="20" s="1"/>
  <c r="P122" i="20"/>
  <c r="AM122" i="20" s="1"/>
  <c r="P198" i="20"/>
  <c r="P189" i="20"/>
  <c r="S155" i="20"/>
  <c r="U155" i="20"/>
  <c r="V155" i="20" s="1"/>
  <c r="W155" i="20" s="1"/>
  <c r="AD155" i="20"/>
  <c r="AO155" i="20"/>
  <c r="AP155" i="20" s="1"/>
  <c r="P132" i="20"/>
  <c r="P158" i="20"/>
  <c r="P142" i="20"/>
  <c r="AM142" i="20" s="1"/>
  <c r="AA118" i="20"/>
  <c r="AB118" i="20" s="1"/>
  <c r="S118" i="20"/>
  <c r="U118" i="20"/>
  <c r="V118" i="20" s="1"/>
  <c r="W118" i="20" s="1"/>
  <c r="AD118" i="20"/>
  <c r="AF118" i="20"/>
  <c r="X118" i="20"/>
  <c r="Y118" i="20" s="1"/>
  <c r="Z118" i="20" s="1"/>
  <c r="P194" i="20"/>
  <c r="P186" i="20"/>
  <c r="P177" i="20"/>
  <c r="P200" i="20"/>
  <c r="P209" i="20"/>
  <c r="S143" i="20"/>
  <c r="U143" i="20"/>
  <c r="V143" i="20" s="1"/>
  <c r="W143" i="20" s="1"/>
  <c r="AD143" i="20"/>
  <c r="P119" i="20"/>
  <c r="AM119" i="20" s="1"/>
  <c r="P112" i="20"/>
  <c r="AM112" i="20" s="1"/>
  <c r="P145" i="20"/>
  <c r="AM145" i="20" s="1"/>
  <c r="P129" i="20"/>
  <c r="AM129" i="20" s="1"/>
  <c r="P121" i="20"/>
  <c r="AM121" i="20" s="1"/>
  <c r="P170" i="20"/>
  <c r="P154" i="20"/>
  <c r="AM154" i="20" s="1"/>
  <c r="P138" i="20"/>
  <c r="AM138" i="20" s="1"/>
  <c r="P114" i="20"/>
  <c r="AM114" i="20" s="1"/>
  <c r="X171" i="20"/>
  <c r="Y171" i="20" s="1"/>
  <c r="Z171" i="20" s="1"/>
  <c r="P149" i="20"/>
  <c r="P133" i="20"/>
  <c r="AM133" i="20" s="1"/>
  <c r="P125" i="20"/>
  <c r="AM125" i="20" s="1"/>
  <c r="P126" i="20"/>
  <c r="AM126" i="20" s="1"/>
  <c r="P110" i="20"/>
  <c r="AM110" i="20" s="1"/>
  <c r="P184" i="20"/>
  <c r="AO193" i="20"/>
  <c r="AP193" i="20" s="1"/>
  <c r="AH193" i="20"/>
  <c r="P175" i="20"/>
  <c r="P135" i="20"/>
  <c r="AM135" i="20" s="1"/>
  <c r="P111" i="20"/>
  <c r="AM111" i="20" s="1"/>
  <c r="P176" i="20"/>
  <c r="P160" i="20"/>
  <c r="P187" i="20"/>
  <c r="P153" i="20"/>
  <c r="AM153" i="20" s="1"/>
  <c r="P113" i="20"/>
  <c r="AM113" i="20" s="1"/>
  <c r="P190" i="20"/>
  <c r="P169" i="20"/>
  <c r="P165" i="20"/>
  <c r="AF155" i="20"/>
  <c r="AA155" i="20"/>
  <c r="AB155" i="20" s="1"/>
  <c r="AH155" i="20"/>
  <c r="X155" i="20"/>
  <c r="Y155" i="20" s="1"/>
  <c r="Z155" i="20" s="1"/>
  <c r="AH156" i="20"/>
  <c r="S156" i="20"/>
  <c r="U156" i="20"/>
  <c r="V156" i="20" s="1"/>
  <c r="W156" i="20" s="1"/>
  <c r="AD156" i="20"/>
  <c r="X156" i="20"/>
  <c r="Y156" i="20" s="1"/>
  <c r="Z156" i="20" s="1"/>
  <c r="P140" i="20"/>
  <c r="AM140" i="20" s="1"/>
  <c r="S183" i="20"/>
  <c r="U183" i="20"/>
  <c r="V183" i="20" s="1"/>
  <c r="W183" i="20" s="1"/>
  <c r="AD183" i="20"/>
  <c r="X183" i="20"/>
  <c r="Y183" i="20" s="1"/>
  <c r="Z183" i="20" s="1"/>
  <c r="P157" i="20"/>
  <c r="P141" i="20"/>
  <c r="AM141" i="20" s="1"/>
  <c r="P174" i="20"/>
  <c r="Q118" i="20"/>
  <c r="AO118" i="20"/>
  <c r="AP118" i="20" s="1"/>
  <c r="P202" i="20"/>
  <c r="P195" i="20"/>
  <c r="P192" i="20"/>
  <c r="AA143" i="20"/>
  <c r="AB143" i="20" s="1"/>
  <c r="AO143" i="20"/>
  <c r="AP143" i="20" s="1"/>
  <c r="AH143" i="20"/>
  <c r="X143" i="20"/>
  <c r="Y143" i="20" s="1"/>
  <c r="Z143" i="20" s="1"/>
  <c r="P168" i="20"/>
  <c r="P144" i="20"/>
  <c r="AM144" i="20" s="1"/>
  <c r="P128" i="20"/>
  <c r="AM128" i="20" s="1"/>
  <c r="P163" i="20"/>
  <c r="AT14" i="20"/>
  <c r="AT29" i="20"/>
  <c r="AT17" i="20"/>
  <c r="AT109" i="20"/>
  <c r="AT101" i="20"/>
  <c r="AT93" i="20"/>
  <c r="AT69" i="20"/>
  <c r="AT18" i="20"/>
  <c r="AT82" i="20"/>
  <c r="AT74" i="20"/>
  <c r="AT50" i="20"/>
  <c r="AT46" i="20"/>
  <c r="AT38" i="20"/>
  <c r="AT26" i="20"/>
  <c r="AT33" i="20"/>
  <c r="AT31" i="20"/>
  <c r="AT30" i="20"/>
  <c r="AT25" i="20"/>
  <c r="AT41" i="20"/>
  <c r="AT13" i="20"/>
  <c r="AT105" i="20"/>
  <c r="AT97" i="20"/>
  <c r="AT89" i="20"/>
  <c r="AT81" i="20"/>
  <c r="AT73" i="20"/>
  <c r="AT65" i="20"/>
  <c r="AT57" i="20"/>
  <c r="AT49" i="20"/>
  <c r="AT10" i="20"/>
  <c r="AT102" i="20"/>
  <c r="AT94" i="20"/>
  <c r="AT86" i="20"/>
  <c r="AT78" i="20"/>
  <c r="AT70" i="20"/>
  <c r="AT62" i="20"/>
  <c r="AT54" i="20"/>
  <c r="AT45" i="20"/>
  <c r="AT42" i="20"/>
  <c r="AT34" i="20"/>
  <c r="AT37" i="20"/>
  <c r="AT21" i="20"/>
  <c r="AQ75" i="20"/>
  <c r="AQ80" i="20"/>
  <c r="AJ60" i="20"/>
  <c r="AK60" i="20" s="1"/>
  <c r="AQ64" i="20"/>
  <c r="AT85" i="20"/>
  <c r="AT77" i="20"/>
  <c r="AT61" i="20"/>
  <c r="AT53" i="20"/>
  <c r="AT106" i="20"/>
  <c r="AT98" i="20"/>
  <c r="AT90" i="20"/>
  <c r="AT66" i="20"/>
  <c r="AT58" i="20"/>
  <c r="AU30" i="20"/>
  <c r="AU29" i="20"/>
  <c r="AU25" i="20"/>
  <c r="BA41" i="20"/>
  <c r="AU41" i="20"/>
  <c r="BA13" i="20"/>
  <c r="AU13" i="20"/>
  <c r="AU105" i="20"/>
  <c r="AU97" i="20"/>
  <c r="AU89" i="20"/>
  <c r="AU81" i="20"/>
  <c r="AU73" i="20"/>
  <c r="AU65" i="20"/>
  <c r="BA57" i="20"/>
  <c r="AU57" i="20"/>
  <c r="BA49" i="20"/>
  <c r="AU49" i="20"/>
  <c r="BA10" i="20"/>
  <c r="AU10" i="20"/>
  <c r="AU102" i="20"/>
  <c r="AU94" i="20"/>
  <c r="AU86" i="20"/>
  <c r="AU78" i="20"/>
  <c r="AU70" i="20"/>
  <c r="AU62" i="20"/>
  <c r="BA54" i="20"/>
  <c r="AU54" i="20"/>
  <c r="BA45" i="20"/>
  <c r="AU45" i="20"/>
  <c r="BA42" i="20"/>
  <c r="AU42" i="20"/>
  <c r="AU34" i="20"/>
  <c r="BA37" i="20"/>
  <c r="AU37" i="20"/>
  <c r="BA21" i="20"/>
  <c r="AU21" i="20"/>
  <c r="M22" i="20"/>
  <c r="AC22" i="20" s="1"/>
  <c r="AU31" i="20"/>
  <c r="BA14" i="20"/>
  <c r="AU14" i="20"/>
  <c r="BA17" i="20"/>
  <c r="AU17" i="20"/>
  <c r="AU109" i="20"/>
  <c r="AU101" i="20"/>
  <c r="AU93" i="20"/>
  <c r="AU85" i="20"/>
  <c r="AU77" i="20"/>
  <c r="AU69" i="20"/>
  <c r="AU61" i="20"/>
  <c r="BA53" i="20"/>
  <c r="AU53" i="20"/>
  <c r="BA18" i="20"/>
  <c r="AU18" i="20"/>
  <c r="AU106" i="20"/>
  <c r="AU98" i="20"/>
  <c r="AU90" i="20"/>
  <c r="AU82" i="20"/>
  <c r="AU74" i="20"/>
  <c r="AU66" i="20"/>
  <c r="BA58" i="20"/>
  <c r="AU58" i="20"/>
  <c r="BA50" i="20"/>
  <c r="AU50" i="20"/>
  <c r="BA46" i="20"/>
  <c r="AU46" i="20"/>
  <c r="BA38" i="20"/>
  <c r="AU38" i="20"/>
  <c r="AU26" i="20"/>
  <c r="AU33" i="20"/>
  <c r="M9" i="20"/>
  <c r="AC9" i="20" s="1"/>
  <c r="O30" i="20"/>
  <c r="N30" i="20"/>
  <c r="N29" i="20"/>
  <c r="O29" i="20"/>
  <c r="N25" i="20"/>
  <c r="O25" i="20"/>
  <c r="O17" i="20"/>
  <c r="N17" i="20"/>
  <c r="O109" i="20"/>
  <c r="M109" i="20" s="1"/>
  <c r="AC109" i="20" s="1"/>
  <c r="N109" i="20"/>
  <c r="O101" i="20"/>
  <c r="M101" i="20" s="1"/>
  <c r="AC101" i="20" s="1"/>
  <c r="N101" i="20"/>
  <c r="O93" i="20"/>
  <c r="M93" i="20" s="1"/>
  <c r="AC93" i="20" s="1"/>
  <c r="N93" i="20"/>
  <c r="O85" i="20"/>
  <c r="M85" i="20" s="1"/>
  <c r="AC85" i="20" s="1"/>
  <c r="N85" i="20"/>
  <c r="O77" i="20"/>
  <c r="M77" i="20" s="1"/>
  <c r="AC77" i="20" s="1"/>
  <c r="N77" i="20"/>
  <c r="O69" i="20"/>
  <c r="M69" i="20" s="1"/>
  <c r="AC69" i="20" s="1"/>
  <c r="N69" i="20"/>
  <c r="N61" i="20"/>
  <c r="O61" i="20"/>
  <c r="M61" i="20" s="1"/>
  <c r="AC61" i="20" s="1"/>
  <c r="N53" i="20"/>
  <c r="O53" i="20"/>
  <c r="M53" i="20" s="1"/>
  <c r="AC53" i="20" s="1"/>
  <c r="O18" i="20"/>
  <c r="N18" i="20"/>
  <c r="O106" i="20"/>
  <c r="M106" i="20" s="1"/>
  <c r="AC106" i="20" s="1"/>
  <c r="N106" i="20"/>
  <c r="O98" i="20"/>
  <c r="M98" i="20" s="1"/>
  <c r="AC98" i="20" s="1"/>
  <c r="N98" i="20"/>
  <c r="O90" i="20"/>
  <c r="M90" i="20" s="1"/>
  <c r="AC90" i="20" s="1"/>
  <c r="N90" i="20"/>
  <c r="O82" i="20"/>
  <c r="M82" i="20" s="1"/>
  <c r="AC82" i="20" s="1"/>
  <c r="N82" i="20"/>
  <c r="O74" i="20"/>
  <c r="M74" i="20" s="1"/>
  <c r="AC74" i="20" s="1"/>
  <c r="N74" i="20"/>
  <c r="O66" i="20"/>
  <c r="M66" i="20" s="1"/>
  <c r="AC66" i="20" s="1"/>
  <c r="N66" i="20"/>
  <c r="O58" i="20"/>
  <c r="M58" i="20" s="1"/>
  <c r="AC58" i="20" s="1"/>
  <c r="N58" i="20"/>
  <c r="O50" i="20"/>
  <c r="M50" i="20" s="1"/>
  <c r="AC50" i="20" s="1"/>
  <c r="N50" i="20"/>
  <c r="O46" i="20"/>
  <c r="M46" i="20" s="1"/>
  <c r="AC46" i="20" s="1"/>
  <c r="N46" i="20"/>
  <c r="O38" i="20"/>
  <c r="M38" i="20" s="1"/>
  <c r="AC38" i="20" s="1"/>
  <c r="N38" i="20"/>
  <c r="O26" i="20"/>
  <c r="N26" i="20"/>
  <c r="N33" i="20"/>
  <c r="O33" i="20"/>
  <c r="N31" i="20"/>
  <c r="O31" i="20"/>
  <c r="O14" i="20"/>
  <c r="N14" i="20"/>
  <c r="N41" i="20"/>
  <c r="O41" i="20"/>
  <c r="M41" i="20" s="1"/>
  <c r="AC41" i="20" s="1"/>
  <c r="O13" i="20"/>
  <c r="N13" i="20"/>
  <c r="O105" i="20"/>
  <c r="M105" i="20" s="1"/>
  <c r="AC105" i="20" s="1"/>
  <c r="N105" i="20"/>
  <c r="O97" i="20"/>
  <c r="M97" i="20" s="1"/>
  <c r="AC97" i="20" s="1"/>
  <c r="N97" i="20"/>
  <c r="O89" i="20"/>
  <c r="M89" i="20" s="1"/>
  <c r="AC89" i="20" s="1"/>
  <c r="N89" i="20"/>
  <c r="O81" i="20"/>
  <c r="M81" i="20" s="1"/>
  <c r="AC81" i="20" s="1"/>
  <c r="N81" i="20"/>
  <c r="O73" i="20"/>
  <c r="M73" i="20" s="1"/>
  <c r="AC73" i="20" s="1"/>
  <c r="N73" i="20"/>
  <c r="N65" i="20"/>
  <c r="O65" i="20"/>
  <c r="M65" i="20" s="1"/>
  <c r="AC65" i="20" s="1"/>
  <c r="N57" i="20"/>
  <c r="O57" i="20"/>
  <c r="M57" i="20" s="1"/>
  <c r="AC57" i="20" s="1"/>
  <c r="N49" i="20"/>
  <c r="O49" i="20"/>
  <c r="M49" i="20" s="1"/>
  <c r="AC49" i="20" s="1"/>
  <c r="O10" i="20"/>
  <c r="N10" i="20"/>
  <c r="O102" i="20"/>
  <c r="M102" i="20" s="1"/>
  <c r="AC102" i="20" s="1"/>
  <c r="N102" i="20"/>
  <c r="O94" i="20"/>
  <c r="M94" i="20" s="1"/>
  <c r="AC94" i="20" s="1"/>
  <c r="N94" i="20"/>
  <c r="O86" i="20"/>
  <c r="M86" i="20" s="1"/>
  <c r="AC86" i="20" s="1"/>
  <c r="N86" i="20"/>
  <c r="O78" i="20"/>
  <c r="M78" i="20" s="1"/>
  <c r="AC78" i="20" s="1"/>
  <c r="N78" i="20"/>
  <c r="O70" i="20"/>
  <c r="M70" i="20" s="1"/>
  <c r="AC70" i="20" s="1"/>
  <c r="N70" i="20"/>
  <c r="O62" i="20"/>
  <c r="M62" i="20" s="1"/>
  <c r="AC62" i="20" s="1"/>
  <c r="N62" i="20"/>
  <c r="O54" i="20"/>
  <c r="M54" i="20" s="1"/>
  <c r="AC54" i="20" s="1"/>
  <c r="N54" i="20"/>
  <c r="N45" i="20"/>
  <c r="O45" i="20"/>
  <c r="M45" i="20" s="1"/>
  <c r="AC45" i="20" s="1"/>
  <c r="O42" i="20"/>
  <c r="M42" i="20" s="1"/>
  <c r="AC42" i="20" s="1"/>
  <c r="N42" i="20"/>
  <c r="O34" i="20"/>
  <c r="M34" i="20" s="1"/>
  <c r="AC34" i="20" s="1"/>
  <c r="N34" i="20"/>
  <c r="N37" i="20"/>
  <c r="O37" i="20"/>
  <c r="M37" i="20" s="1"/>
  <c r="AC37" i="20" s="1"/>
  <c r="O21" i="20"/>
  <c r="N21" i="20"/>
  <c r="N22" i="20"/>
  <c r="P22" i="20" s="1"/>
  <c r="C78" i="2"/>
  <c r="B190" i="2"/>
  <c r="B191" i="2"/>
  <c r="B85" i="2"/>
  <c r="F85" i="2"/>
  <c r="E85" i="2"/>
  <c r="B196" i="2"/>
  <c r="B174" i="2"/>
  <c r="B264" i="2"/>
  <c r="F266" i="2"/>
  <c r="B266" i="2"/>
  <c r="D408" i="2"/>
  <c r="D407" i="2"/>
  <c r="B129" i="2"/>
  <c r="K134" i="2" s="1"/>
  <c r="M134" i="2" s="1"/>
  <c r="B134" i="2"/>
  <c r="L104" i="2"/>
  <c r="P104" i="2" s="1"/>
  <c r="K104" i="2"/>
  <c r="E20" i="1"/>
  <c r="F92" i="2"/>
  <c r="B162" i="2"/>
  <c r="B92" i="2"/>
  <c r="E23" i="1" s="1"/>
  <c r="B104" i="2"/>
  <c r="B118" i="2" s="1"/>
  <c r="B151" i="2"/>
  <c r="K317" i="2"/>
  <c r="B276" i="2"/>
  <c r="B283" i="2"/>
  <c r="B274" i="2"/>
  <c r="B313" i="2"/>
  <c r="K5" i="17" s="1"/>
  <c r="B282" i="2"/>
  <c r="K150" i="2"/>
  <c r="K149" i="2"/>
  <c r="L150" i="2"/>
  <c r="L149" i="2"/>
  <c r="C79" i="2"/>
  <c r="B79" i="2"/>
  <c r="B78" i="2"/>
  <c r="A452" i="2"/>
  <c r="C69" i="16"/>
  <c r="D69" i="16" s="1"/>
  <c r="B415" i="2"/>
  <c r="B416" i="2" s="1"/>
  <c r="P55" i="20" l="1"/>
  <c r="AM55" i="20" s="1"/>
  <c r="P59" i="20"/>
  <c r="AM59" i="20" s="1"/>
  <c r="P68" i="20"/>
  <c r="P56" i="20"/>
  <c r="AM56" i="20" s="1"/>
  <c r="P32" i="20"/>
  <c r="AD32" i="20" s="1"/>
  <c r="P27" i="20"/>
  <c r="AD27" i="20" s="1"/>
  <c r="P40" i="20"/>
  <c r="AF40" i="20" s="1"/>
  <c r="B170" i="2"/>
  <c r="B102" i="2"/>
  <c r="P35" i="20"/>
  <c r="AO35" i="20" s="1"/>
  <c r="AP35" i="20" s="1"/>
  <c r="AQ60" i="20"/>
  <c r="AJ64" i="20"/>
  <c r="AK64" i="20" s="1"/>
  <c r="AJ59" i="20"/>
  <c r="AK59" i="20" s="1"/>
  <c r="P47" i="20"/>
  <c r="AA47" i="20" s="1"/>
  <c r="AB47" i="20" s="1"/>
  <c r="P48" i="20"/>
  <c r="AQ48" i="20" s="1"/>
  <c r="AQ63" i="20"/>
  <c r="P43" i="20"/>
  <c r="AQ43" i="20" s="1"/>
  <c r="P24" i="20"/>
  <c r="AJ24" i="20" s="1"/>
  <c r="AK24" i="20" s="1"/>
  <c r="X196" i="20"/>
  <c r="Y196" i="20" s="1"/>
  <c r="Z196" i="20" s="1"/>
  <c r="X173" i="20"/>
  <c r="Y173" i="20" s="1"/>
  <c r="Z173" i="20" s="1"/>
  <c r="U173" i="20"/>
  <c r="V173" i="20" s="1"/>
  <c r="W173" i="20" s="1"/>
  <c r="Q196" i="20"/>
  <c r="R196" i="20" s="1"/>
  <c r="AH173" i="20"/>
  <c r="P15" i="20"/>
  <c r="AD15" i="20" s="1"/>
  <c r="U167" i="20"/>
  <c r="V167" i="20" s="1"/>
  <c r="W167" i="20" s="1"/>
  <c r="AF146" i="20"/>
  <c r="AG146" i="20" s="1"/>
  <c r="AA172" i="20"/>
  <c r="AB172" i="20" s="1"/>
  <c r="U95" i="20"/>
  <c r="V95" i="20" s="1"/>
  <c r="W95" i="20" s="1"/>
  <c r="S103" i="20"/>
  <c r="AM64" i="20"/>
  <c r="AO64" i="20"/>
  <c r="AP64" i="20" s="1"/>
  <c r="AR64" i="20" s="1"/>
  <c r="AH151" i="20"/>
  <c r="S179" i="20"/>
  <c r="AA151" i="20"/>
  <c r="AB151" i="20" s="1"/>
  <c r="Q152" i="20"/>
  <c r="R152" i="20" s="1"/>
  <c r="P16" i="20"/>
  <c r="AJ16" i="20" s="1"/>
  <c r="AH139" i="20"/>
  <c r="P11" i="20"/>
  <c r="AD11" i="20" s="1"/>
  <c r="AO92" i="20"/>
  <c r="AP92" i="20" s="1"/>
  <c r="AR92" i="20" s="1"/>
  <c r="AF92" i="20"/>
  <c r="AH20" i="20"/>
  <c r="Q64" i="20"/>
  <c r="AS64" i="20" s="1"/>
  <c r="Q95" i="20"/>
  <c r="AS95" i="20" s="1"/>
  <c r="B149" i="2"/>
  <c r="AD152" i="20"/>
  <c r="AE152" i="20" s="1"/>
  <c r="P28" i="20"/>
  <c r="X28" i="20" s="1"/>
  <c r="Y28" i="20" s="1"/>
  <c r="Z28" i="20" s="1"/>
  <c r="X9" i="20"/>
  <c r="Y9" i="20" s="1"/>
  <c r="Z9" i="20" s="1"/>
  <c r="AD159" i="20"/>
  <c r="AD181" i="20"/>
  <c r="AA167" i="20"/>
  <c r="AB167" i="20" s="1"/>
  <c r="Q179" i="20"/>
  <c r="R179" i="20" s="1"/>
  <c r="B198" i="2"/>
  <c r="E54" i="1" s="1"/>
  <c r="AR118" i="20"/>
  <c r="AD204" i="20"/>
  <c r="S80" i="20"/>
  <c r="AO87" i="20"/>
  <c r="AP87" i="20" s="1"/>
  <c r="X80" i="20"/>
  <c r="Y80" i="20" s="1"/>
  <c r="Z80" i="20" s="1"/>
  <c r="AO139" i="20"/>
  <c r="AP139" i="20" s="1"/>
  <c r="X206" i="20"/>
  <c r="Y206" i="20" s="1"/>
  <c r="Z206" i="20" s="1"/>
  <c r="AD206" i="20"/>
  <c r="X191" i="20"/>
  <c r="Y191" i="20" s="1"/>
  <c r="Z191" i="20" s="1"/>
  <c r="AD191" i="20"/>
  <c r="AQ70" i="21"/>
  <c r="U69" i="21"/>
  <c r="V69" i="21" s="1"/>
  <c r="W69" i="21" s="1"/>
  <c r="AO69" i="21"/>
  <c r="AP69" i="21" s="1"/>
  <c r="P19" i="20"/>
  <c r="AD19" i="20" s="1"/>
  <c r="AD76" i="20"/>
  <c r="Q84" i="20"/>
  <c r="AS84" i="20" s="1"/>
  <c r="Q71" i="20"/>
  <c r="AS71" i="20" s="1"/>
  <c r="AF103" i="20"/>
  <c r="AO103" i="20"/>
  <c r="AP103" i="20" s="1"/>
  <c r="AH159" i="20"/>
  <c r="S172" i="20"/>
  <c r="AA206" i="20"/>
  <c r="AB206" i="20" s="1"/>
  <c r="AH179" i="20"/>
  <c r="AD179" i="20"/>
  <c r="T193" i="20"/>
  <c r="BI193" i="20" s="1"/>
  <c r="X167" i="20"/>
  <c r="Y167" i="20" s="1"/>
  <c r="Z167" i="20" s="1"/>
  <c r="S167" i="20"/>
  <c r="T167" i="20" s="1"/>
  <c r="BI167" i="20" s="1"/>
  <c r="AA179" i="20"/>
  <c r="AB179" i="20" s="1"/>
  <c r="AS193" i="20"/>
  <c r="AH204" i="20"/>
  <c r="AF167" i="20"/>
  <c r="AV167" i="20" s="1"/>
  <c r="BL167" i="20" s="1"/>
  <c r="Q206" i="20"/>
  <c r="AS206" i="20" s="1"/>
  <c r="AH96" i="20"/>
  <c r="AF96" i="20"/>
  <c r="AG96" i="20" s="1"/>
  <c r="AO95" i="20"/>
  <c r="AP95" i="20" s="1"/>
  <c r="AR95" i="20" s="1"/>
  <c r="AF152" i="20"/>
  <c r="AG152" i="20" s="1"/>
  <c r="AA173" i="20"/>
  <c r="AB173" i="20" s="1"/>
  <c r="X139" i="20"/>
  <c r="Y139" i="20" s="1"/>
  <c r="Z139" i="20" s="1"/>
  <c r="AS155" i="20"/>
  <c r="AO196" i="20"/>
  <c r="AP196" i="20" s="1"/>
  <c r="AO151" i="20"/>
  <c r="AP151" i="20" s="1"/>
  <c r="AR151" i="20" s="1"/>
  <c r="S152" i="20"/>
  <c r="S173" i="20"/>
  <c r="U139" i="20"/>
  <c r="V139" i="20" s="1"/>
  <c r="W139" i="20" s="1"/>
  <c r="U196" i="20"/>
  <c r="V196" i="20" s="1"/>
  <c r="W196" i="20" s="1"/>
  <c r="AD151" i="20"/>
  <c r="AF191" i="20"/>
  <c r="AG191" i="20" s="1"/>
  <c r="S191" i="20"/>
  <c r="AF196" i="20"/>
  <c r="AG196" i="20" s="1"/>
  <c r="AI196" i="20" s="1"/>
  <c r="AD80" i="20"/>
  <c r="S64" i="20"/>
  <c r="AH80" i="20"/>
  <c r="Q80" i="20"/>
  <c r="AS80" i="20" s="1"/>
  <c r="M19" i="20"/>
  <c r="AC19" i="20" s="1"/>
  <c r="AA96" i="20"/>
  <c r="AB96" i="20" s="1"/>
  <c r="AE96" i="20" s="1"/>
  <c r="AF95" i="20"/>
  <c r="AO152" i="20"/>
  <c r="AP152" i="20" s="1"/>
  <c r="AR143" i="20"/>
  <c r="AO173" i="20"/>
  <c r="AP173" i="20" s="1"/>
  <c r="AA139" i="20"/>
  <c r="AB139" i="20" s="1"/>
  <c r="AF139" i="20"/>
  <c r="AV139" i="20" s="1"/>
  <c r="BL139" i="20" s="1"/>
  <c r="AA196" i="20"/>
  <c r="AB196" i="20" s="1"/>
  <c r="AF151" i="20"/>
  <c r="AG151" i="20" s="1"/>
  <c r="AR193" i="20"/>
  <c r="X152" i="20"/>
  <c r="Y152" i="20" s="1"/>
  <c r="Z152" i="20" s="1"/>
  <c r="U152" i="20"/>
  <c r="V152" i="20" s="1"/>
  <c r="W152" i="20" s="1"/>
  <c r="AH152" i="20"/>
  <c r="AD173" i="20"/>
  <c r="AD139" i="20"/>
  <c r="S139" i="20"/>
  <c r="T155" i="20"/>
  <c r="BI155" i="20" s="1"/>
  <c r="AD196" i="20"/>
  <c r="S196" i="20"/>
  <c r="U151" i="20"/>
  <c r="V151" i="20" s="1"/>
  <c r="W151" i="20" s="1"/>
  <c r="AA191" i="20"/>
  <c r="AB191" i="20" s="1"/>
  <c r="AH191" i="20"/>
  <c r="U191" i="20"/>
  <c r="V191" i="20" s="1"/>
  <c r="W191" i="20" s="1"/>
  <c r="AR156" i="20"/>
  <c r="AR116" i="20"/>
  <c r="AD108" i="20"/>
  <c r="AD103" i="20"/>
  <c r="AF76" i="20"/>
  <c r="AF108" i="20"/>
  <c r="AF87" i="20"/>
  <c r="AV87" i="20" s="1"/>
  <c r="BL87" i="20" s="1"/>
  <c r="M32" i="20"/>
  <c r="AF32" i="20" s="1"/>
  <c r="AG32" i="20" s="1"/>
  <c r="AA87" i="20"/>
  <c r="AB87" i="20" s="1"/>
  <c r="AA103" i="20"/>
  <c r="AB103" i="20" s="1"/>
  <c r="AO108" i="20"/>
  <c r="AP108" i="20" s="1"/>
  <c r="AR108" i="20" s="1"/>
  <c r="P39" i="20"/>
  <c r="AM39" i="20" s="1"/>
  <c r="AF159" i="20"/>
  <c r="AV159" i="20" s="1"/>
  <c r="BL159" i="20" s="1"/>
  <c r="AD172" i="20"/>
  <c r="AH172" i="20"/>
  <c r="AI172" i="20" s="1"/>
  <c r="BF172" i="20" s="1"/>
  <c r="AF181" i="20"/>
  <c r="AG181" i="20" s="1"/>
  <c r="AI181" i="20" s="1"/>
  <c r="BF181" i="20" s="1"/>
  <c r="AF204" i="20"/>
  <c r="AV204" i="20" s="1"/>
  <c r="BL204" i="20" s="1"/>
  <c r="AO206" i="20"/>
  <c r="AP206" i="20" s="1"/>
  <c r="AF206" i="20"/>
  <c r="AV206" i="20" s="1"/>
  <c r="BL206" i="20" s="1"/>
  <c r="X179" i="20"/>
  <c r="Y179" i="20" s="1"/>
  <c r="Z179" i="20" s="1"/>
  <c r="AO179" i="20"/>
  <c r="AP179" i="20" s="1"/>
  <c r="AR155" i="20"/>
  <c r="X181" i="20"/>
  <c r="Y181" i="20" s="1"/>
  <c r="Z181" i="20" s="1"/>
  <c r="U181" i="20"/>
  <c r="V181" i="20" s="1"/>
  <c r="W181" i="20" s="1"/>
  <c r="U206" i="20"/>
  <c r="V206" i="20" s="1"/>
  <c r="W206" i="20" s="1"/>
  <c r="S206" i="20"/>
  <c r="AH167" i="20"/>
  <c r="AO167" i="20"/>
  <c r="AP167" i="20" s="1"/>
  <c r="AD167" i="20"/>
  <c r="AS156" i="20"/>
  <c r="AR183" i="20"/>
  <c r="P12" i="20"/>
  <c r="AO12" i="20" s="1"/>
  <c r="AP12" i="20" s="1"/>
  <c r="AH32" i="20"/>
  <c r="AL170" i="20"/>
  <c r="AL121" i="20"/>
  <c r="AL163" i="20"/>
  <c r="AL128" i="20"/>
  <c r="AL152" i="20"/>
  <c r="AL168" i="20"/>
  <c r="AL143" i="20"/>
  <c r="AN143" i="20" s="1"/>
  <c r="AL159" i="20"/>
  <c r="AL209" i="20"/>
  <c r="AL173" i="20"/>
  <c r="AL192" i="20"/>
  <c r="AL200" i="20"/>
  <c r="AL195" i="20"/>
  <c r="AL177" i="20"/>
  <c r="AL202" i="20"/>
  <c r="AL142" i="20"/>
  <c r="AL132" i="20"/>
  <c r="AL140" i="20"/>
  <c r="AL172" i="20"/>
  <c r="AL139" i="20"/>
  <c r="AL181" i="20"/>
  <c r="AL189" i="20"/>
  <c r="AL165" i="20"/>
  <c r="AL196" i="20"/>
  <c r="AL204" i="20"/>
  <c r="AL169" i="20"/>
  <c r="AL114" i="20"/>
  <c r="AL138" i="20"/>
  <c r="AL154" i="20"/>
  <c r="AL129" i="20"/>
  <c r="AL145" i="20"/>
  <c r="AL112" i="20"/>
  <c r="AL119" i="20"/>
  <c r="AL118" i="20"/>
  <c r="AN118" i="20" s="1"/>
  <c r="AL158" i="20"/>
  <c r="AL157" i="20"/>
  <c r="AL156" i="20"/>
  <c r="AN156" i="20" s="1"/>
  <c r="AL155" i="20"/>
  <c r="AN155" i="20" s="1"/>
  <c r="AL190" i="20"/>
  <c r="AL198" i="20"/>
  <c r="AL206" i="20"/>
  <c r="AL162" i="20"/>
  <c r="AL178" i="20"/>
  <c r="AL179" i="20"/>
  <c r="AL160" i="20"/>
  <c r="AL176" i="20"/>
  <c r="AL111" i="20"/>
  <c r="AL135" i="20"/>
  <c r="AL175" i="20"/>
  <c r="AL110" i="20"/>
  <c r="AL134" i="20"/>
  <c r="AL150" i="20"/>
  <c r="AL149" i="20"/>
  <c r="AL164" i="20"/>
  <c r="AL123" i="20"/>
  <c r="AL147" i="20"/>
  <c r="AL167" i="20"/>
  <c r="AL197" i="20"/>
  <c r="AL205" i="20"/>
  <c r="AL180" i="20"/>
  <c r="AL188" i="20"/>
  <c r="AL191" i="20"/>
  <c r="AL199" i="20"/>
  <c r="AL207" i="20"/>
  <c r="AL182" i="20"/>
  <c r="AL84" i="20"/>
  <c r="AL96" i="20"/>
  <c r="AL79" i="20"/>
  <c r="AL95" i="20"/>
  <c r="AN95" i="20" s="1"/>
  <c r="AL144" i="20"/>
  <c r="AL186" i="20"/>
  <c r="AL194" i="20"/>
  <c r="AL174" i="20"/>
  <c r="AL141" i="20"/>
  <c r="AL183" i="20"/>
  <c r="AN183" i="20" s="1"/>
  <c r="AL122" i="20"/>
  <c r="AL130" i="20"/>
  <c r="AL146" i="20"/>
  <c r="AL113" i="20"/>
  <c r="AL137" i="20"/>
  <c r="AL153" i="20"/>
  <c r="AL187" i="20"/>
  <c r="AL120" i="20"/>
  <c r="AL136" i="20"/>
  <c r="AL127" i="20"/>
  <c r="AL151" i="20"/>
  <c r="AL185" i="20"/>
  <c r="AL193" i="20"/>
  <c r="AN193" i="20" s="1"/>
  <c r="AL201" i="20"/>
  <c r="AL184" i="20"/>
  <c r="AL208" i="20"/>
  <c r="AL203" i="20"/>
  <c r="AL161" i="20"/>
  <c r="AL126" i="20"/>
  <c r="AL166" i="20"/>
  <c r="AL117" i="20"/>
  <c r="AL125" i="20"/>
  <c r="AL133" i="20"/>
  <c r="AL171" i="20"/>
  <c r="AN171" i="20" s="1"/>
  <c r="AL116" i="20"/>
  <c r="AN116" i="20" s="1"/>
  <c r="AL124" i="20"/>
  <c r="AL148" i="20"/>
  <c r="AL115" i="20"/>
  <c r="AL131" i="20"/>
  <c r="AL108" i="20"/>
  <c r="AN108" i="20" s="1"/>
  <c r="AL103" i="20"/>
  <c r="AL92" i="20"/>
  <c r="AN92" i="20" s="1"/>
  <c r="AL83" i="20"/>
  <c r="AL101" i="20"/>
  <c r="AL86" i="20"/>
  <c r="AL89" i="20"/>
  <c r="AL82" i="20"/>
  <c r="AL90" i="20"/>
  <c r="AL85" i="20"/>
  <c r="X163" i="20"/>
  <c r="Y163" i="20" s="1"/>
  <c r="Z163" i="20" s="1"/>
  <c r="AM163" i="20"/>
  <c r="AQ163" i="20"/>
  <c r="X195" i="20"/>
  <c r="Y195" i="20" s="1"/>
  <c r="Z195" i="20" s="1"/>
  <c r="AM195" i="20"/>
  <c r="AQ195" i="20"/>
  <c r="X174" i="20"/>
  <c r="Y174" i="20" s="1"/>
  <c r="Z174" i="20" s="1"/>
  <c r="AQ174" i="20"/>
  <c r="AM174" i="20"/>
  <c r="AJ174" i="20"/>
  <c r="AK174" i="20" s="1"/>
  <c r="X157" i="20"/>
  <c r="Y157" i="20" s="1"/>
  <c r="Z157" i="20" s="1"/>
  <c r="AM157" i="20"/>
  <c r="AQ157" i="20"/>
  <c r="AJ157" i="20"/>
  <c r="AK157" i="20" s="1"/>
  <c r="AF165" i="20"/>
  <c r="AG165" i="20" s="1"/>
  <c r="AM165" i="20"/>
  <c r="AQ165" i="20"/>
  <c r="X169" i="20"/>
  <c r="Y169" i="20" s="1"/>
  <c r="Z169" i="20" s="1"/>
  <c r="AM169" i="20"/>
  <c r="AQ169" i="20"/>
  <c r="X187" i="20"/>
  <c r="Y187" i="20" s="1"/>
  <c r="Z187" i="20" s="1"/>
  <c r="AM187" i="20"/>
  <c r="AQ187" i="20"/>
  <c r="AF176" i="20"/>
  <c r="AG176" i="20" s="1"/>
  <c r="AM176" i="20"/>
  <c r="AQ176" i="20"/>
  <c r="AA175" i="20"/>
  <c r="AB175" i="20" s="1"/>
  <c r="AM175" i="20"/>
  <c r="AQ175" i="20"/>
  <c r="AJ149" i="20"/>
  <c r="AK149" i="20" s="1"/>
  <c r="AM149" i="20"/>
  <c r="X200" i="20"/>
  <c r="Y200" i="20" s="1"/>
  <c r="Z200" i="20" s="1"/>
  <c r="AM200" i="20"/>
  <c r="AQ200" i="20"/>
  <c r="X186" i="20"/>
  <c r="Y186" i="20" s="1"/>
  <c r="Z186" i="20" s="1"/>
  <c r="AM186" i="20"/>
  <c r="AQ186" i="20"/>
  <c r="AJ132" i="20"/>
  <c r="AK132" i="20" s="1"/>
  <c r="AM132" i="20"/>
  <c r="X189" i="20"/>
  <c r="Y189" i="20" s="1"/>
  <c r="Z189" i="20" s="1"/>
  <c r="AM189" i="20"/>
  <c r="AQ189" i="20"/>
  <c r="X198" i="20"/>
  <c r="Y198" i="20" s="1"/>
  <c r="Z198" i="20" s="1"/>
  <c r="AM198" i="20"/>
  <c r="AQ198" i="20"/>
  <c r="X178" i="20"/>
  <c r="Y178" i="20" s="1"/>
  <c r="Z178" i="20" s="1"/>
  <c r="AM178" i="20"/>
  <c r="AQ178" i="20"/>
  <c r="X201" i="20"/>
  <c r="Y201" i="20" s="1"/>
  <c r="Z201" i="20" s="1"/>
  <c r="AM201" i="20"/>
  <c r="AQ201" i="20"/>
  <c r="AJ201" i="20"/>
  <c r="AK201" i="20" s="1"/>
  <c r="AM164" i="20"/>
  <c r="AQ164" i="20"/>
  <c r="X197" i="20"/>
  <c r="Y197" i="20" s="1"/>
  <c r="Z197" i="20" s="1"/>
  <c r="AM197" i="20"/>
  <c r="AQ197" i="20"/>
  <c r="X180" i="20"/>
  <c r="Y180" i="20" s="1"/>
  <c r="Z180" i="20" s="1"/>
  <c r="AM180" i="20"/>
  <c r="AJ180" i="20"/>
  <c r="AK180" i="20" s="1"/>
  <c r="AQ180" i="20"/>
  <c r="X182" i="20"/>
  <c r="Y182" i="20" s="1"/>
  <c r="Z182" i="20" s="1"/>
  <c r="AM182" i="20"/>
  <c r="AQ182" i="20"/>
  <c r="X203" i="20"/>
  <c r="Y203" i="20" s="1"/>
  <c r="Z203" i="20" s="1"/>
  <c r="AM203" i="20"/>
  <c r="AQ203" i="20"/>
  <c r="AJ203" i="20"/>
  <c r="AK203" i="20" s="1"/>
  <c r="X166" i="20"/>
  <c r="Y166" i="20" s="1"/>
  <c r="Z166" i="20" s="1"/>
  <c r="AM166" i="20"/>
  <c r="AQ166" i="20"/>
  <c r="AJ166" i="20"/>
  <c r="AK166" i="20" s="1"/>
  <c r="X188" i="20"/>
  <c r="Y188" i="20" s="1"/>
  <c r="Z188" i="20" s="1"/>
  <c r="AM188" i="20"/>
  <c r="AQ188" i="20"/>
  <c r="AL107" i="20"/>
  <c r="AL88" i="20"/>
  <c r="AL100" i="20"/>
  <c r="AL99" i="20"/>
  <c r="Q159" i="20"/>
  <c r="AM159" i="20"/>
  <c r="AQ159" i="20"/>
  <c r="Q172" i="20"/>
  <c r="AM172" i="20"/>
  <c r="AQ172" i="20"/>
  <c r="AM181" i="20"/>
  <c r="AQ181" i="20"/>
  <c r="AM204" i="20"/>
  <c r="AQ204" i="20"/>
  <c r="AJ198" i="20"/>
  <c r="AK198" i="20" s="1"/>
  <c r="AJ178" i="20"/>
  <c r="AK178" i="20" s="1"/>
  <c r="Q151" i="20"/>
  <c r="AM151" i="20"/>
  <c r="AJ164" i="20"/>
  <c r="AK164" i="20" s="1"/>
  <c r="AJ163" i="20"/>
  <c r="AK163" i="20" s="1"/>
  <c r="AJ200" i="20"/>
  <c r="AK200" i="20" s="1"/>
  <c r="AJ186" i="20"/>
  <c r="AK186" i="20" s="1"/>
  <c r="AJ188" i="20"/>
  <c r="AK188" i="20" s="1"/>
  <c r="AJ182" i="20"/>
  <c r="AK182" i="20" s="1"/>
  <c r="U32" i="20"/>
  <c r="V32" i="20" s="1"/>
  <c r="W32" i="20" s="1"/>
  <c r="AL109" i="20"/>
  <c r="P66" i="20"/>
  <c r="AM66" i="20" s="1"/>
  <c r="P74" i="20"/>
  <c r="AM74" i="20" s="1"/>
  <c r="P82" i="20"/>
  <c r="AM82" i="20" s="1"/>
  <c r="P90" i="20"/>
  <c r="S90" i="20" s="1"/>
  <c r="P98" i="20"/>
  <c r="U98" i="20" s="1"/>
  <c r="V98" i="20" s="1"/>
  <c r="W98" i="20" s="1"/>
  <c r="P106" i="20"/>
  <c r="U106" i="20" s="1"/>
  <c r="V106" i="20" s="1"/>
  <c r="W106" i="20" s="1"/>
  <c r="P69" i="20"/>
  <c r="P77" i="20"/>
  <c r="AM77" i="20" s="1"/>
  <c r="P85" i="20"/>
  <c r="P93" i="20"/>
  <c r="AO93" i="20" s="1"/>
  <c r="AP93" i="20" s="1"/>
  <c r="P101" i="20"/>
  <c r="P109" i="20"/>
  <c r="AD109" i="20" s="1"/>
  <c r="AL94" i="20"/>
  <c r="AL97" i="20"/>
  <c r="AA84" i="20"/>
  <c r="AB84" i="20" s="1"/>
  <c r="AA100" i="20"/>
  <c r="AB100" i="20" s="1"/>
  <c r="AL98" i="20"/>
  <c r="Q100" i="20"/>
  <c r="AS100" i="20" s="1"/>
  <c r="AL106" i="20"/>
  <c r="AL102" i="20"/>
  <c r="AL93" i="20"/>
  <c r="AQ59" i="20"/>
  <c r="AJ63" i="20"/>
  <c r="AK63" i="20" s="1"/>
  <c r="AQ76" i="20"/>
  <c r="AO84" i="20"/>
  <c r="AP84" i="20" s="1"/>
  <c r="AL105" i="20"/>
  <c r="AL81" i="20"/>
  <c r="P52" i="20"/>
  <c r="AF52" i="20" s="1"/>
  <c r="AG52" i="20" s="1"/>
  <c r="X168" i="20"/>
  <c r="Y168" i="20" s="1"/>
  <c r="Z168" i="20" s="1"/>
  <c r="AM168" i="20"/>
  <c r="AQ168" i="20"/>
  <c r="AA159" i="20"/>
  <c r="AB159" i="20" s="1"/>
  <c r="X192" i="20"/>
  <c r="Y192" i="20" s="1"/>
  <c r="Z192" i="20" s="1"/>
  <c r="AM192" i="20"/>
  <c r="AQ192" i="20"/>
  <c r="AA202" i="20"/>
  <c r="AB202" i="20" s="1"/>
  <c r="AM202" i="20"/>
  <c r="AQ202" i="20"/>
  <c r="X172" i="20"/>
  <c r="Y172" i="20" s="1"/>
  <c r="Z172" i="20" s="1"/>
  <c r="U172" i="20"/>
  <c r="V172" i="20" s="1"/>
  <c r="W172" i="20" s="1"/>
  <c r="Q181" i="20"/>
  <c r="R181" i="20" s="1"/>
  <c r="AA181" i="20"/>
  <c r="AB181" i="20" s="1"/>
  <c r="X204" i="20"/>
  <c r="Y204" i="20" s="1"/>
  <c r="Z204" i="20" s="1"/>
  <c r="AA204" i="20"/>
  <c r="AB204" i="20" s="1"/>
  <c r="X190" i="20"/>
  <c r="Y190" i="20" s="1"/>
  <c r="Z190" i="20" s="1"/>
  <c r="AM190" i="20"/>
  <c r="AQ190" i="20"/>
  <c r="AJ190" i="20"/>
  <c r="AK190" i="20" s="1"/>
  <c r="AA160" i="20"/>
  <c r="AB160" i="20" s="1"/>
  <c r="AM160" i="20"/>
  <c r="AQ160" i="20"/>
  <c r="X151" i="20"/>
  <c r="Y151" i="20" s="1"/>
  <c r="Z151" i="20" s="1"/>
  <c r="AM184" i="20"/>
  <c r="AQ184" i="20"/>
  <c r="AJ184" i="20"/>
  <c r="AK184" i="20" s="1"/>
  <c r="X170" i="20"/>
  <c r="Y170" i="20" s="1"/>
  <c r="Z170" i="20" s="1"/>
  <c r="AM170" i="20"/>
  <c r="AQ170" i="20"/>
  <c r="X159" i="20"/>
  <c r="Y159" i="20" s="1"/>
  <c r="Z159" i="20" s="1"/>
  <c r="U159" i="20"/>
  <c r="V159" i="20" s="1"/>
  <c r="W159" i="20" s="1"/>
  <c r="X209" i="20"/>
  <c r="Y209" i="20" s="1"/>
  <c r="Z209" i="20" s="1"/>
  <c r="AM209" i="20"/>
  <c r="AQ209" i="20"/>
  <c r="X177" i="20"/>
  <c r="Y177" i="20" s="1"/>
  <c r="Z177" i="20" s="1"/>
  <c r="AM177" i="20"/>
  <c r="AQ177" i="20"/>
  <c r="X194" i="20"/>
  <c r="Y194" i="20" s="1"/>
  <c r="Z194" i="20" s="1"/>
  <c r="AM194" i="20"/>
  <c r="AQ194" i="20"/>
  <c r="X158" i="20"/>
  <c r="Y158" i="20" s="1"/>
  <c r="Z158" i="20" s="1"/>
  <c r="AQ158" i="20"/>
  <c r="AM158" i="20"/>
  <c r="AJ158" i="20"/>
  <c r="AK158" i="20" s="1"/>
  <c r="S181" i="20"/>
  <c r="U204" i="20"/>
  <c r="V204" i="20" s="1"/>
  <c r="W204" i="20" s="1"/>
  <c r="Q204" i="20"/>
  <c r="R204" i="20" s="1"/>
  <c r="T204" i="20" s="1"/>
  <c r="X162" i="20"/>
  <c r="Y162" i="20" s="1"/>
  <c r="Z162" i="20" s="1"/>
  <c r="AM162" i="20"/>
  <c r="AQ162" i="20"/>
  <c r="X185" i="20"/>
  <c r="Y185" i="20" s="1"/>
  <c r="Z185" i="20" s="1"/>
  <c r="AM185" i="20"/>
  <c r="AQ185" i="20"/>
  <c r="AQ148" i="20"/>
  <c r="AM148" i="20"/>
  <c r="X205" i="20"/>
  <c r="Y205" i="20" s="1"/>
  <c r="Z205" i="20" s="1"/>
  <c r="AM205" i="20"/>
  <c r="AQ205" i="20"/>
  <c r="X207" i="20"/>
  <c r="Y207" i="20" s="1"/>
  <c r="Z207" i="20" s="1"/>
  <c r="AM207" i="20"/>
  <c r="AQ207" i="20"/>
  <c r="X208" i="20"/>
  <c r="Y208" i="20" s="1"/>
  <c r="Z208" i="20" s="1"/>
  <c r="AM208" i="20"/>
  <c r="AQ208" i="20"/>
  <c r="AJ208" i="20"/>
  <c r="AK208" i="20" s="1"/>
  <c r="X161" i="20"/>
  <c r="Y161" i="20" s="1"/>
  <c r="Z161" i="20" s="1"/>
  <c r="AM161" i="20"/>
  <c r="AQ161" i="20"/>
  <c r="AJ161" i="20"/>
  <c r="AK161" i="20" s="1"/>
  <c r="AR171" i="20"/>
  <c r="X199" i="20"/>
  <c r="Y199" i="20" s="1"/>
  <c r="Z199" i="20" s="1"/>
  <c r="AM199" i="20"/>
  <c r="AQ199" i="20"/>
  <c r="AO181" i="20"/>
  <c r="AP181" i="20" s="1"/>
  <c r="AO204" i="20"/>
  <c r="AP204" i="20" s="1"/>
  <c r="AO159" i="20"/>
  <c r="AP159" i="20" s="1"/>
  <c r="AO172" i="20"/>
  <c r="AP172" i="20" s="1"/>
  <c r="AL91" i="20"/>
  <c r="P44" i="20"/>
  <c r="S44" i="20" s="1"/>
  <c r="AL104" i="20"/>
  <c r="AL80" i="20"/>
  <c r="AL87" i="20"/>
  <c r="AJ151" i="20"/>
  <c r="AK151" i="20" s="1"/>
  <c r="AQ152" i="20"/>
  <c r="AM152" i="20"/>
  <c r="AF173" i="20"/>
  <c r="AG173" i="20" s="1"/>
  <c r="AM173" i="20"/>
  <c r="AQ173" i="20"/>
  <c r="AM139" i="20"/>
  <c r="AQ139" i="20"/>
  <c r="AM196" i="20"/>
  <c r="AQ196" i="20"/>
  <c r="AJ168" i="20"/>
  <c r="AK168" i="20" s="1"/>
  <c r="AJ159" i="20"/>
  <c r="AK159" i="20" s="1"/>
  <c r="AJ209" i="20"/>
  <c r="AK209" i="20" s="1"/>
  <c r="AJ173" i="20"/>
  <c r="AJ192" i="20"/>
  <c r="AK192" i="20" s="1"/>
  <c r="AJ195" i="20"/>
  <c r="AK195" i="20" s="1"/>
  <c r="AJ177" i="20"/>
  <c r="AK177" i="20" s="1"/>
  <c r="AJ181" i="20"/>
  <c r="AK181" i="20" s="1"/>
  <c r="AJ196" i="20"/>
  <c r="AK196" i="20" s="1"/>
  <c r="AJ169" i="20"/>
  <c r="AK169" i="20" s="1"/>
  <c r="AM206" i="20"/>
  <c r="AQ206" i="20"/>
  <c r="AJ162" i="20"/>
  <c r="AK162" i="20" s="1"/>
  <c r="AF179" i="20"/>
  <c r="AG179" i="20" s="1"/>
  <c r="AM179" i="20"/>
  <c r="AQ179" i="20"/>
  <c r="AJ187" i="20"/>
  <c r="AK187" i="20" s="1"/>
  <c r="AJ176" i="20"/>
  <c r="AK176" i="20" s="1"/>
  <c r="AJ175" i="20"/>
  <c r="AK175" i="20" s="1"/>
  <c r="AM167" i="20"/>
  <c r="AQ167" i="20"/>
  <c r="AJ197" i="20"/>
  <c r="AK197" i="20" s="1"/>
  <c r="AO191" i="20"/>
  <c r="AP191" i="20" s="1"/>
  <c r="AM191" i="20"/>
  <c r="AQ191" i="20"/>
  <c r="AJ194" i="20"/>
  <c r="AK194" i="20" s="1"/>
  <c r="AJ202" i="20"/>
  <c r="AK202" i="20" s="1"/>
  <c r="AJ172" i="20"/>
  <c r="AK172" i="20" s="1"/>
  <c r="AJ189" i="20"/>
  <c r="AK189" i="20" s="1"/>
  <c r="AJ165" i="20"/>
  <c r="AK165" i="20" s="1"/>
  <c r="AJ204" i="20"/>
  <c r="AK204" i="20" s="1"/>
  <c r="AM67" i="20"/>
  <c r="AF67" i="20"/>
  <c r="X64" i="20"/>
  <c r="Y64" i="20" s="1"/>
  <c r="Z64" i="20" s="1"/>
  <c r="U64" i="20"/>
  <c r="V64" i="20" s="1"/>
  <c r="W64" i="20" s="1"/>
  <c r="P62" i="20"/>
  <c r="AM62" i="20" s="1"/>
  <c r="P70" i="20"/>
  <c r="AM70" i="20" s="1"/>
  <c r="P78" i="20"/>
  <c r="AM78" i="20" s="1"/>
  <c r="P86" i="20"/>
  <c r="S86" i="20" s="1"/>
  <c r="P94" i="20"/>
  <c r="AO94" i="20" s="1"/>
  <c r="AP94" i="20" s="1"/>
  <c r="P102" i="20"/>
  <c r="AH102" i="20" s="1"/>
  <c r="P73" i="20"/>
  <c r="AM73" i="20" s="1"/>
  <c r="P81" i="20"/>
  <c r="AD81" i="20" s="1"/>
  <c r="P89" i="20"/>
  <c r="AA89" i="20" s="1"/>
  <c r="AB89" i="20" s="1"/>
  <c r="P97" i="20"/>
  <c r="P105" i="20"/>
  <c r="AO105" i="20" s="1"/>
  <c r="AP105" i="20" s="1"/>
  <c r="AM90" i="20"/>
  <c r="AQ98" i="20"/>
  <c r="AQ106" i="20"/>
  <c r="AM106" i="20"/>
  <c r="AQ85" i="20"/>
  <c r="AQ93" i="20"/>
  <c r="AM93" i="20"/>
  <c r="AQ101" i="20"/>
  <c r="X128" i="20"/>
  <c r="Y128" i="20" s="1"/>
  <c r="Z128" i="20" s="1"/>
  <c r="AQ128" i="20"/>
  <c r="AJ128" i="20"/>
  <c r="AK128" i="20" s="1"/>
  <c r="X141" i="20"/>
  <c r="Y141" i="20" s="1"/>
  <c r="Z141" i="20" s="1"/>
  <c r="AQ141" i="20"/>
  <c r="X140" i="20"/>
  <c r="Y140" i="20" s="1"/>
  <c r="Z140" i="20" s="1"/>
  <c r="AQ140" i="20"/>
  <c r="X113" i="20"/>
  <c r="Y113" i="20" s="1"/>
  <c r="Z113" i="20" s="1"/>
  <c r="AJ113" i="20"/>
  <c r="AK113" i="20" s="1"/>
  <c r="AQ113" i="20"/>
  <c r="X126" i="20"/>
  <c r="Y126" i="20" s="1"/>
  <c r="Z126" i="20" s="1"/>
  <c r="AJ126" i="20"/>
  <c r="AK126" i="20" s="1"/>
  <c r="AQ126" i="20"/>
  <c r="X133" i="20"/>
  <c r="Y133" i="20" s="1"/>
  <c r="Z133" i="20" s="1"/>
  <c r="AQ133" i="20"/>
  <c r="X138" i="20"/>
  <c r="Y138" i="20" s="1"/>
  <c r="Z138" i="20" s="1"/>
  <c r="AQ138" i="20"/>
  <c r="AJ138" i="20"/>
  <c r="AK138" i="20" s="1"/>
  <c r="X129" i="20"/>
  <c r="Y129" i="20" s="1"/>
  <c r="Z129" i="20" s="1"/>
  <c r="AQ129" i="20"/>
  <c r="AJ129" i="20"/>
  <c r="AK129" i="20" s="1"/>
  <c r="X119" i="20"/>
  <c r="Y119" i="20" s="1"/>
  <c r="Z119" i="20" s="1"/>
  <c r="AQ119" i="20"/>
  <c r="AJ119" i="20"/>
  <c r="AK119" i="20" s="1"/>
  <c r="X130" i="20"/>
  <c r="Y130" i="20" s="1"/>
  <c r="Z130" i="20" s="1"/>
  <c r="AJ130" i="20"/>
  <c r="AK130" i="20" s="1"/>
  <c r="AQ130" i="20"/>
  <c r="X137" i="20"/>
  <c r="Y137" i="20" s="1"/>
  <c r="Z137" i="20" s="1"/>
  <c r="AJ137" i="20"/>
  <c r="AK137" i="20" s="1"/>
  <c r="AQ137" i="20"/>
  <c r="X120" i="20"/>
  <c r="Y120" i="20" s="1"/>
  <c r="Z120" i="20" s="1"/>
  <c r="AQ120" i="20"/>
  <c r="X127" i="20"/>
  <c r="Y127" i="20" s="1"/>
  <c r="Z127" i="20" s="1"/>
  <c r="AQ127" i="20"/>
  <c r="AJ127" i="20"/>
  <c r="AK127" i="20" s="1"/>
  <c r="X123" i="20"/>
  <c r="Y123" i="20" s="1"/>
  <c r="Z123" i="20" s="1"/>
  <c r="AQ123" i="20"/>
  <c r="X147" i="20"/>
  <c r="Y147" i="20" s="1"/>
  <c r="Z147" i="20" s="1"/>
  <c r="AJ147" i="20"/>
  <c r="AK147" i="20" s="1"/>
  <c r="AQ147" i="20"/>
  <c r="X150" i="20"/>
  <c r="Y150" i="20" s="1"/>
  <c r="Z150" i="20" s="1"/>
  <c r="AQ150" i="20"/>
  <c r="X117" i="20"/>
  <c r="Y117" i="20" s="1"/>
  <c r="Z117" i="20" s="1"/>
  <c r="AQ117" i="20"/>
  <c r="AO91" i="20"/>
  <c r="AP91" i="20" s="1"/>
  <c r="AM91" i="20"/>
  <c r="AQ96" i="20"/>
  <c r="AM96" i="20"/>
  <c r="AF83" i="20"/>
  <c r="AG83" i="20" s="1"/>
  <c r="AM83" i="20"/>
  <c r="AJ141" i="20"/>
  <c r="AK141" i="20" s="1"/>
  <c r="AJ150" i="20"/>
  <c r="AK150" i="20" s="1"/>
  <c r="AJ133" i="20"/>
  <c r="AK133" i="20" s="1"/>
  <c r="AJ148" i="20"/>
  <c r="AK148" i="20" s="1"/>
  <c r="AJ123" i="20"/>
  <c r="AK123" i="20" s="1"/>
  <c r="X144" i="20"/>
  <c r="Y144" i="20" s="1"/>
  <c r="Z144" i="20" s="1"/>
  <c r="AQ144" i="20"/>
  <c r="AJ144" i="20"/>
  <c r="AK144" i="20" s="1"/>
  <c r="X153" i="20"/>
  <c r="Y153" i="20" s="1"/>
  <c r="Z153" i="20" s="1"/>
  <c r="AJ153" i="20"/>
  <c r="AK153" i="20" s="1"/>
  <c r="AQ153" i="20"/>
  <c r="X135" i="20"/>
  <c r="Y135" i="20" s="1"/>
  <c r="Z135" i="20" s="1"/>
  <c r="AJ135" i="20"/>
  <c r="AK135" i="20" s="1"/>
  <c r="AQ135" i="20"/>
  <c r="X125" i="20"/>
  <c r="Y125" i="20" s="1"/>
  <c r="Z125" i="20" s="1"/>
  <c r="AQ125" i="20"/>
  <c r="X149" i="20"/>
  <c r="Y149" i="20" s="1"/>
  <c r="Z149" i="20" s="1"/>
  <c r="AQ149" i="20"/>
  <c r="X114" i="20"/>
  <c r="Y114" i="20" s="1"/>
  <c r="Z114" i="20" s="1"/>
  <c r="AQ114" i="20"/>
  <c r="AJ114" i="20"/>
  <c r="AK114" i="20" s="1"/>
  <c r="X154" i="20"/>
  <c r="Y154" i="20" s="1"/>
  <c r="Z154" i="20" s="1"/>
  <c r="AQ154" i="20"/>
  <c r="AJ154" i="20"/>
  <c r="AK154" i="20" s="1"/>
  <c r="X121" i="20"/>
  <c r="Y121" i="20" s="1"/>
  <c r="Z121" i="20" s="1"/>
  <c r="AQ121" i="20"/>
  <c r="AJ121" i="20"/>
  <c r="AK121" i="20" s="1"/>
  <c r="X145" i="20"/>
  <c r="Y145" i="20" s="1"/>
  <c r="Z145" i="20" s="1"/>
  <c r="AQ145" i="20"/>
  <c r="AJ145" i="20"/>
  <c r="AK145" i="20" s="1"/>
  <c r="X142" i="20"/>
  <c r="Y142" i="20" s="1"/>
  <c r="Z142" i="20" s="1"/>
  <c r="AQ142" i="20"/>
  <c r="X132" i="20"/>
  <c r="Y132" i="20" s="1"/>
  <c r="Z132" i="20" s="1"/>
  <c r="AQ132" i="20"/>
  <c r="X122" i="20"/>
  <c r="Y122" i="20" s="1"/>
  <c r="Z122" i="20" s="1"/>
  <c r="AQ122" i="20"/>
  <c r="X146" i="20"/>
  <c r="Y146" i="20" s="1"/>
  <c r="Z146" i="20" s="1"/>
  <c r="AJ146" i="20"/>
  <c r="AK146" i="20" s="1"/>
  <c r="AQ146" i="20"/>
  <c r="X136" i="20"/>
  <c r="Y136" i="20" s="1"/>
  <c r="Z136" i="20" s="1"/>
  <c r="AJ136" i="20"/>
  <c r="AK136" i="20" s="1"/>
  <c r="AQ136" i="20"/>
  <c r="X124" i="20"/>
  <c r="Y124" i="20" s="1"/>
  <c r="Z124" i="20" s="1"/>
  <c r="AJ124" i="20"/>
  <c r="AK124" i="20" s="1"/>
  <c r="AQ124" i="20"/>
  <c r="X131" i="20"/>
  <c r="Y131" i="20" s="1"/>
  <c r="Z131" i="20" s="1"/>
  <c r="AQ131" i="20"/>
  <c r="X134" i="20"/>
  <c r="Y134" i="20" s="1"/>
  <c r="Z134" i="20" s="1"/>
  <c r="AQ134" i="20"/>
  <c r="X115" i="20"/>
  <c r="Y115" i="20" s="1"/>
  <c r="Z115" i="20" s="1"/>
  <c r="AQ115" i="20"/>
  <c r="AJ91" i="20"/>
  <c r="AK91" i="20" s="1"/>
  <c r="P107" i="20"/>
  <c r="Q107" i="20" s="1"/>
  <c r="AS107" i="20" s="1"/>
  <c r="P104" i="20"/>
  <c r="AF104" i="20" s="1"/>
  <c r="P88" i="20"/>
  <c r="X88" i="20" s="1"/>
  <c r="Y88" i="20" s="1"/>
  <c r="Z88" i="20" s="1"/>
  <c r="AQ84" i="20"/>
  <c r="AM84" i="20"/>
  <c r="AQ100" i="20"/>
  <c r="AR100" i="20" s="1"/>
  <c r="AM100" i="20"/>
  <c r="AQ87" i="20"/>
  <c r="AM87" i="20"/>
  <c r="AQ103" i="20"/>
  <c r="AM103" i="20"/>
  <c r="AJ142" i="20"/>
  <c r="AK142" i="20" s="1"/>
  <c r="AJ140" i="20"/>
  <c r="AK140" i="20" s="1"/>
  <c r="AJ122" i="20"/>
  <c r="AK122" i="20" s="1"/>
  <c r="AJ120" i="20"/>
  <c r="AK120" i="20" s="1"/>
  <c r="AJ134" i="20"/>
  <c r="AK134" i="20" s="1"/>
  <c r="AJ117" i="20"/>
  <c r="AK117" i="20" s="1"/>
  <c r="AJ125" i="20"/>
  <c r="AK125" i="20" s="1"/>
  <c r="AJ115" i="20"/>
  <c r="AK115" i="20" s="1"/>
  <c r="AJ131" i="20"/>
  <c r="AK131" i="20" s="1"/>
  <c r="P17" i="20"/>
  <c r="AD17" i="20" s="1"/>
  <c r="B178" i="2"/>
  <c r="B160" i="2"/>
  <c r="B167" i="2"/>
  <c r="AD16" i="20"/>
  <c r="AO9" i="20"/>
  <c r="AP9" i="20" s="1"/>
  <c r="P23" i="20"/>
  <c r="AA64" i="20"/>
  <c r="AB64" i="20" s="1"/>
  <c r="P10" i="20"/>
  <c r="AD10" i="20" s="1"/>
  <c r="P13" i="20"/>
  <c r="AD13" i="20" s="1"/>
  <c r="P14" i="20"/>
  <c r="AD14" i="20" s="1"/>
  <c r="AF9" i="20"/>
  <c r="AG9" i="20" s="1"/>
  <c r="S96" i="20"/>
  <c r="AD64" i="20"/>
  <c r="X32" i="20"/>
  <c r="Y32" i="20" s="1"/>
  <c r="Z32" i="20" s="1"/>
  <c r="X96" i="20"/>
  <c r="Y96" i="20" s="1"/>
  <c r="Z96" i="20" s="1"/>
  <c r="AH64" i="20"/>
  <c r="U80" i="20"/>
  <c r="V80" i="20" s="1"/>
  <c r="W80" i="20" s="1"/>
  <c r="U96" i="20"/>
  <c r="V96" i="20" s="1"/>
  <c r="W96" i="20" s="1"/>
  <c r="AF64" i="20"/>
  <c r="AV64" i="20" s="1"/>
  <c r="BL64" i="20" s="1"/>
  <c r="AF80" i="20"/>
  <c r="AG80" i="20" s="1"/>
  <c r="Q96" i="20"/>
  <c r="AS96" i="20" s="1"/>
  <c r="AA80" i="20"/>
  <c r="AB80" i="20" s="1"/>
  <c r="M28" i="20"/>
  <c r="AO96" i="20"/>
  <c r="AP96" i="20" s="1"/>
  <c r="AO67" i="20"/>
  <c r="AP67" i="20" s="1"/>
  <c r="P36" i="20"/>
  <c r="AF36" i="20" s="1"/>
  <c r="AG36" i="20" s="1"/>
  <c r="AA68" i="20"/>
  <c r="AB68" i="20" s="1"/>
  <c r="Q68" i="20"/>
  <c r="AS68" i="20" s="1"/>
  <c r="Q79" i="20"/>
  <c r="AS79" i="20" s="1"/>
  <c r="AA71" i="20"/>
  <c r="AB71" i="20" s="1"/>
  <c r="S79" i="20"/>
  <c r="X20" i="20"/>
  <c r="Y20" i="20" s="1"/>
  <c r="Z20" i="20" s="1"/>
  <c r="AF71" i="20"/>
  <c r="AG71" i="20" s="1"/>
  <c r="AF79" i="20"/>
  <c r="AA79" i="20"/>
  <c r="AB79" i="20" s="1"/>
  <c r="AI143" i="20"/>
  <c r="BF143" i="20" s="1"/>
  <c r="AE156" i="20"/>
  <c r="T156" i="20"/>
  <c r="BI156" i="20" s="1"/>
  <c r="AV156" i="20"/>
  <c r="BL156" i="20" s="1"/>
  <c r="AJ27" i="20"/>
  <c r="AK27" i="20" s="1"/>
  <c r="AF59" i="20"/>
  <c r="X111" i="20"/>
  <c r="Y111" i="20" s="1"/>
  <c r="Z111" i="20" s="1"/>
  <c r="AQ111" i="20"/>
  <c r="AJ111" i="20"/>
  <c r="AK111" i="20" s="1"/>
  <c r="X112" i="20"/>
  <c r="Y112" i="20" s="1"/>
  <c r="Z112" i="20" s="1"/>
  <c r="AQ112" i="20"/>
  <c r="X110" i="20"/>
  <c r="Y110" i="20" s="1"/>
  <c r="Z110" i="20" s="1"/>
  <c r="AQ110" i="20"/>
  <c r="AJ110" i="20"/>
  <c r="AK110" i="20" s="1"/>
  <c r="AJ112" i="20"/>
  <c r="AK112" i="20" s="1"/>
  <c r="AQ91" i="20"/>
  <c r="P65" i="20"/>
  <c r="AM65" i="20" s="1"/>
  <c r="AJ90" i="20"/>
  <c r="AK90" i="20" s="1"/>
  <c r="AJ93" i="20"/>
  <c r="AK93" i="20" s="1"/>
  <c r="AJ94" i="20"/>
  <c r="AK94" i="20" s="1"/>
  <c r="AJ97" i="20"/>
  <c r="AK97" i="20" s="1"/>
  <c r="AO99" i="20"/>
  <c r="AP99" i="20" s="1"/>
  <c r="AQ99" i="20"/>
  <c r="AQ107" i="20"/>
  <c r="AJ104" i="20"/>
  <c r="AK104" i="20" s="1"/>
  <c r="P72" i="20"/>
  <c r="S72" i="20" s="1"/>
  <c r="AJ106" i="20"/>
  <c r="AK106" i="20" s="1"/>
  <c r="AJ102" i="20"/>
  <c r="AK102" i="20" s="1"/>
  <c r="AJ89" i="20"/>
  <c r="AK89" i="20" s="1"/>
  <c r="AJ105" i="20"/>
  <c r="AK105" i="20" s="1"/>
  <c r="S75" i="20"/>
  <c r="AM75" i="20"/>
  <c r="M88" i="20"/>
  <c r="AJ99" i="20"/>
  <c r="AK99" i="20" s="1"/>
  <c r="AA199" i="20"/>
  <c r="AB199" i="20" s="1"/>
  <c r="AF188" i="20"/>
  <c r="AG188" i="20" s="1"/>
  <c r="AQ56" i="20"/>
  <c r="AF35" i="21"/>
  <c r="AG35" i="21" s="1"/>
  <c r="U20" i="20"/>
  <c r="V20" i="20" s="1"/>
  <c r="W20" i="20" s="1"/>
  <c r="Q75" i="20"/>
  <c r="AS75" i="20" s="1"/>
  <c r="AO27" i="20"/>
  <c r="AP27" i="20" s="1"/>
  <c r="AA75" i="20"/>
  <c r="AB75" i="20" s="1"/>
  <c r="M23" i="20"/>
  <c r="AC23" i="20" s="1"/>
  <c r="M20" i="20"/>
  <c r="AF20" i="20" s="1"/>
  <c r="AG20" i="20" s="1"/>
  <c r="S35" i="21"/>
  <c r="AQ27" i="20"/>
  <c r="AO60" i="20"/>
  <c r="AP60" i="20" s="1"/>
  <c r="AF67" i="21"/>
  <c r="AH47" i="21"/>
  <c r="AH82" i="21"/>
  <c r="AM27" i="20"/>
  <c r="AF60" i="20"/>
  <c r="AE183" i="20"/>
  <c r="AE116" i="20"/>
  <c r="BE116" i="20" s="1"/>
  <c r="AF81" i="21"/>
  <c r="AG81" i="21" s="1"/>
  <c r="AF68" i="21"/>
  <c r="AG68" i="21" s="1"/>
  <c r="AI68" i="21" s="1"/>
  <c r="AH35" i="21"/>
  <c r="AH81" i="21"/>
  <c r="AM56" i="21"/>
  <c r="Q27" i="20"/>
  <c r="AS27" i="20" s="1"/>
  <c r="AC27" i="20"/>
  <c r="AA27" i="20"/>
  <c r="AB27" i="20" s="1"/>
  <c r="AF27" i="20"/>
  <c r="AF24" i="20"/>
  <c r="AC24" i="20"/>
  <c r="AC28" i="20"/>
  <c r="AH83" i="20"/>
  <c r="AF63" i="20"/>
  <c r="AG63" i="20" s="1"/>
  <c r="AF76" i="21"/>
  <c r="AG76" i="21" s="1"/>
  <c r="AH97" i="21"/>
  <c r="AJ51" i="20"/>
  <c r="AK51" i="20" s="1"/>
  <c r="AF51" i="20"/>
  <c r="AQ51" i="20"/>
  <c r="AA185" i="20"/>
  <c r="AB185" i="20" s="1"/>
  <c r="AF98" i="21"/>
  <c r="AG98" i="21" s="1"/>
  <c r="AI98" i="21" s="1"/>
  <c r="AF101" i="21"/>
  <c r="AG101" i="21" s="1"/>
  <c r="AH45" i="21"/>
  <c r="AH105" i="21"/>
  <c r="AA119" i="20"/>
  <c r="AB119" i="20" s="1"/>
  <c r="S55" i="20"/>
  <c r="X83" i="20"/>
  <c r="Y83" i="20" s="1"/>
  <c r="Z83" i="20" s="1"/>
  <c r="U63" i="20"/>
  <c r="V63" i="20" s="1"/>
  <c r="W63" i="20" s="1"/>
  <c r="P31" i="20"/>
  <c r="AD31" i="20" s="1"/>
  <c r="P33" i="20"/>
  <c r="AD33" i="20" s="1"/>
  <c r="AA63" i="20"/>
  <c r="AB63" i="20" s="1"/>
  <c r="AO63" i="20"/>
  <c r="AP63" i="20" s="1"/>
  <c r="AA200" i="20"/>
  <c r="AB200" i="20" s="1"/>
  <c r="AA198" i="20"/>
  <c r="AB198" i="20" s="1"/>
  <c r="AA203" i="20"/>
  <c r="AB203" i="20" s="1"/>
  <c r="AF90" i="21"/>
  <c r="AG90" i="21" s="1"/>
  <c r="AF106" i="21"/>
  <c r="AG106" i="21" s="1"/>
  <c r="AF45" i="21"/>
  <c r="AG45" i="21" s="1"/>
  <c r="AH90" i="21"/>
  <c r="AH43" i="21"/>
  <c r="AH106" i="21"/>
  <c r="AH83" i="21"/>
  <c r="AH93" i="21"/>
  <c r="AH101" i="21"/>
  <c r="AH109" i="21"/>
  <c r="AD22" i="20"/>
  <c r="AQ22" i="20"/>
  <c r="P25" i="20"/>
  <c r="AD25" i="20" s="1"/>
  <c r="P29" i="20"/>
  <c r="AQ29" i="20" s="1"/>
  <c r="AF12" i="20"/>
  <c r="AG12" i="20" s="1"/>
  <c r="P21" i="20"/>
  <c r="AD21" i="20" s="1"/>
  <c r="P26" i="20"/>
  <c r="AH26" i="20" s="1"/>
  <c r="P18" i="20"/>
  <c r="AD18" i="20" s="1"/>
  <c r="P30" i="20"/>
  <c r="AD30" i="20" s="1"/>
  <c r="AJ22" i="20"/>
  <c r="AK22" i="20" s="1"/>
  <c r="AA58" i="21"/>
  <c r="AB58" i="21" s="1"/>
  <c r="Q11" i="21"/>
  <c r="AS11" i="21" s="1"/>
  <c r="AD63" i="20"/>
  <c r="AH63" i="20"/>
  <c r="Q51" i="20"/>
  <c r="AS51" i="20" s="1"/>
  <c r="Q91" i="20"/>
  <c r="AS91" i="20" s="1"/>
  <c r="AJ48" i="20"/>
  <c r="AK48" i="20" s="1"/>
  <c r="AA166" i="20"/>
  <c r="AB166" i="20" s="1"/>
  <c r="S63" i="20"/>
  <c r="AH55" i="20"/>
  <c r="X63" i="20"/>
  <c r="Y63" i="20" s="1"/>
  <c r="Z63" i="20" s="1"/>
  <c r="Q56" i="20"/>
  <c r="AS56" i="20" s="1"/>
  <c r="Q63" i="20"/>
  <c r="AS63" i="20" s="1"/>
  <c r="AA55" i="20"/>
  <c r="AB55" i="20" s="1"/>
  <c r="AA40" i="20"/>
  <c r="AB40" i="20" s="1"/>
  <c r="AF194" i="20"/>
  <c r="AF158" i="20"/>
  <c r="AV158" i="20" s="1"/>
  <c r="BL158" i="20" s="1"/>
  <c r="AV172" i="20"/>
  <c r="BL172" i="20" s="1"/>
  <c r="AF162" i="20"/>
  <c r="AV162" i="20" s="1"/>
  <c r="BL162" i="20" s="1"/>
  <c r="AA137" i="20"/>
  <c r="AB137" i="20" s="1"/>
  <c r="AF120" i="20"/>
  <c r="AV120" i="20" s="1"/>
  <c r="BL120" i="20" s="1"/>
  <c r="AF166" i="20"/>
  <c r="AV166" i="20" s="1"/>
  <c r="BL166" i="20" s="1"/>
  <c r="AA115" i="20"/>
  <c r="AB115" i="20" s="1"/>
  <c r="AS167" i="20"/>
  <c r="AA188" i="20"/>
  <c r="AB188" i="20" s="1"/>
  <c r="AA22" i="21"/>
  <c r="AB22" i="21" s="1"/>
  <c r="AE22" i="21" s="1"/>
  <c r="AS116" i="20"/>
  <c r="S84" i="21"/>
  <c r="AM15" i="21"/>
  <c r="AQ76" i="21"/>
  <c r="AJ76" i="21"/>
  <c r="AK76" i="21" s="1"/>
  <c r="S59" i="20"/>
  <c r="X99" i="20"/>
  <c r="Y99" i="20" s="1"/>
  <c r="Z99" i="20" s="1"/>
  <c r="Q40" i="20"/>
  <c r="AS40" i="20" s="1"/>
  <c r="Q83" i="20"/>
  <c r="AS83" i="20" s="1"/>
  <c r="Q99" i="20"/>
  <c r="AS99" i="20" s="1"/>
  <c r="Q55" i="20"/>
  <c r="AS55" i="20" s="1"/>
  <c r="AO59" i="20"/>
  <c r="AP59" i="20" s="1"/>
  <c r="AA177" i="20"/>
  <c r="AB177" i="20" s="1"/>
  <c r="AF130" i="20"/>
  <c r="AV130" i="20" s="1"/>
  <c r="BL130" i="20" s="1"/>
  <c r="AA162" i="20"/>
  <c r="AB162" i="20" s="1"/>
  <c r="AF185" i="20"/>
  <c r="AV185" i="20" s="1"/>
  <c r="BL185" i="20" s="1"/>
  <c r="AA150" i="20"/>
  <c r="AB150" i="20" s="1"/>
  <c r="AA76" i="21"/>
  <c r="AB76" i="21" s="1"/>
  <c r="AE76" i="21" s="1"/>
  <c r="X69" i="21"/>
  <c r="Y69" i="21" s="1"/>
  <c r="Z69" i="21" s="1"/>
  <c r="Q59" i="20"/>
  <c r="AS59" i="20" s="1"/>
  <c r="AA51" i="20"/>
  <c r="AB51" i="20" s="1"/>
  <c r="AA59" i="20"/>
  <c r="AB59" i="20" s="1"/>
  <c r="AA91" i="20"/>
  <c r="AB91" i="20" s="1"/>
  <c r="AF91" i="20"/>
  <c r="AO51" i="20"/>
  <c r="AP51" i="20" s="1"/>
  <c r="AA112" i="20"/>
  <c r="AB112" i="20" s="1"/>
  <c r="AV143" i="20"/>
  <c r="BL143" i="20" s="1"/>
  <c r="AF142" i="20"/>
  <c r="AG142" i="20" s="1"/>
  <c r="AI156" i="20"/>
  <c r="BF156" i="20" s="1"/>
  <c r="AF136" i="20"/>
  <c r="AV136" i="20" s="1"/>
  <c r="BL136" i="20" s="1"/>
  <c r="AA208" i="20"/>
  <c r="AB208" i="20" s="1"/>
  <c r="AF161" i="20"/>
  <c r="AV161" i="20" s="1"/>
  <c r="BL161" i="20" s="1"/>
  <c r="AA117" i="20"/>
  <c r="AB117" i="20" s="1"/>
  <c r="T116" i="20"/>
  <c r="BI116" i="20" s="1"/>
  <c r="AQ47" i="21"/>
  <c r="AJ11" i="21"/>
  <c r="AK11" i="21" s="1"/>
  <c r="Q109" i="21"/>
  <c r="R109" i="21" s="1"/>
  <c r="AQ35" i="21"/>
  <c r="S98" i="21"/>
  <c r="S22" i="21"/>
  <c r="Q58" i="21"/>
  <c r="R58" i="21" s="1"/>
  <c r="AM42" i="21"/>
  <c r="U75" i="21"/>
  <c r="V75" i="21" s="1"/>
  <c r="W75" i="21" s="1"/>
  <c r="AF93" i="21"/>
  <c r="AG93" i="21" s="1"/>
  <c r="Q105" i="21"/>
  <c r="R105" i="21" s="1"/>
  <c r="AF55" i="21"/>
  <c r="AG55" i="21" s="1"/>
  <c r="AF43" i="21"/>
  <c r="AG43" i="21" s="1"/>
  <c r="AF53" i="21"/>
  <c r="AG53" i="21" s="1"/>
  <c r="AI53" i="21" s="1"/>
  <c r="AF102" i="21"/>
  <c r="AG102" i="21" s="1"/>
  <c r="AI102" i="21" s="1"/>
  <c r="AH89" i="21"/>
  <c r="AM21" i="21"/>
  <c r="AJ44" i="21"/>
  <c r="AK44" i="21" s="1"/>
  <c r="Q84" i="21"/>
  <c r="R84" i="21" s="1"/>
  <c r="S66" i="21"/>
  <c r="S9" i="21"/>
  <c r="Q89" i="21"/>
  <c r="AS89" i="21" s="1"/>
  <c r="AA66" i="21"/>
  <c r="AB66" i="21" s="1"/>
  <c r="AJ21" i="21"/>
  <c r="AK21" i="21" s="1"/>
  <c r="S53" i="21"/>
  <c r="Q9" i="21"/>
  <c r="AS9" i="21" s="1"/>
  <c r="S44" i="21"/>
  <c r="AQ74" i="21"/>
  <c r="AM74" i="21"/>
  <c r="AQ57" i="21"/>
  <c r="AA53" i="21"/>
  <c r="AB53" i="21" s="1"/>
  <c r="AJ9" i="21"/>
  <c r="AK9" i="21" s="1"/>
  <c r="Q94" i="21"/>
  <c r="R94" i="21" s="1"/>
  <c r="AA70" i="21"/>
  <c r="AB70" i="21" s="1"/>
  <c r="AJ15" i="21"/>
  <c r="AK15" i="21" s="1"/>
  <c r="Q66" i="21"/>
  <c r="R66" i="21" s="1"/>
  <c r="Q53" i="21"/>
  <c r="AS53" i="21" s="1"/>
  <c r="AQ21" i="21"/>
  <c r="S21" i="21"/>
  <c r="AM9" i="21"/>
  <c r="Q44" i="21"/>
  <c r="AS44" i="21" s="1"/>
  <c r="S70" i="21"/>
  <c r="AM36" i="21"/>
  <c r="S72" i="21"/>
  <c r="AM30" i="21"/>
  <c r="AQ15" i="21"/>
  <c r="AJ68" i="21"/>
  <c r="AK68" i="21" s="1"/>
  <c r="AF83" i="21"/>
  <c r="AG83" i="21" s="1"/>
  <c r="AF97" i="21"/>
  <c r="AG97" i="21" s="1"/>
  <c r="AF105" i="21"/>
  <c r="AG105" i="21" s="1"/>
  <c r="AO109" i="21"/>
  <c r="AP109" i="21" s="1"/>
  <c r="Q82" i="21"/>
  <c r="AS82" i="21" s="1"/>
  <c r="AF89" i="21"/>
  <c r="AG89" i="21" s="1"/>
  <c r="AF66" i="21"/>
  <c r="AG66" i="21" s="1"/>
  <c r="AI66" i="21" s="1"/>
  <c r="AJ53" i="21"/>
  <c r="AK53" i="21" s="1"/>
  <c r="AJ56" i="21"/>
  <c r="AK56" i="21" s="1"/>
  <c r="AA9" i="21"/>
  <c r="AB9" i="21" s="1"/>
  <c r="AA44" i="21"/>
  <c r="AB44" i="21" s="1"/>
  <c r="AF44" i="21"/>
  <c r="AG44" i="21" s="1"/>
  <c r="AI44" i="21" s="1"/>
  <c r="AF84" i="21"/>
  <c r="AG84" i="21" s="1"/>
  <c r="AI84" i="21" s="1"/>
  <c r="Q72" i="21"/>
  <c r="AS72" i="21" s="1"/>
  <c r="AF63" i="21"/>
  <c r="AG63" i="21" s="1"/>
  <c r="AA30" i="21"/>
  <c r="AB30" i="21" s="1"/>
  <c r="AE30" i="21" s="1"/>
  <c r="AF109" i="21"/>
  <c r="AG109" i="21" s="1"/>
  <c r="AA74" i="21"/>
  <c r="AB74" i="21" s="1"/>
  <c r="AQ53" i="21"/>
  <c r="AH56" i="21"/>
  <c r="AQ44" i="21"/>
  <c r="S94" i="21"/>
  <c r="S102" i="21"/>
  <c r="Q70" i="21"/>
  <c r="R70" i="21" s="1"/>
  <c r="AQ36" i="21"/>
  <c r="AH63" i="21"/>
  <c r="AQ30" i="21"/>
  <c r="S68" i="21"/>
  <c r="S74" i="21"/>
  <c r="AJ70" i="21"/>
  <c r="AK70" i="21" s="1"/>
  <c r="AJ59" i="21"/>
  <c r="AK59" i="21" s="1"/>
  <c r="AJ74" i="21"/>
  <c r="AK74" i="21" s="1"/>
  <c r="U89" i="21"/>
  <c r="V89" i="21" s="1"/>
  <c r="W89" i="21" s="1"/>
  <c r="AF57" i="21"/>
  <c r="AG57" i="21" s="1"/>
  <c r="AI57" i="21" s="1"/>
  <c r="AF58" i="21"/>
  <c r="AG58" i="21" s="1"/>
  <c r="AI58" i="21" s="1"/>
  <c r="AF42" i="21"/>
  <c r="AG42" i="21" s="1"/>
  <c r="AH62" i="21"/>
  <c r="AH76" i="21"/>
  <c r="Q22" i="21"/>
  <c r="AS22" i="21" s="1"/>
  <c r="X89" i="21"/>
  <c r="Y89" i="21" s="1"/>
  <c r="Z89" i="21" s="1"/>
  <c r="AO89" i="21"/>
  <c r="AP89" i="21" s="1"/>
  <c r="S83" i="20"/>
  <c r="AD83" i="20"/>
  <c r="AD55" i="20"/>
  <c r="U83" i="20"/>
  <c r="V83" i="20" s="1"/>
  <c r="W83" i="20" s="1"/>
  <c r="AF56" i="20"/>
  <c r="AG56" i="20" s="1"/>
  <c r="AA56" i="20"/>
  <c r="AB56" i="20" s="1"/>
  <c r="AF55" i="20"/>
  <c r="AG55" i="20" s="1"/>
  <c r="AA83" i="20"/>
  <c r="AB83" i="20" s="1"/>
  <c r="AA99" i="20"/>
  <c r="AB99" i="20" s="1"/>
  <c r="AJ55" i="20"/>
  <c r="AK55" i="20" s="1"/>
  <c r="AO56" i="20"/>
  <c r="AP56" i="20" s="1"/>
  <c r="AF99" i="20"/>
  <c r="AJ56" i="20"/>
  <c r="AK56" i="20" s="1"/>
  <c r="AQ55" i="20"/>
  <c r="AF119" i="20"/>
  <c r="AG119" i="20" s="1"/>
  <c r="AA209" i="20"/>
  <c r="AB209" i="20" s="1"/>
  <c r="AF200" i="20"/>
  <c r="AG200" i="20" s="1"/>
  <c r="AA186" i="20"/>
  <c r="AB186" i="20" s="1"/>
  <c r="AA132" i="20"/>
  <c r="AB132" i="20" s="1"/>
  <c r="AA189" i="20"/>
  <c r="AB189" i="20" s="1"/>
  <c r="AF198" i="20"/>
  <c r="AG198" i="20" s="1"/>
  <c r="AA122" i="20"/>
  <c r="AB122" i="20" s="1"/>
  <c r="AA146" i="20"/>
  <c r="AB146" i="20" s="1"/>
  <c r="AF178" i="20"/>
  <c r="AV178" i="20" s="1"/>
  <c r="BL178" i="20" s="1"/>
  <c r="AF201" i="20"/>
  <c r="AV201" i="20" s="1"/>
  <c r="BL201" i="20" s="1"/>
  <c r="AJ14" i="21"/>
  <c r="AK14" i="21" s="1"/>
  <c r="AJ47" i="21"/>
  <c r="AK47" i="21" s="1"/>
  <c r="AJ58" i="21"/>
  <c r="AK58" i="21" s="1"/>
  <c r="S11" i="21"/>
  <c r="AQ67" i="21"/>
  <c r="AH55" i="21"/>
  <c r="Q14" i="21"/>
  <c r="AS14" i="21" s="1"/>
  <c r="AH67" i="21"/>
  <c r="AQ58" i="21"/>
  <c r="S58" i="21"/>
  <c r="AQ11" i="21"/>
  <c r="AM11" i="21"/>
  <c r="AQ42" i="21"/>
  <c r="AQ62" i="21"/>
  <c r="AJ67" i="21"/>
  <c r="AK67" i="21" s="1"/>
  <c r="AL69" i="20"/>
  <c r="AF82" i="21"/>
  <c r="AG82" i="21" s="1"/>
  <c r="AA55" i="21"/>
  <c r="AB55" i="21" s="1"/>
  <c r="AE55" i="21" s="1"/>
  <c r="AF62" i="21"/>
  <c r="AG62" i="21" s="1"/>
  <c r="AA24" i="21"/>
  <c r="AB24" i="21" s="1"/>
  <c r="AE24" i="21" s="1"/>
  <c r="AF94" i="21"/>
  <c r="AG94" i="21" s="1"/>
  <c r="AI94" i="21" s="1"/>
  <c r="AF70" i="21"/>
  <c r="AG70" i="21" s="1"/>
  <c r="AI70" i="21" s="1"/>
  <c r="AA36" i="21"/>
  <c r="AB36" i="21" s="1"/>
  <c r="AF47" i="21"/>
  <c r="AG47" i="21" s="1"/>
  <c r="AF72" i="21"/>
  <c r="AG72" i="21" s="1"/>
  <c r="AI72" i="21" s="1"/>
  <c r="AA67" i="21"/>
  <c r="AB67" i="21" s="1"/>
  <c r="Q68" i="21"/>
  <c r="AS68" i="21" s="1"/>
  <c r="AF59" i="21"/>
  <c r="AF74" i="21"/>
  <c r="AG74" i="21" s="1"/>
  <c r="AI74" i="21" s="1"/>
  <c r="Q24" i="21"/>
  <c r="AS24" i="21" s="1"/>
  <c r="AH36" i="21"/>
  <c r="AA47" i="21"/>
  <c r="AB47" i="21" s="1"/>
  <c r="AE47" i="21" s="1"/>
  <c r="Q67" i="21"/>
  <c r="R67" i="21" s="1"/>
  <c r="T67" i="21" s="1"/>
  <c r="AH42" i="21"/>
  <c r="AL78" i="20"/>
  <c r="AL72" i="20"/>
  <c r="AL75" i="20"/>
  <c r="AL74" i="20"/>
  <c r="AL68" i="20"/>
  <c r="AL76" i="20"/>
  <c r="AL71" i="20"/>
  <c r="AL70" i="20"/>
  <c r="AL73" i="20"/>
  <c r="AL77" i="20"/>
  <c r="AE118" i="20"/>
  <c r="BE118" i="20" s="1"/>
  <c r="AE193" i="20"/>
  <c r="BE193" i="20" s="1"/>
  <c r="AL64" i="20"/>
  <c r="AL63" i="20"/>
  <c r="AL65" i="20"/>
  <c r="AL60" i="20"/>
  <c r="AN60" i="20" s="1"/>
  <c r="AL59" i="20"/>
  <c r="AL67" i="20"/>
  <c r="AL62" i="20"/>
  <c r="AL61" i="20"/>
  <c r="AL66" i="20"/>
  <c r="AE143" i="20"/>
  <c r="AE155" i="20"/>
  <c r="BE155" i="20" s="1"/>
  <c r="AE171" i="20"/>
  <c r="AO90" i="21"/>
  <c r="AP90" i="21" s="1"/>
  <c r="AD90" i="21"/>
  <c r="AO40" i="21"/>
  <c r="AP40" i="21" s="1"/>
  <c r="AD40" i="21"/>
  <c r="AM66" i="21"/>
  <c r="AD66" i="21"/>
  <c r="AM53" i="21"/>
  <c r="AD53" i="21"/>
  <c r="X48" i="21"/>
  <c r="Y48" i="21" s="1"/>
  <c r="Z48" i="21" s="1"/>
  <c r="AD48" i="21"/>
  <c r="X21" i="21"/>
  <c r="Y21" i="21" s="1"/>
  <c r="Z21" i="21" s="1"/>
  <c r="AD21" i="21"/>
  <c r="AE21" i="21" s="1"/>
  <c r="X9" i="21"/>
  <c r="Y9" i="21" s="1"/>
  <c r="Z9" i="21" s="1"/>
  <c r="AD9" i="21"/>
  <c r="AM44" i="21"/>
  <c r="AD44" i="21"/>
  <c r="X96" i="21"/>
  <c r="Y96" i="21" s="1"/>
  <c r="Z96" i="21" s="1"/>
  <c r="AD96" i="21"/>
  <c r="X104" i="21"/>
  <c r="Y104" i="21" s="1"/>
  <c r="Z104" i="21" s="1"/>
  <c r="AD104" i="21"/>
  <c r="X73" i="21"/>
  <c r="Y73" i="21" s="1"/>
  <c r="Z73" i="21" s="1"/>
  <c r="AD73" i="21"/>
  <c r="X84" i="21"/>
  <c r="Y84" i="21" s="1"/>
  <c r="Z84" i="21" s="1"/>
  <c r="AD84" i="21"/>
  <c r="X27" i="21"/>
  <c r="Y27" i="21" s="1"/>
  <c r="Z27" i="21" s="1"/>
  <c r="AD27" i="21"/>
  <c r="X28" i="21"/>
  <c r="Y28" i="21" s="1"/>
  <c r="Z28" i="21" s="1"/>
  <c r="AD28" i="21"/>
  <c r="AO77" i="21"/>
  <c r="AP77" i="21" s="1"/>
  <c r="AD77" i="21"/>
  <c r="AE77" i="21" s="1"/>
  <c r="AO37" i="21"/>
  <c r="AP37" i="21" s="1"/>
  <c r="AD37" i="21"/>
  <c r="AO17" i="21"/>
  <c r="AP17" i="21" s="1"/>
  <c r="AD17" i="21"/>
  <c r="AO91" i="21"/>
  <c r="AP91" i="21" s="1"/>
  <c r="AD91" i="21"/>
  <c r="AO99" i="21"/>
  <c r="AP99" i="21" s="1"/>
  <c r="AD99" i="21"/>
  <c r="AO107" i="21"/>
  <c r="AP107" i="21" s="1"/>
  <c r="AD107" i="21"/>
  <c r="X78" i="21"/>
  <c r="Y78" i="21" s="1"/>
  <c r="Z78" i="21" s="1"/>
  <c r="AD78" i="21"/>
  <c r="AO86" i="21"/>
  <c r="AP86" i="21" s="1"/>
  <c r="AD86" i="21"/>
  <c r="AE86" i="21" s="1"/>
  <c r="AO35" i="21"/>
  <c r="AP35" i="21" s="1"/>
  <c r="AD35" i="21"/>
  <c r="AO34" i="21"/>
  <c r="AP34" i="21" s="1"/>
  <c r="AD34" i="21"/>
  <c r="AO64" i="21"/>
  <c r="AP64" i="21" s="1"/>
  <c r="AD64" i="21"/>
  <c r="AO31" i="21"/>
  <c r="AP31" i="21" s="1"/>
  <c r="AD31" i="21"/>
  <c r="AO41" i="21"/>
  <c r="AP41" i="21" s="1"/>
  <c r="AD41" i="21"/>
  <c r="AO16" i="21"/>
  <c r="AP16" i="21" s="1"/>
  <c r="AD16" i="21"/>
  <c r="AO51" i="21"/>
  <c r="AP51" i="21" s="1"/>
  <c r="AD51" i="21"/>
  <c r="AO98" i="21"/>
  <c r="AP98" i="21" s="1"/>
  <c r="AD98" i="21"/>
  <c r="AO80" i="21"/>
  <c r="AP80" i="21" s="1"/>
  <c r="AD80" i="21"/>
  <c r="AO65" i="21"/>
  <c r="AP65" i="21" s="1"/>
  <c r="AD65" i="21"/>
  <c r="AO38" i="21"/>
  <c r="AP38" i="21" s="1"/>
  <c r="AD38" i="21"/>
  <c r="AO19" i="21"/>
  <c r="AP19" i="21" s="1"/>
  <c r="AD19" i="21"/>
  <c r="AO46" i="21"/>
  <c r="AP46" i="21" s="1"/>
  <c r="AD46" i="21"/>
  <c r="AO81" i="21"/>
  <c r="AP81" i="21" s="1"/>
  <c r="AD81" i="21"/>
  <c r="U85" i="21"/>
  <c r="V85" i="21" s="1"/>
  <c r="W85" i="21" s="1"/>
  <c r="AD85" i="21"/>
  <c r="AO82" i="21"/>
  <c r="AP82" i="21" s="1"/>
  <c r="AD82" i="21"/>
  <c r="AM57" i="21"/>
  <c r="AD57" i="21"/>
  <c r="AO26" i="21"/>
  <c r="AP26" i="21" s="1"/>
  <c r="AD26" i="21"/>
  <c r="X33" i="21"/>
  <c r="Y33" i="21" s="1"/>
  <c r="Z33" i="21" s="1"/>
  <c r="AD33" i="21"/>
  <c r="X10" i="21"/>
  <c r="Y10" i="21" s="1"/>
  <c r="Z10" i="21" s="1"/>
  <c r="AD10" i="21"/>
  <c r="X92" i="21"/>
  <c r="Y92" i="21" s="1"/>
  <c r="Z92" i="21" s="1"/>
  <c r="AD92" i="21"/>
  <c r="X100" i="21"/>
  <c r="Y100" i="21" s="1"/>
  <c r="Z100" i="21" s="1"/>
  <c r="AD100" i="21"/>
  <c r="X108" i="21"/>
  <c r="Y108" i="21" s="1"/>
  <c r="Z108" i="21" s="1"/>
  <c r="AD108" i="21"/>
  <c r="AO79" i="21"/>
  <c r="AP79" i="21" s="1"/>
  <c r="AD79" i="21"/>
  <c r="X87" i="21"/>
  <c r="Y87" i="21" s="1"/>
  <c r="Z87" i="21" s="1"/>
  <c r="AD87" i="21"/>
  <c r="AM67" i="21"/>
  <c r="AD67" i="21"/>
  <c r="AM58" i="21"/>
  <c r="AD58" i="21"/>
  <c r="AO52" i="21"/>
  <c r="AP52" i="21" s="1"/>
  <c r="AD52" i="21"/>
  <c r="AO23" i="21"/>
  <c r="AP23" i="21" s="1"/>
  <c r="AD23" i="21"/>
  <c r="AO11" i="21"/>
  <c r="AP11" i="21" s="1"/>
  <c r="AD11" i="21"/>
  <c r="AE11" i="21" s="1"/>
  <c r="AO42" i="21"/>
  <c r="AP42" i="21" s="1"/>
  <c r="AD42" i="21"/>
  <c r="AO95" i="21"/>
  <c r="AP95" i="21" s="1"/>
  <c r="AD95" i="21"/>
  <c r="AO103" i="21"/>
  <c r="AP103" i="21" s="1"/>
  <c r="AD103" i="21"/>
  <c r="AO71" i="21"/>
  <c r="AP71" i="21" s="1"/>
  <c r="AD71" i="21"/>
  <c r="AO50" i="21"/>
  <c r="AP50" i="21" s="1"/>
  <c r="AD50" i="21"/>
  <c r="AO60" i="21"/>
  <c r="AP60" i="21" s="1"/>
  <c r="AD60" i="21"/>
  <c r="AO56" i="21"/>
  <c r="AP56" i="21" s="1"/>
  <c r="AD56" i="21"/>
  <c r="AO25" i="21"/>
  <c r="AP25" i="21" s="1"/>
  <c r="AD25" i="21"/>
  <c r="AO12" i="21"/>
  <c r="AP12" i="21" s="1"/>
  <c r="AD12" i="21"/>
  <c r="AO32" i="21"/>
  <c r="AP32" i="21" s="1"/>
  <c r="AD32" i="21"/>
  <c r="AO94" i="21"/>
  <c r="AP94" i="21" s="1"/>
  <c r="AD94" i="21"/>
  <c r="AO102" i="21"/>
  <c r="AP102" i="21" s="1"/>
  <c r="AD102" i="21"/>
  <c r="AM70" i="21"/>
  <c r="AD70" i="21"/>
  <c r="AO88" i="21"/>
  <c r="AP88" i="21" s="1"/>
  <c r="AD88" i="21"/>
  <c r="AO36" i="21"/>
  <c r="AP36" i="21" s="1"/>
  <c r="AD36" i="21"/>
  <c r="AO39" i="21"/>
  <c r="AP39" i="21" s="1"/>
  <c r="AD39" i="21"/>
  <c r="AO72" i="21"/>
  <c r="AP72" i="21" s="1"/>
  <c r="AD72" i="21"/>
  <c r="AO61" i="21"/>
  <c r="AP61" i="21" s="1"/>
  <c r="AD61" i="21"/>
  <c r="AO68" i="21"/>
  <c r="AP68" i="21" s="1"/>
  <c r="AD68" i="21"/>
  <c r="AO29" i="21"/>
  <c r="AP29" i="21" s="1"/>
  <c r="AD29" i="21"/>
  <c r="AO13" i="21"/>
  <c r="AP13" i="21" s="1"/>
  <c r="AD13" i="21"/>
  <c r="AO59" i="21"/>
  <c r="AP59" i="21" s="1"/>
  <c r="AD59" i="21"/>
  <c r="AO74" i="21"/>
  <c r="AP74" i="21" s="1"/>
  <c r="AD74" i="21"/>
  <c r="AQ66" i="21"/>
  <c r="AJ66" i="21"/>
  <c r="AK66" i="21" s="1"/>
  <c r="U81" i="21"/>
  <c r="V81" i="21" s="1"/>
  <c r="W81" i="21" s="1"/>
  <c r="AM62" i="21"/>
  <c r="AJ62" i="21"/>
  <c r="AK62" i="21" s="1"/>
  <c r="AA62" i="21"/>
  <c r="AB62" i="21" s="1"/>
  <c r="AE62" i="21" s="1"/>
  <c r="X24" i="21"/>
  <c r="Y24" i="21" s="1"/>
  <c r="Z24" i="21" s="1"/>
  <c r="AM24" i="21"/>
  <c r="AQ24" i="21"/>
  <c r="AJ24" i="21"/>
  <c r="AK24" i="21" s="1"/>
  <c r="X14" i="21"/>
  <c r="Y14" i="21" s="1"/>
  <c r="Z14" i="21" s="1"/>
  <c r="AM14" i="21"/>
  <c r="AQ14" i="21"/>
  <c r="AA14" i="21"/>
  <c r="AB14" i="21" s="1"/>
  <c r="AE14" i="21" s="1"/>
  <c r="X49" i="21"/>
  <c r="Y49" i="21" s="1"/>
  <c r="Z49" i="21" s="1"/>
  <c r="AM49" i="21"/>
  <c r="X47" i="21"/>
  <c r="Y47" i="21" s="1"/>
  <c r="Z47" i="21" s="1"/>
  <c r="AM47" i="21"/>
  <c r="S47" i="21"/>
  <c r="AM55" i="21"/>
  <c r="AQ55" i="21"/>
  <c r="AJ55" i="21"/>
  <c r="AK55" i="21" s="1"/>
  <c r="AO45" i="21"/>
  <c r="AP45" i="21" s="1"/>
  <c r="AM45" i="21"/>
  <c r="AJ45" i="21"/>
  <c r="AK45" i="21" s="1"/>
  <c r="AO20" i="21"/>
  <c r="AP20" i="21" s="1"/>
  <c r="AJ20" i="21"/>
  <c r="AK20" i="21" s="1"/>
  <c r="AO75" i="21"/>
  <c r="AP75" i="21" s="1"/>
  <c r="X75" i="21"/>
  <c r="Y75" i="21" s="1"/>
  <c r="Z75" i="21" s="1"/>
  <c r="AO83" i="21"/>
  <c r="AP83" i="21" s="1"/>
  <c r="U83" i="21"/>
  <c r="V83" i="21" s="1"/>
  <c r="W83" i="21" s="1"/>
  <c r="X83" i="21"/>
  <c r="Y83" i="21" s="1"/>
  <c r="Z83" i="21" s="1"/>
  <c r="AO93" i="21"/>
  <c r="AP93" i="21" s="1"/>
  <c r="U93" i="21"/>
  <c r="V93" i="21" s="1"/>
  <c r="W93" i="21" s="1"/>
  <c r="X93" i="21"/>
  <c r="Y93" i="21" s="1"/>
  <c r="Z93" i="21" s="1"/>
  <c r="AJ93" i="21"/>
  <c r="AK93" i="21" s="1"/>
  <c r="Q93" i="21"/>
  <c r="AO97" i="21"/>
  <c r="AP97" i="21" s="1"/>
  <c r="U97" i="21"/>
  <c r="V97" i="21" s="1"/>
  <c r="W97" i="21" s="1"/>
  <c r="X97" i="21"/>
  <c r="Y97" i="21" s="1"/>
  <c r="Z97" i="21" s="1"/>
  <c r="U101" i="21"/>
  <c r="V101" i="21" s="1"/>
  <c r="W101" i="21" s="1"/>
  <c r="X101" i="21"/>
  <c r="Y101" i="21" s="1"/>
  <c r="Z101" i="21" s="1"/>
  <c r="AO105" i="21"/>
  <c r="AP105" i="21" s="1"/>
  <c r="U105" i="21"/>
  <c r="V105" i="21" s="1"/>
  <c r="W105" i="21" s="1"/>
  <c r="X105" i="21"/>
  <c r="Y105" i="21" s="1"/>
  <c r="Z105" i="21" s="1"/>
  <c r="S105" i="21"/>
  <c r="U109" i="21"/>
  <c r="V109" i="21" s="1"/>
  <c r="W109" i="21" s="1"/>
  <c r="X109" i="21"/>
  <c r="Y109" i="21" s="1"/>
  <c r="Z109" i="21" s="1"/>
  <c r="AJ109" i="21"/>
  <c r="AK109" i="21" s="1"/>
  <c r="AJ100" i="21"/>
  <c r="AK100" i="21" s="1"/>
  <c r="Q55" i="21"/>
  <c r="R55" i="21" s="1"/>
  <c r="S55" i="21"/>
  <c r="Q62" i="21"/>
  <c r="S62" i="21"/>
  <c r="S24" i="21"/>
  <c r="S14" i="21"/>
  <c r="Q47" i="21"/>
  <c r="R47" i="21" s="1"/>
  <c r="AO43" i="21"/>
  <c r="AP43" i="21" s="1"/>
  <c r="AM43" i="21"/>
  <c r="AO63" i="21"/>
  <c r="AP63" i="21" s="1"/>
  <c r="AM63" i="21"/>
  <c r="AJ63" i="21"/>
  <c r="AK63" i="21" s="1"/>
  <c r="AQ63" i="21"/>
  <c r="S63" i="21"/>
  <c r="Q63" i="21"/>
  <c r="AS63" i="21" s="1"/>
  <c r="AA63" i="21"/>
  <c r="AB63" i="21" s="1"/>
  <c r="AE63" i="21" s="1"/>
  <c r="AO30" i="21"/>
  <c r="AP30" i="21" s="1"/>
  <c r="S30" i="21"/>
  <c r="Q30" i="21"/>
  <c r="R30" i="21" s="1"/>
  <c r="AJ30" i="21"/>
  <c r="AK30" i="21" s="1"/>
  <c r="AO15" i="21"/>
  <c r="AP15" i="21" s="1"/>
  <c r="S15" i="21"/>
  <c r="Q15" i="21"/>
  <c r="R15" i="21" s="1"/>
  <c r="AA15" i="21"/>
  <c r="AB15" i="21" s="1"/>
  <c r="AE15" i="21" s="1"/>
  <c r="AO18" i="21"/>
  <c r="AP18" i="21" s="1"/>
  <c r="AJ18" i="21"/>
  <c r="AK18" i="21" s="1"/>
  <c r="AO106" i="21"/>
  <c r="AP106" i="21" s="1"/>
  <c r="Q106" i="21"/>
  <c r="R106" i="21" s="1"/>
  <c r="AM76" i="21"/>
  <c r="S76" i="21"/>
  <c r="Q76" i="21"/>
  <c r="AS76" i="21" s="1"/>
  <c r="AO54" i="21"/>
  <c r="AP54" i="21" s="1"/>
  <c r="AM54" i="21"/>
  <c r="AO22" i="21"/>
  <c r="AP22" i="21" s="1"/>
  <c r="AM22" i="21"/>
  <c r="AQ22" i="21"/>
  <c r="AJ22" i="21"/>
  <c r="AK22" i="21" s="1"/>
  <c r="AO85" i="21"/>
  <c r="AP85" i="21" s="1"/>
  <c r="AO101" i="21"/>
  <c r="AP101" i="21" s="1"/>
  <c r="AO10" i="21"/>
  <c r="AP10" i="21" s="1"/>
  <c r="AO44" i="21"/>
  <c r="AP44" i="21" s="1"/>
  <c r="AO76" i="21"/>
  <c r="AP76" i="21" s="1"/>
  <c r="AO58" i="21"/>
  <c r="AP58" i="21" s="1"/>
  <c r="AO53" i="21"/>
  <c r="AP53" i="21" s="1"/>
  <c r="AO9" i="21"/>
  <c r="AP9" i="21" s="1"/>
  <c r="AR9" i="21" s="1"/>
  <c r="AO92" i="21"/>
  <c r="AP92" i="21" s="1"/>
  <c r="AO96" i="21"/>
  <c r="AP96" i="21" s="1"/>
  <c r="AO100" i="21"/>
  <c r="AP100" i="21" s="1"/>
  <c r="AO104" i="21"/>
  <c r="AP104" i="21" s="1"/>
  <c r="AO108" i="21"/>
  <c r="AP108" i="21" s="1"/>
  <c r="AO84" i="21"/>
  <c r="AP84" i="21" s="1"/>
  <c r="AO49" i="21"/>
  <c r="AP49" i="21" s="1"/>
  <c r="AO47" i="21"/>
  <c r="AP47" i="21" s="1"/>
  <c r="AO87" i="21"/>
  <c r="AP87" i="21" s="1"/>
  <c r="AO66" i="21"/>
  <c r="AP66" i="21" s="1"/>
  <c r="AO62" i="21"/>
  <c r="AP62" i="21" s="1"/>
  <c r="AO24" i="21"/>
  <c r="AP24" i="21" s="1"/>
  <c r="AO48" i="21"/>
  <c r="AP48" i="21" s="1"/>
  <c r="AO14" i="21"/>
  <c r="AP14" i="21" s="1"/>
  <c r="AO70" i="21"/>
  <c r="AP70" i="21" s="1"/>
  <c r="AO28" i="21"/>
  <c r="AP28" i="21" s="1"/>
  <c r="AO78" i="21"/>
  <c r="AP78" i="21" s="1"/>
  <c r="AO55" i="21"/>
  <c r="AP55" i="21" s="1"/>
  <c r="AO57" i="21"/>
  <c r="AP57" i="21" s="1"/>
  <c r="AO33" i="21"/>
  <c r="AP33" i="21" s="1"/>
  <c r="AO21" i="21"/>
  <c r="AP21" i="21" s="1"/>
  <c r="AO73" i="21"/>
  <c r="AP73" i="21" s="1"/>
  <c r="AO27" i="21"/>
  <c r="AP27" i="21" s="1"/>
  <c r="AO67" i="21"/>
  <c r="AP67" i="21" s="1"/>
  <c r="AL86" i="21"/>
  <c r="AL82" i="21"/>
  <c r="AL75" i="21"/>
  <c r="AL64" i="21"/>
  <c r="AL62" i="21"/>
  <c r="AL92" i="21"/>
  <c r="AL94" i="21"/>
  <c r="AL96" i="21"/>
  <c r="AL98" i="21"/>
  <c r="AL108" i="21"/>
  <c r="AL70" i="21"/>
  <c r="AL79" i="21"/>
  <c r="AL88" i="21"/>
  <c r="AL84" i="21"/>
  <c r="AL87" i="21"/>
  <c r="AL83" i="21"/>
  <c r="AL67" i="21"/>
  <c r="AL65" i="21"/>
  <c r="AL63" i="21"/>
  <c r="AL61" i="21"/>
  <c r="AL68" i="21"/>
  <c r="AL91" i="21"/>
  <c r="AL93" i="21"/>
  <c r="AL95" i="21"/>
  <c r="AL97" i="21"/>
  <c r="AL99" i="21"/>
  <c r="AL101" i="21"/>
  <c r="AL103" i="21"/>
  <c r="AL105" i="21"/>
  <c r="AL107" i="21"/>
  <c r="AL109" i="21"/>
  <c r="AL71" i="21"/>
  <c r="AL74" i="21"/>
  <c r="AL78" i="21"/>
  <c r="AL90" i="21"/>
  <c r="AL89" i="21"/>
  <c r="AL85" i="21"/>
  <c r="AL81" i="21"/>
  <c r="AL69" i="21"/>
  <c r="AL66" i="21"/>
  <c r="AL60" i="21"/>
  <c r="AL100" i="21"/>
  <c r="AL102" i="21"/>
  <c r="AL104" i="21"/>
  <c r="AL106" i="21"/>
  <c r="AL73" i="21"/>
  <c r="AL76" i="21"/>
  <c r="AL80" i="21"/>
  <c r="AL77" i="21"/>
  <c r="AL72" i="21"/>
  <c r="AL59" i="21"/>
  <c r="X66" i="21"/>
  <c r="Y66" i="21" s="1"/>
  <c r="Z66" i="21" s="1"/>
  <c r="X62" i="21"/>
  <c r="Y62" i="21" s="1"/>
  <c r="Z62" i="21" s="1"/>
  <c r="X53" i="21"/>
  <c r="Y53" i="21" s="1"/>
  <c r="Z53" i="21" s="1"/>
  <c r="X44" i="21"/>
  <c r="Y44" i="21" s="1"/>
  <c r="Z44" i="21" s="1"/>
  <c r="X76" i="21"/>
  <c r="Y76" i="21" s="1"/>
  <c r="Z76" i="21" s="1"/>
  <c r="U90" i="21"/>
  <c r="V90" i="21" s="1"/>
  <c r="W90" i="21" s="1"/>
  <c r="U82" i="21"/>
  <c r="V82" i="21" s="1"/>
  <c r="W82" i="21" s="1"/>
  <c r="U40" i="21"/>
  <c r="V40" i="21" s="1"/>
  <c r="W40" i="21" s="1"/>
  <c r="U57" i="21"/>
  <c r="V57" i="21" s="1"/>
  <c r="W57" i="21" s="1"/>
  <c r="U43" i="21"/>
  <c r="V43" i="21" s="1"/>
  <c r="W43" i="21" s="1"/>
  <c r="U26" i="21"/>
  <c r="V26" i="21" s="1"/>
  <c r="W26" i="21" s="1"/>
  <c r="AH26" i="21"/>
  <c r="AF26" i="21"/>
  <c r="AG26" i="21" s="1"/>
  <c r="U79" i="21"/>
  <c r="V79" i="21" s="1"/>
  <c r="W79" i="21" s="1"/>
  <c r="U67" i="21"/>
  <c r="V67" i="21" s="1"/>
  <c r="W67" i="21" s="1"/>
  <c r="U63" i="21"/>
  <c r="V63" i="21" s="1"/>
  <c r="W63" i="21" s="1"/>
  <c r="U58" i="21"/>
  <c r="V58" i="21" s="1"/>
  <c r="W58" i="21" s="1"/>
  <c r="U30" i="21"/>
  <c r="V30" i="21" s="1"/>
  <c r="W30" i="21" s="1"/>
  <c r="AF30" i="21"/>
  <c r="AG30" i="21" s="1"/>
  <c r="AH30" i="21"/>
  <c r="U52" i="21"/>
  <c r="V52" i="21" s="1"/>
  <c r="W52" i="21" s="1"/>
  <c r="U37" i="21"/>
  <c r="V37" i="21" s="1"/>
  <c r="W37" i="21" s="1"/>
  <c r="U23" i="21"/>
  <c r="V23" i="21" s="1"/>
  <c r="W23" i="21" s="1"/>
  <c r="AF23" i="21"/>
  <c r="AG23" i="21" s="1"/>
  <c r="AH23" i="21"/>
  <c r="U15" i="21"/>
  <c r="V15" i="21" s="1"/>
  <c r="W15" i="21" s="1"/>
  <c r="AH15" i="21"/>
  <c r="AF15" i="21"/>
  <c r="AG15" i="21" s="1"/>
  <c r="U11" i="21"/>
  <c r="V11" i="21" s="1"/>
  <c r="W11" i="21" s="1"/>
  <c r="AH11" i="21"/>
  <c r="AF11" i="21"/>
  <c r="AG11" i="21" s="1"/>
  <c r="U17" i="21"/>
  <c r="V17" i="21" s="1"/>
  <c r="W17" i="21" s="1"/>
  <c r="AF17" i="21"/>
  <c r="AG17" i="21" s="1"/>
  <c r="AH17" i="21"/>
  <c r="U42" i="21"/>
  <c r="V42" i="21" s="1"/>
  <c r="W42" i="21" s="1"/>
  <c r="U91" i="21"/>
  <c r="V91" i="21" s="1"/>
  <c r="W91" i="21" s="1"/>
  <c r="U95" i="21"/>
  <c r="V95" i="21" s="1"/>
  <c r="W95" i="21" s="1"/>
  <c r="U99" i="21"/>
  <c r="V99" i="21" s="1"/>
  <c r="W99" i="21" s="1"/>
  <c r="U103" i="21"/>
  <c r="V103" i="21" s="1"/>
  <c r="W103" i="21" s="1"/>
  <c r="U107" i="21"/>
  <c r="V107" i="21" s="1"/>
  <c r="W107" i="21" s="1"/>
  <c r="U71" i="21"/>
  <c r="V71" i="21" s="1"/>
  <c r="W71" i="21" s="1"/>
  <c r="U86" i="21"/>
  <c r="V86" i="21" s="1"/>
  <c r="W86" i="21" s="1"/>
  <c r="U55" i="21"/>
  <c r="V55" i="21" s="1"/>
  <c r="W55" i="21" s="1"/>
  <c r="U35" i="21"/>
  <c r="V35" i="21" s="1"/>
  <c r="W35" i="21" s="1"/>
  <c r="U50" i="21"/>
  <c r="V50" i="21" s="1"/>
  <c r="W50" i="21" s="1"/>
  <c r="U34" i="21"/>
  <c r="V34" i="21" s="1"/>
  <c r="W34" i="21" s="1"/>
  <c r="AH34" i="21"/>
  <c r="AF34" i="21"/>
  <c r="AG34" i="21" s="1"/>
  <c r="U64" i="21"/>
  <c r="V64" i="21" s="1"/>
  <c r="W64" i="21" s="1"/>
  <c r="U60" i="21"/>
  <c r="V60" i="21" s="1"/>
  <c r="W60" i="21" s="1"/>
  <c r="U31" i="21"/>
  <c r="V31" i="21" s="1"/>
  <c r="W31" i="21" s="1"/>
  <c r="AF31" i="21"/>
  <c r="AG31" i="21" s="1"/>
  <c r="AH31" i="21"/>
  <c r="U56" i="21"/>
  <c r="V56" i="21" s="1"/>
  <c r="W56" i="21" s="1"/>
  <c r="U41" i="21"/>
  <c r="V41" i="21" s="1"/>
  <c r="W41" i="21" s="1"/>
  <c r="U25" i="21"/>
  <c r="V25" i="21" s="1"/>
  <c r="W25" i="21" s="1"/>
  <c r="AH25" i="21"/>
  <c r="AF25" i="21"/>
  <c r="AG25" i="21" s="1"/>
  <c r="U16" i="21"/>
  <c r="V16" i="21" s="1"/>
  <c r="W16" i="21" s="1"/>
  <c r="AH16" i="21"/>
  <c r="AF16" i="21"/>
  <c r="AG16" i="21" s="1"/>
  <c r="U12" i="21"/>
  <c r="V12" i="21" s="1"/>
  <c r="W12" i="21" s="1"/>
  <c r="AH12" i="21"/>
  <c r="AF12" i="21"/>
  <c r="AG12" i="21" s="1"/>
  <c r="U18" i="21"/>
  <c r="V18" i="21" s="1"/>
  <c r="W18" i="21" s="1"/>
  <c r="AF18" i="21"/>
  <c r="AG18" i="21" s="1"/>
  <c r="AH18" i="21"/>
  <c r="U32" i="21"/>
  <c r="V32" i="21" s="1"/>
  <c r="W32" i="21" s="1"/>
  <c r="AH32" i="21"/>
  <c r="AF32" i="21"/>
  <c r="AG32" i="21" s="1"/>
  <c r="U51" i="21"/>
  <c r="V51" i="21" s="1"/>
  <c r="W51" i="21" s="1"/>
  <c r="U94" i="21"/>
  <c r="V94" i="21" s="1"/>
  <c r="W94" i="21" s="1"/>
  <c r="U98" i="21"/>
  <c r="V98" i="21" s="1"/>
  <c r="W98" i="21" s="1"/>
  <c r="U102" i="21"/>
  <c r="V102" i="21" s="1"/>
  <c r="W102" i="21" s="1"/>
  <c r="U106" i="21"/>
  <c r="V106" i="21" s="1"/>
  <c r="W106" i="21" s="1"/>
  <c r="U70" i="21"/>
  <c r="V70" i="21" s="1"/>
  <c r="W70" i="21" s="1"/>
  <c r="U88" i="21"/>
  <c r="V88" i="21" s="1"/>
  <c r="W88" i="21" s="1"/>
  <c r="U80" i="21"/>
  <c r="V80" i="21" s="1"/>
  <c r="W80" i="21" s="1"/>
  <c r="U36" i="21"/>
  <c r="V36" i="21" s="1"/>
  <c r="W36" i="21" s="1"/>
  <c r="U54" i="21"/>
  <c r="V54" i="21" s="1"/>
  <c r="W54" i="21" s="1"/>
  <c r="U39" i="21"/>
  <c r="V39" i="21" s="1"/>
  <c r="W39" i="21" s="1"/>
  <c r="U22" i="21"/>
  <c r="V22" i="21" s="1"/>
  <c r="W22" i="21" s="1"/>
  <c r="AF22" i="21"/>
  <c r="AG22" i="21" s="1"/>
  <c r="AH22" i="21"/>
  <c r="U72" i="21"/>
  <c r="V72" i="21" s="1"/>
  <c r="W72" i="21" s="1"/>
  <c r="U65" i="21"/>
  <c r="V65" i="21" s="1"/>
  <c r="W65" i="21" s="1"/>
  <c r="U61" i="21"/>
  <c r="V61" i="21" s="1"/>
  <c r="W61" i="21" s="1"/>
  <c r="U38" i="21"/>
  <c r="V38" i="21" s="1"/>
  <c r="W38" i="21" s="1"/>
  <c r="U68" i="21"/>
  <c r="V68" i="21" s="1"/>
  <c r="W68" i="21" s="1"/>
  <c r="U45" i="21"/>
  <c r="V45" i="21" s="1"/>
  <c r="W45" i="21" s="1"/>
  <c r="U29" i="21"/>
  <c r="V29" i="21" s="1"/>
  <c r="W29" i="21" s="1"/>
  <c r="AF29" i="21"/>
  <c r="AG29" i="21" s="1"/>
  <c r="AH29" i="21"/>
  <c r="U19" i="21"/>
  <c r="V19" i="21" s="1"/>
  <c r="W19" i="21" s="1"/>
  <c r="AH19" i="21"/>
  <c r="AF19" i="21"/>
  <c r="AG19" i="21" s="1"/>
  <c r="U13" i="21"/>
  <c r="V13" i="21" s="1"/>
  <c r="W13" i="21" s="1"/>
  <c r="AH13" i="21"/>
  <c r="AF13" i="21"/>
  <c r="AG13" i="21" s="1"/>
  <c r="U20" i="21"/>
  <c r="V20" i="21" s="1"/>
  <c r="W20" i="21" s="1"/>
  <c r="AF20" i="21"/>
  <c r="AG20" i="21" s="1"/>
  <c r="AH20" i="21"/>
  <c r="U59" i="21"/>
  <c r="V59" i="21" s="1"/>
  <c r="W59" i="21" s="1"/>
  <c r="U46" i="21"/>
  <c r="V46" i="21" s="1"/>
  <c r="W46" i="21" s="1"/>
  <c r="X91" i="21"/>
  <c r="Y91" i="21" s="1"/>
  <c r="Z91" i="21" s="1"/>
  <c r="X99" i="21"/>
  <c r="Y99" i="21" s="1"/>
  <c r="Z99" i="21" s="1"/>
  <c r="X107" i="21"/>
  <c r="Y107" i="21" s="1"/>
  <c r="Z107" i="21" s="1"/>
  <c r="U74" i="21"/>
  <c r="V74" i="21" s="1"/>
  <c r="W74" i="21" s="1"/>
  <c r="X90" i="21"/>
  <c r="Y90" i="21" s="1"/>
  <c r="Z90" i="21" s="1"/>
  <c r="X82" i="21"/>
  <c r="Y82" i="21" s="1"/>
  <c r="Z82" i="21" s="1"/>
  <c r="X40" i="21"/>
  <c r="Y40" i="21" s="1"/>
  <c r="Z40" i="21" s="1"/>
  <c r="X57" i="21"/>
  <c r="Y57" i="21" s="1"/>
  <c r="Z57" i="21" s="1"/>
  <c r="X43" i="21"/>
  <c r="Y43" i="21" s="1"/>
  <c r="Z43" i="21" s="1"/>
  <c r="X26" i="21"/>
  <c r="Y26" i="21" s="1"/>
  <c r="Z26" i="21" s="1"/>
  <c r="U66" i="21"/>
  <c r="V66" i="21" s="1"/>
  <c r="W66" i="21" s="1"/>
  <c r="U62" i="21"/>
  <c r="V62" i="21" s="1"/>
  <c r="W62" i="21" s="1"/>
  <c r="U53" i="21"/>
  <c r="V53" i="21" s="1"/>
  <c r="W53" i="21" s="1"/>
  <c r="U24" i="21"/>
  <c r="V24" i="21" s="1"/>
  <c r="W24" i="21" s="1"/>
  <c r="AF24" i="21"/>
  <c r="AG24" i="21" s="1"/>
  <c r="AH24" i="21"/>
  <c r="U48" i="21"/>
  <c r="V48" i="21" s="1"/>
  <c r="W48" i="21" s="1"/>
  <c r="U33" i="21"/>
  <c r="V33" i="21" s="1"/>
  <c r="W33" i="21" s="1"/>
  <c r="AH33" i="21"/>
  <c r="AF33" i="21"/>
  <c r="AG33" i="21" s="1"/>
  <c r="U21" i="21"/>
  <c r="V21" i="21" s="1"/>
  <c r="W21" i="21" s="1"/>
  <c r="AF21" i="21"/>
  <c r="AG21" i="21" s="1"/>
  <c r="AH21" i="21"/>
  <c r="Q21" i="21"/>
  <c r="U14" i="21"/>
  <c r="V14" i="21" s="1"/>
  <c r="W14" i="21" s="1"/>
  <c r="AH14" i="21"/>
  <c r="AF14" i="21"/>
  <c r="U9" i="21"/>
  <c r="V9" i="21" s="1"/>
  <c r="W9" i="21" s="1"/>
  <c r="AH9" i="21"/>
  <c r="AF9" i="21"/>
  <c r="U10" i="21"/>
  <c r="V10" i="21" s="1"/>
  <c r="W10" i="21" s="1"/>
  <c r="AF10" i="21"/>
  <c r="AG10" i="21" s="1"/>
  <c r="AH10" i="21"/>
  <c r="U44" i="21"/>
  <c r="V44" i="21" s="1"/>
  <c r="W44" i="21" s="1"/>
  <c r="U92" i="21"/>
  <c r="V92" i="21" s="1"/>
  <c r="W92" i="21" s="1"/>
  <c r="U96" i="21"/>
  <c r="V96" i="21" s="1"/>
  <c r="W96" i="21" s="1"/>
  <c r="U100" i="21"/>
  <c r="V100" i="21" s="1"/>
  <c r="W100" i="21" s="1"/>
  <c r="U104" i="21"/>
  <c r="V104" i="21" s="1"/>
  <c r="W104" i="21" s="1"/>
  <c r="U108" i="21"/>
  <c r="V108" i="21" s="1"/>
  <c r="W108" i="21" s="1"/>
  <c r="U73" i="21"/>
  <c r="V73" i="21" s="1"/>
  <c r="W73" i="21" s="1"/>
  <c r="U84" i="21"/>
  <c r="V84" i="21" s="1"/>
  <c r="W84" i="21" s="1"/>
  <c r="U49" i="21"/>
  <c r="V49" i="21" s="1"/>
  <c r="W49" i="21" s="1"/>
  <c r="U27" i="21"/>
  <c r="V27" i="21" s="1"/>
  <c r="W27" i="21" s="1"/>
  <c r="AF27" i="21"/>
  <c r="AG27" i="21" s="1"/>
  <c r="AH27" i="21"/>
  <c r="U47" i="21"/>
  <c r="V47" i="21" s="1"/>
  <c r="W47" i="21" s="1"/>
  <c r="U28" i="21"/>
  <c r="V28" i="21" s="1"/>
  <c r="W28" i="21" s="1"/>
  <c r="AH28" i="21"/>
  <c r="AF28" i="21"/>
  <c r="AG28" i="21" s="1"/>
  <c r="U87" i="21"/>
  <c r="V87" i="21" s="1"/>
  <c r="W87" i="21" s="1"/>
  <c r="U77" i="21"/>
  <c r="V77" i="21" s="1"/>
  <c r="W77" i="21" s="1"/>
  <c r="X67" i="21"/>
  <c r="Y67" i="21" s="1"/>
  <c r="Z67" i="21" s="1"/>
  <c r="X63" i="21"/>
  <c r="Y63" i="21" s="1"/>
  <c r="Z63" i="21" s="1"/>
  <c r="X58" i="21"/>
  <c r="Y58" i="21" s="1"/>
  <c r="Z58" i="21" s="1"/>
  <c r="X30" i="21"/>
  <c r="Y30" i="21" s="1"/>
  <c r="Z30" i="21" s="1"/>
  <c r="X52" i="21"/>
  <c r="Y52" i="21" s="1"/>
  <c r="Z52" i="21" s="1"/>
  <c r="X37" i="21"/>
  <c r="Y37" i="21" s="1"/>
  <c r="Z37" i="21" s="1"/>
  <c r="X23" i="21"/>
  <c r="Y23" i="21" s="1"/>
  <c r="Z23" i="21" s="1"/>
  <c r="X15" i="21"/>
  <c r="Y15" i="21" s="1"/>
  <c r="Z15" i="21" s="1"/>
  <c r="X11" i="21"/>
  <c r="Y11" i="21" s="1"/>
  <c r="Z11" i="21" s="1"/>
  <c r="X17" i="21"/>
  <c r="Y17" i="21" s="1"/>
  <c r="Z17" i="21" s="1"/>
  <c r="X42" i="21"/>
  <c r="Y42" i="21" s="1"/>
  <c r="Z42" i="21" s="1"/>
  <c r="U78" i="21"/>
  <c r="V78" i="21" s="1"/>
  <c r="W78" i="21" s="1"/>
  <c r="X86" i="21"/>
  <c r="Y86" i="21" s="1"/>
  <c r="Z86" i="21" s="1"/>
  <c r="X55" i="21"/>
  <c r="Y55" i="21" s="1"/>
  <c r="Z55" i="21" s="1"/>
  <c r="X35" i="21"/>
  <c r="Y35" i="21" s="1"/>
  <c r="Z35" i="21" s="1"/>
  <c r="X50" i="21"/>
  <c r="Y50" i="21" s="1"/>
  <c r="Z50" i="21" s="1"/>
  <c r="X34" i="21"/>
  <c r="Y34" i="21" s="1"/>
  <c r="Z34" i="21" s="1"/>
  <c r="X64" i="21"/>
  <c r="Y64" i="21" s="1"/>
  <c r="Z64" i="21" s="1"/>
  <c r="X60" i="21"/>
  <c r="Y60" i="21" s="1"/>
  <c r="Z60" i="21" s="1"/>
  <c r="X31" i="21"/>
  <c r="Y31" i="21" s="1"/>
  <c r="Z31" i="21" s="1"/>
  <c r="X56" i="21"/>
  <c r="Y56" i="21" s="1"/>
  <c r="Z56" i="21" s="1"/>
  <c r="X41" i="21"/>
  <c r="Y41" i="21" s="1"/>
  <c r="Z41" i="21" s="1"/>
  <c r="X25" i="21"/>
  <c r="Y25" i="21" s="1"/>
  <c r="Z25" i="21" s="1"/>
  <c r="X16" i="21"/>
  <c r="Y16" i="21" s="1"/>
  <c r="Z16" i="21" s="1"/>
  <c r="X12" i="21"/>
  <c r="Y12" i="21" s="1"/>
  <c r="Z12" i="21" s="1"/>
  <c r="X18" i="21"/>
  <c r="Y18" i="21" s="1"/>
  <c r="Z18" i="21" s="1"/>
  <c r="X32" i="21"/>
  <c r="Y32" i="21" s="1"/>
  <c r="Z32" i="21" s="1"/>
  <c r="X51" i="21"/>
  <c r="Y51" i="21" s="1"/>
  <c r="Z51" i="21" s="1"/>
  <c r="X94" i="21"/>
  <c r="Y94" i="21" s="1"/>
  <c r="Z94" i="21" s="1"/>
  <c r="X98" i="21"/>
  <c r="Y98" i="21" s="1"/>
  <c r="Z98" i="21" s="1"/>
  <c r="X102" i="21"/>
  <c r="Y102" i="21" s="1"/>
  <c r="Z102" i="21" s="1"/>
  <c r="X106" i="21"/>
  <c r="Y106" i="21" s="1"/>
  <c r="Z106" i="21" s="1"/>
  <c r="X70" i="21"/>
  <c r="Y70" i="21" s="1"/>
  <c r="Z70" i="21" s="1"/>
  <c r="U76" i="21"/>
  <c r="V76" i="21" s="1"/>
  <c r="W76" i="21" s="1"/>
  <c r="X79" i="21"/>
  <c r="Y79" i="21" s="1"/>
  <c r="Z79" i="21" s="1"/>
  <c r="X88" i="21"/>
  <c r="Y88" i="21" s="1"/>
  <c r="Z88" i="21" s="1"/>
  <c r="X80" i="21"/>
  <c r="Y80" i="21" s="1"/>
  <c r="Z80" i="21" s="1"/>
  <c r="X36" i="21"/>
  <c r="Y36" i="21" s="1"/>
  <c r="Z36" i="21" s="1"/>
  <c r="X54" i="21"/>
  <c r="Y54" i="21" s="1"/>
  <c r="Z54" i="21" s="1"/>
  <c r="X39" i="21"/>
  <c r="Y39" i="21" s="1"/>
  <c r="Z39" i="21" s="1"/>
  <c r="X22" i="21"/>
  <c r="Y22" i="21" s="1"/>
  <c r="Z22" i="21" s="1"/>
  <c r="X77" i="21"/>
  <c r="Y77" i="21" s="1"/>
  <c r="Z77" i="21" s="1"/>
  <c r="X72" i="21"/>
  <c r="Y72" i="21" s="1"/>
  <c r="Z72" i="21" s="1"/>
  <c r="X65" i="21"/>
  <c r="Y65" i="21" s="1"/>
  <c r="Z65" i="21" s="1"/>
  <c r="X61" i="21"/>
  <c r="Y61" i="21" s="1"/>
  <c r="Z61" i="21" s="1"/>
  <c r="X38" i="21"/>
  <c r="Y38" i="21" s="1"/>
  <c r="Z38" i="21" s="1"/>
  <c r="X68" i="21"/>
  <c r="Y68" i="21" s="1"/>
  <c r="Z68" i="21" s="1"/>
  <c r="X45" i="21"/>
  <c r="Y45" i="21" s="1"/>
  <c r="Z45" i="21" s="1"/>
  <c r="X29" i="21"/>
  <c r="Y29" i="21" s="1"/>
  <c r="Z29" i="21" s="1"/>
  <c r="X19" i="21"/>
  <c r="Y19" i="21" s="1"/>
  <c r="Z19" i="21" s="1"/>
  <c r="X13" i="21"/>
  <c r="Y13" i="21" s="1"/>
  <c r="Z13" i="21" s="1"/>
  <c r="X20" i="21"/>
  <c r="Y20" i="21" s="1"/>
  <c r="Z20" i="21" s="1"/>
  <c r="X59" i="21"/>
  <c r="Y59" i="21" s="1"/>
  <c r="Z59" i="21" s="1"/>
  <c r="X46" i="21"/>
  <c r="Y46" i="21" s="1"/>
  <c r="Z46" i="21" s="1"/>
  <c r="X95" i="21"/>
  <c r="Y95" i="21" s="1"/>
  <c r="Z95" i="21" s="1"/>
  <c r="X103" i="21"/>
  <c r="Y103" i="21" s="1"/>
  <c r="Z103" i="21" s="1"/>
  <c r="X71" i="21"/>
  <c r="Y71" i="21" s="1"/>
  <c r="Z71" i="21" s="1"/>
  <c r="X74" i="21"/>
  <c r="Y74" i="21" s="1"/>
  <c r="Z74" i="21" s="1"/>
  <c r="Q81" i="21"/>
  <c r="R81" i="21" s="1"/>
  <c r="AJ25" i="21"/>
  <c r="Q98" i="21"/>
  <c r="Q59" i="21"/>
  <c r="AS59" i="21" s="1"/>
  <c r="Q97" i="21"/>
  <c r="Q101" i="21"/>
  <c r="R101" i="21" s="1"/>
  <c r="S81" i="21"/>
  <c r="Q74" i="21"/>
  <c r="R74" i="21" s="1"/>
  <c r="AJ57" i="21"/>
  <c r="AK57" i="21" s="1"/>
  <c r="AQ43" i="21"/>
  <c r="Y81" i="21"/>
  <c r="Z81" i="21" s="1"/>
  <c r="Q83" i="21"/>
  <c r="AS83" i="21" s="1"/>
  <c r="AQ45" i="21"/>
  <c r="S90" i="21"/>
  <c r="S57" i="21"/>
  <c r="AA57" i="21"/>
  <c r="AB57" i="21" s="1"/>
  <c r="S106" i="21"/>
  <c r="S83" i="21"/>
  <c r="S45" i="21"/>
  <c r="AA45" i="21"/>
  <c r="AB45" i="21" s="1"/>
  <c r="S93" i="21"/>
  <c r="S109" i="21"/>
  <c r="Q45" i="21"/>
  <c r="AS45" i="21" s="1"/>
  <c r="Q57" i="21"/>
  <c r="R57" i="21" s="1"/>
  <c r="AM50" i="21"/>
  <c r="AF85" i="21"/>
  <c r="AG85" i="21" s="1"/>
  <c r="AM85" i="21"/>
  <c r="AQ85" i="21"/>
  <c r="AM75" i="21"/>
  <c r="AQ75" i="21"/>
  <c r="AM65" i="21"/>
  <c r="AQ65" i="21"/>
  <c r="AF61" i="21"/>
  <c r="AG61" i="21" s="1"/>
  <c r="AM61" i="21"/>
  <c r="AQ61" i="21"/>
  <c r="AJ61" i="21"/>
  <c r="AK61" i="21" s="1"/>
  <c r="AF46" i="21"/>
  <c r="AG46" i="21" s="1"/>
  <c r="AM46" i="21"/>
  <c r="AF91" i="21"/>
  <c r="AG91" i="21" s="1"/>
  <c r="AM91" i="21"/>
  <c r="AQ91" i="21"/>
  <c r="AM95" i="21"/>
  <c r="AQ95" i="21"/>
  <c r="AF99" i="21"/>
  <c r="AG99" i="21" s="1"/>
  <c r="AM99" i="21"/>
  <c r="AQ99" i="21"/>
  <c r="AM103" i="21"/>
  <c r="AQ103" i="21"/>
  <c r="AF107" i="21"/>
  <c r="AG107" i="21" s="1"/>
  <c r="AM107" i="21"/>
  <c r="AQ107" i="21"/>
  <c r="AM71" i="21"/>
  <c r="AQ71" i="21"/>
  <c r="AJ71" i="21"/>
  <c r="AK71" i="21" s="1"/>
  <c r="AM78" i="21"/>
  <c r="AQ78" i="21"/>
  <c r="AA40" i="21"/>
  <c r="AB40" i="21" s="1"/>
  <c r="AM89" i="21"/>
  <c r="AQ89" i="21"/>
  <c r="AJ89" i="21"/>
  <c r="AK89" i="21" s="1"/>
  <c r="AA89" i="21"/>
  <c r="AB89" i="21" s="1"/>
  <c r="AE89" i="21" s="1"/>
  <c r="AM102" i="21"/>
  <c r="AQ102" i="21"/>
  <c r="AJ102" i="21"/>
  <c r="AK102" i="21" s="1"/>
  <c r="AA102" i="21"/>
  <c r="AB102" i="21" s="1"/>
  <c r="AJ95" i="21"/>
  <c r="AK95" i="21" s="1"/>
  <c r="AM97" i="21"/>
  <c r="AQ97" i="21"/>
  <c r="AJ97" i="21"/>
  <c r="AK97" i="21" s="1"/>
  <c r="AA97" i="21"/>
  <c r="AB97" i="21" s="1"/>
  <c r="AE97" i="21" s="1"/>
  <c r="AM59" i="21"/>
  <c r="AA59" i="21"/>
  <c r="AB59" i="21" s="1"/>
  <c r="AQ59" i="21"/>
  <c r="AJ99" i="21"/>
  <c r="AK99" i="21" s="1"/>
  <c r="AM101" i="21"/>
  <c r="AA101" i="21"/>
  <c r="AB101" i="21" s="1"/>
  <c r="AE101" i="21" s="1"/>
  <c r="AQ101" i="21"/>
  <c r="AM86" i="21"/>
  <c r="AQ86" i="21"/>
  <c r="AJ43" i="21"/>
  <c r="AK43" i="21" s="1"/>
  <c r="AA75" i="21"/>
  <c r="AB75" i="21" s="1"/>
  <c r="AE75" i="21" s="1"/>
  <c r="AM69" i="21"/>
  <c r="AQ69" i="21"/>
  <c r="AF64" i="21"/>
  <c r="AG64" i="21" s="1"/>
  <c r="AM64" i="21"/>
  <c r="AQ64" i="21"/>
  <c r="AJ64" i="21"/>
  <c r="AK64" i="21" s="1"/>
  <c r="AM60" i="21"/>
  <c r="AQ60" i="21"/>
  <c r="AQ56" i="21"/>
  <c r="AJ41" i="21"/>
  <c r="AK41" i="21" s="1"/>
  <c r="Q51" i="21"/>
  <c r="AM51" i="21"/>
  <c r="AM92" i="21"/>
  <c r="AQ92" i="21"/>
  <c r="AM96" i="21"/>
  <c r="AQ96" i="21"/>
  <c r="AM100" i="21"/>
  <c r="AQ100" i="21"/>
  <c r="Q102" i="21"/>
  <c r="AS102" i="21" s="1"/>
  <c r="AM104" i="21"/>
  <c r="AQ104" i="21"/>
  <c r="AM108" i="21"/>
  <c r="AQ108" i="21"/>
  <c r="AM73" i="21"/>
  <c r="AQ73" i="21"/>
  <c r="AM79" i="21"/>
  <c r="AQ79" i="21"/>
  <c r="AJ79" i="21"/>
  <c r="AK79" i="21" s="1"/>
  <c r="AM88" i="21"/>
  <c r="AQ88" i="21"/>
  <c r="AM80" i="21"/>
  <c r="AQ80" i="21"/>
  <c r="AF87" i="21"/>
  <c r="AG87" i="21" s="1"/>
  <c r="AM87" i="21"/>
  <c r="AQ87" i="21"/>
  <c r="AM77" i="21"/>
  <c r="AQ77" i="21"/>
  <c r="S43" i="21"/>
  <c r="AA43" i="21"/>
  <c r="AB43" i="21" s="1"/>
  <c r="S89" i="21"/>
  <c r="S56" i="21"/>
  <c r="AA56" i="21"/>
  <c r="AB56" i="21" s="1"/>
  <c r="S59" i="21"/>
  <c r="S97" i="21"/>
  <c r="S101" i="21"/>
  <c r="AJ86" i="21"/>
  <c r="AK86" i="21" s="1"/>
  <c r="AM82" i="21"/>
  <c r="AQ82" i="21"/>
  <c r="AJ82" i="21"/>
  <c r="AK82" i="21" s="1"/>
  <c r="AA82" i="21"/>
  <c r="AB82" i="21" s="1"/>
  <c r="Q43" i="21"/>
  <c r="AJ75" i="21"/>
  <c r="AK75" i="21" s="1"/>
  <c r="Q56" i="21"/>
  <c r="AJ92" i="21"/>
  <c r="AK92" i="21" s="1"/>
  <c r="AM94" i="21"/>
  <c r="AQ94" i="21"/>
  <c r="AJ94" i="21"/>
  <c r="AK94" i="21" s="1"/>
  <c r="AA94" i="21"/>
  <c r="AB94" i="21" s="1"/>
  <c r="AJ108" i="21"/>
  <c r="AK108" i="21" s="1"/>
  <c r="AJ77" i="21"/>
  <c r="AK77" i="21" s="1"/>
  <c r="AM72" i="21"/>
  <c r="AQ72" i="21"/>
  <c r="AJ72" i="21"/>
  <c r="AK72" i="21" s="1"/>
  <c r="AA72" i="21"/>
  <c r="AB72" i="21" s="1"/>
  <c r="AM90" i="21"/>
  <c r="AA90" i="21"/>
  <c r="AB90" i="21" s="1"/>
  <c r="AQ90" i="21"/>
  <c r="AJ90" i="21"/>
  <c r="AK90" i="21" s="1"/>
  <c r="AJ85" i="21"/>
  <c r="AK85" i="21" s="1"/>
  <c r="AJ96" i="21"/>
  <c r="AK96" i="21" s="1"/>
  <c r="AM106" i="21"/>
  <c r="AA106" i="21"/>
  <c r="AB106" i="21" s="1"/>
  <c r="AQ106" i="21"/>
  <c r="AJ106" i="21"/>
  <c r="AK106" i="21" s="1"/>
  <c r="AJ88" i="21"/>
  <c r="AK88" i="21" s="1"/>
  <c r="AM83" i="21"/>
  <c r="AA83" i="21"/>
  <c r="AB83" i="21" s="1"/>
  <c r="AE83" i="21" s="1"/>
  <c r="AQ83" i="21"/>
  <c r="AJ83" i="21"/>
  <c r="AK83" i="21" s="1"/>
  <c r="AJ101" i="21"/>
  <c r="AK101" i="21" s="1"/>
  <c r="AJ103" i="21"/>
  <c r="AK103" i="21" s="1"/>
  <c r="AM105" i="21"/>
  <c r="AQ105" i="21"/>
  <c r="AJ105" i="21"/>
  <c r="AK105" i="21" s="1"/>
  <c r="AA105" i="21"/>
  <c r="AB105" i="21" s="1"/>
  <c r="AE105" i="21" s="1"/>
  <c r="AJ78" i="21"/>
  <c r="AK78" i="21" s="1"/>
  <c r="AM81" i="21"/>
  <c r="AA81" i="21"/>
  <c r="AB81" i="21" s="1"/>
  <c r="AQ81" i="21"/>
  <c r="AJ81" i="21"/>
  <c r="AK81" i="21" s="1"/>
  <c r="AJ69" i="21"/>
  <c r="AK69" i="21" s="1"/>
  <c r="AJ60" i="21"/>
  <c r="AK60" i="21" s="1"/>
  <c r="AM98" i="21"/>
  <c r="AA98" i="21"/>
  <c r="AB98" i="21" s="1"/>
  <c r="AQ98" i="21"/>
  <c r="AJ98" i="21"/>
  <c r="AK98" i="21" s="1"/>
  <c r="AJ104" i="21"/>
  <c r="AK104" i="21" s="1"/>
  <c r="AJ73" i="21"/>
  <c r="AK73" i="21" s="1"/>
  <c r="AM84" i="21"/>
  <c r="AA84" i="21"/>
  <c r="AB84" i="21" s="1"/>
  <c r="AQ84" i="21"/>
  <c r="AJ84" i="21"/>
  <c r="AK84" i="21" s="1"/>
  <c r="AJ87" i="21"/>
  <c r="AK87" i="21" s="1"/>
  <c r="AJ65" i="21"/>
  <c r="AK65" i="21" s="1"/>
  <c r="AM68" i="21"/>
  <c r="AQ68" i="21"/>
  <c r="AA68" i="21"/>
  <c r="AB68" i="21" s="1"/>
  <c r="AJ91" i="21"/>
  <c r="AK91" i="21" s="1"/>
  <c r="AM93" i="21"/>
  <c r="AA93" i="21"/>
  <c r="AB93" i="21" s="1"/>
  <c r="AE93" i="21" s="1"/>
  <c r="AQ93" i="21"/>
  <c r="AJ107" i="21"/>
  <c r="AK107" i="21" s="1"/>
  <c r="AM109" i="21"/>
  <c r="AA109" i="21"/>
  <c r="AB109" i="21" s="1"/>
  <c r="AE109" i="21" s="1"/>
  <c r="AQ109" i="21"/>
  <c r="AL53" i="20"/>
  <c r="AL40" i="21"/>
  <c r="AL50" i="21"/>
  <c r="AL34" i="21"/>
  <c r="AL31" i="21"/>
  <c r="AL48" i="21"/>
  <c r="AL33" i="21"/>
  <c r="AL16" i="21"/>
  <c r="AL12" i="21"/>
  <c r="AL10" i="21"/>
  <c r="AL32" i="21"/>
  <c r="AL51" i="21"/>
  <c r="AL49" i="21"/>
  <c r="AL27" i="21"/>
  <c r="AL54" i="21"/>
  <c r="AL39" i="21"/>
  <c r="AL38" i="21"/>
  <c r="AL52" i="21"/>
  <c r="AL37" i="21"/>
  <c r="AL23" i="21"/>
  <c r="AL19" i="21"/>
  <c r="AL13" i="21"/>
  <c r="AL17" i="21"/>
  <c r="AL46" i="21"/>
  <c r="AL55" i="21"/>
  <c r="AL35" i="21"/>
  <c r="AL57" i="21"/>
  <c r="AL43" i="21"/>
  <c r="AL26" i="21"/>
  <c r="AL53" i="21"/>
  <c r="AL24" i="21"/>
  <c r="AL56" i="21"/>
  <c r="AL41" i="21"/>
  <c r="AL25" i="21"/>
  <c r="AL21" i="21"/>
  <c r="AL14" i="21"/>
  <c r="AL9" i="21"/>
  <c r="AL18" i="21"/>
  <c r="AL44" i="21"/>
  <c r="AL36" i="21"/>
  <c r="AL47" i="21"/>
  <c r="AL28" i="21"/>
  <c r="AL22" i="21"/>
  <c r="AL58" i="21"/>
  <c r="AL30" i="21"/>
  <c r="AL45" i="21"/>
  <c r="AL29" i="21"/>
  <c r="AL15" i="21"/>
  <c r="AL11" i="21"/>
  <c r="AL20" i="21"/>
  <c r="AL42" i="21"/>
  <c r="R90" i="21"/>
  <c r="AS90" i="21"/>
  <c r="S86" i="21"/>
  <c r="AH86" i="21"/>
  <c r="Q86" i="21"/>
  <c r="S40" i="21"/>
  <c r="AM40" i="21"/>
  <c r="AQ40" i="21"/>
  <c r="AH40" i="21"/>
  <c r="AA85" i="21"/>
  <c r="AB85" i="21" s="1"/>
  <c r="S75" i="21"/>
  <c r="AH75" i="21"/>
  <c r="Q75" i="21"/>
  <c r="S69" i="21"/>
  <c r="Q69" i="21"/>
  <c r="AH69" i="21"/>
  <c r="S60" i="21"/>
  <c r="Q60" i="21"/>
  <c r="AH60" i="21"/>
  <c r="S31" i="21"/>
  <c r="AM31" i="21"/>
  <c r="AQ31" i="21"/>
  <c r="Q31" i="21"/>
  <c r="AA31" i="21"/>
  <c r="AB31" i="21" s="1"/>
  <c r="AJ31" i="21"/>
  <c r="S48" i="21"/>
  <c r="AH48" i="21"/>
  <c r="AJ48" i="21"/>
  <c r="AK48" i="21" s="1"/>
  <c r="AQ48" i="21"/>
  <c r="Q48" i="21"/>
  <c r="AA48" i="21"/>
  <c r="AB48" i="21" s="1"/>
  <c r="S33" i="21"/>
  <c r="AM33" i="21"/>
  <c r="AA33" i="21"/>
  <c r="AB33" i="21" s="1"/>
  <c r="AJ33" i="21"/>
  <c r="AQ33" i="21"/>
  <c r="Q33" i="21"/>
  <c r="S16" i="21"/>
  <c r="AM16" i="21"/>
  <c r="AQ16" i="21"/>
  <c r="Q16" i="21"/>
  <c r="AA16" i="21"/>
  <c r="AB16" i="21" s="1"/>
  <c r="AJ16" i="21"/>
  <c r="S12" i="21"/>
  <c r="AM12" i="21"/>
  <c r="AQ12" i="21"/>
  <c r="Q12" i="21"/>
  <c r="AA12" i="21"/>
  <c r="AB12" i="21" s="1"/>
  <c r="AJ12" i="21"/>
  <c r="AA92" i="21"/>
  <c r="AB92" i="21" s="1"/>
  <c r="S96" i="21"/>
  <c r="AH96" i="21"/>
  <c r="Q96" i="21"/>
  <c r="AA100" i="21"/>
  <c r="AB100" i="21" s="1"/>
  <c r="S104" i="21"/>
  <c r="AH104" i="21"/>
  <c r="Q104" i="21"/>
  <c r="AA108" i="21"/>
  <c r="AB108" i="21" s="1"/>
  <c r="S79" i="21"/>
  <c r="Q79" i="21"/>
  <c r="AH79" i="21"/>
  <c r="AA88" i="21"/>
  <c r="AB88" i="21" s="1"/>
  <c r="S80" i="21"/>
  <c r="AH80" i="21"/>
  <c r="Q80" i="21"/>
  <c r="S49" i="21"/>
  <c r="AQ49" i="21"/>
  <c r="AH49" i="21"/>
  <c r="AJ49" i="21"/>
  <c r="AK49" i="21" s="1"/>
  <c r="AF36" i="21"/>
  <c r="S54" i="21"/>
  <c r="AH54" i="21"/>
  <c r="AJ54" i="21"/>
  <c r="AK54" i="21" s="1"/>
  <c r="AQ54" i="21"/>
  <c r="Q54" i="21"/>
  <c r="AA54" i="21"/>
  <c r="AB54" i="21" s="1"/>
  <c r="AJ39" i="21"/>
  <c r="AK39" i="21" s="1"/>
  <c r="Q39" i="21"/>
  <c r="AA87" i="21"/>
  <c r="AB87" i="21" s="1"/>
  <c r="S77" i="21"/>
  <c r="AH77" i="21"/>
  <c r="Q77" i="21"/>
  <c r="S65" i="21"/>
  <c r="Q65" i="21"/>
  <c r="AH65" i="21"/>
  <c r="S38" i="21"/>
  <c r="AM38" i="21"/>
  <c r="AQ38" i="21"/>
  <c r="AH38" i="21"/>
  <c r="S52" i="21"/>
  <c r="AH52" i="21"/>
  <c r="AJ52" i="21"/>
  <c r="AK52" i="21" s="1"/>
  <c r="AQ52" i="21"/>
  <c r="Q52" i="21"/>
  <c r="AA52" i="21"/>
  <c r="AB52" i="21" s="1"/>
  <c r="AJ37" i="21"/>
  <c r="AK37" i="21" s="1"/>
  <c r="Q37" i="21"/>
  <c r="S23" i="21"/>
  <c r="AM23" i="21"/>
  <c r="AA23" i="21"/>
  <c r="AB23" i="21" s="1"/>
  <c r="AJ23" i="21"/>
  <c r="AQ23" i="21"/>
  <c r="Q23" i="21"/>
  <c r="S19" i="21"/>
  <c r="AM19" i="21"/>
  <c r="AQ19" i="21"/>
  <c r="Q19" i="21"/>
  <c r="AA19" i="21"/>
  <c r="AB19" i="21" s="1"/>
  <c r="AJ19" i="21"/>
  <c r="S13" i="21"/>
  <c r="AM13" i="21"/>
  <c r="AQ13" i="21"/>
  <c r="Q13" i="21"/>
  <c r="AA13" i="21"/>
  <c r="AB13" i="21" s="1"/>
  <c r="AJ13" i="21"/>
  <c r="AA91" i="21"/>
  <c r="AB91" i="21" s="1"/>
  <c r="S95" i="21"/>
  <c r="AH95" i="21"/>
  <c r="Q95" i="21"/>
  <c r="AA99" i="21"/>
  <c r="AB99" i="21" s="1"/>
  <c r="S103" i="21"/>
  <c r="AH103" i="21"/>
  <c r="Q103" i="21"/>
  <c r="AA107" i="21"/>
  <c r="AB107" i="21" s="1"/>
  <c r="S78" i="21"/>
  <c r="Q78" i="21"/>
  <c r="AH78" i="21"/>
  <c r="R183" i="20"/>
  <c r="T183" i="20" s="1"/>
  <c r="BI183" i="20" s="1"/>
  <c r="AS183" i="20"/>
  <c r="AG116" i="20"/>
  <c r="AI116" i="20" s="1"/>
  <c r="AV116" i="20"/>
  <c r="BL116" i="20" s="1"/>
  <c r="AF86" i="21"/>
  <c r="AF40" i="21"/>
  <c r="S26" i="21"/>
  <c r="AM26" i="21"/>
  <c r="AQ26" i="21"/>
  <c r="Q26" i="21"/>
  <c r="AA26" i="21"/>
  <c r="AB26" i="21" s="1"/>
  <c r="AA69" i="21"/>
  <c r="AB69" i="21" s="1"/>
  <c r="AE69" i="21" s="1"/>
  <c r="AA60" i="21"/>
  <c r="AB60" i="21" s="1"/>
  <c r="AF48" i="21"/>
  <c r="S41" i="21"/>
  <c r="AM41" i="21"/>
  <c r="AQ41" i="21"/>
  <c r="AH41" i="21"/>
  <c r="AA51" i="21"/>
  <c r="AB51" i="21" s="1"/>
  <c r="AF96" i="21"/>
  <c r="AF104" i="21"/>
  <c r="AA73" i="21"/>
  <c r="AB73" i="21" s="1"/>
  <c r="AF79" i="21"/>
  <c r="AF80" i="21"/>
  <c r="AA49" i="21"/>
  <c r="AB49" i="21" s="1"/>
  <c r="AF54" i="21"/>
  <c r="AF39" i="21"/>
  <c r="S28" i="21"/>
  <c r="AM28" i="21"/>
  <c r="AQ28" i="21"/>
  <c r="Q28" i="21"/>
  <c r="AA28" i="21"/>
  <c r="AB28" i="21" s="1"/>
  <c r="AA65" i="21"/>
  <c r="AB65" i="21" s="1"/>
  <c r="Q38" i="21"/>
  <c r="AJ38" i="21"/>
  <c r="AK38" i="21" s="1"/>
  <c r="AF52" i="21"/>
  <c r="AF37" i="21"/>
  <c r="S29" i="21"/>
  <c r="AM29" i="21"/>
  <c r="AQ29" i="21"/>
  <c r="Q29" i="21"/>
  <c r="AA29" i="21"/>
  <c r="AB29" i="21" s="1"/>
  <c r="AA71" i="21"/>
  <c r="AB71" i="21" s="1"/>
  <c r="AF78" i="21"/>
  <c r="AA38" i="21"/>
  <c r="AB38" i="21" s="1"/>
  <c r="AA37" i="21"/>
  <c r="AB37" i="21" s="1"/>
  <c r="C79" i="21"/>
  <c r="B79" i="21" s="1"/>
  <c r="B80" i="21" s="1"/>
  <c r="B70" i="21"/>
  <c r="AJ35" i="21"/>
  <c r="AK35" i="21" s="1"/>
  <c r="Q35" i="21"/>
  <c r="S50" i="21"/>
  <c r="AH50" i="21"/>
  <c r="AJ50" i="21"/>
  <c r="AK50" i="21" s="1"/>
  <c r="AQ50" i="21"/>
  <c r="Q50" i="21"/>
  <c r="AA50" i="21"/>
  <c r="AB50" i="21" s="1"/>
  <c r="S34" i="21"/>
  <c r="AM34" i="21"/>
  <c r="AA34" i="21"/>
  <c r="AB34" i="21" s="1"/>
  <c r="AJ34" i="21"/>
  <c r="AQ34" i="21"/>
  <c r="Q34" i="21"/>
  <c r="AK26" i="21"/>
  <c r="S85" i="21"/>
  <c r="AH85" i="21"/>
  <c r="Q85" i="21"/>
  <c r="S64" i="21"/>
  <c r="Q64" i="21"/>
  <c r="AH64" i="21"/>
  <c r="AG56" i="21"/>
  <c r="S10" i="21"/>
  <c r="AM10" i="21"/>
  <c r="AA10" i="21"/>
  <c r="AB10" i="21" s="1"/>
  <c r="AJ10" i="21"/>
  <c r="AQ10" i="21"/>
  <c r="Q10" i="21"/>
  <c r="S32" i="21"/>
  <c r="AM32" i="21"/>
  <c r="AQ32" i="21"/>
  <c r="Q32" i="21"/>
  <c r="AA32" i="21"/>
  <c r="AB32" i="21" s="1"/>
  <c r="AJ32" i="21"/>
  <c r="S51" i="21"/>
  <c r="AQ51" i="21"/>
  <c r="AH51" i="21"/>
  <c r="AJ51" i="21"/>
  <c r="AK51" i="21" s="1"/>
  <c r="S92" i="21"/>
  <c r="AH92" i="21"/>
  <c r="Q92" i="21"/>
  <c r="AA96" i="21"/>
  <c r="AB96" i="21" s="1"/>
  <c r="S100" i="21"/>
  <c r="AH100" i="21"/>
  <c r="Q100" i="21"/>
  <c r="AA104" i="21"/>
  <c r="AB104" i="21" s="1"/>
  <c r="S108" i="21"/>
  <c r="AH108" i="21"/>
  <c r="Q108" i="21"/>
  <c r="S73" i="21"/>
  <c r="Q73" i="21"/>
  <c r="AH73" i="21"/>
  <c r="S88" i="21"/>
  <c r="AH88" i="21"/>
  <c r="Q88" i="21"/>
  <c r="AA80" i="21"/>
  <c r="AB80" i="21" s="1"/>
  <c r="AJ36" i="21"/>
  <c r="AK36" i="21" s="1"/>
  <c r="Q36" i="21"/>
  <c r="S27" i="21"/>
  <c r="AM27" i="21"/>
  <c r="AQ27" i="21"/>
  <c r="Q27" i="21"/>
  <c r="AA27" i="21"/>
  <c r="AB27" i="21" s="1"/>
  <c r="AJ27" i="21"/>
  <c r="S39" i="21"/>
  <c r="AM39" i="21"/>
  <c r="AH39" i="21"/>
  <c r="AQ39" i="21"/>
  <c r="AK28" i="21"/>
  <c r="S87" i="21"/>
  <c r="AH87" i="21"/>
  <c r="Q87" i="21"/>
  <c r="S61" i="21"/>
  <c r="Q61" i="21"/>
  <c r="AH61" i="21"/>
  <c r="S37" i="21"/>
  <c r="AM37" i="21"/>
  <c r="AH37" i="21"/>
  <c r="AQ37" i="21"/>
  <c r="AK29" i="21"/>
  <c r="S17" i="21"/>
  <c r="AM17" i="21"/>
  <c r="AA17" i="21"/>
  <c r="AB17" i="21" s="1"/>
  <c r="AJ17" i="21"/>
  <c r="AQ17" i="21"/>
  <c r="Q17" i="21"/>
  <c r="AJ42" i="21"/>
  <c r="AK42" i="21" s="1"/>
  <c r="Q42" i="21"/>
  <c r="S46" i="21"/>
  <c r="AQ46" i="21"/>
  <c r="AH46" i="21"/>
  <c r="AJ46" i="21"/>
  <c r="AK46" i="21" s="1"/>
  <c r="S91" i="21"/>
  <c r="AH91" i="21"/>
  <c r="Q91" i="21"/>
  <c r="AA95" i="21"/>
  <c r="AB95" i="21" s="1"/>
  <c r="S99" i="21"/>
  <c r="AH99" i="21"/>
  <c r="Q99" i="21"/>
  <c r="AA103" i="21"/>
  <c r="AB103" i="21" s="1"/>
  <c r="S107" i="21"/>
  <c r="AH107" i="21"/>
  <c r="Q107" i="21"/>
  <c r="S71" i="21"/>
  <c r="Q71" i="21"/>
  <c r="AH71" i="21"/>
  <c r="Q40" i="21"/>
  <c r="AJ40" i="21"/>
  <c r="AK40" i="21" s="1"/>
  <c r="AF50" i="21"/>
  <c r="Y85" i="21"/>
  <c r="Z85" i="21" s="1"/>
  <c r="AF75" i="21"/>
  <c r="AF69" i="21"/>
  <c r="AA64" i="21"/>
  <c r="AB64" i="21" s="1"/>
  <c r="AF60" i="21"/>
  <c r="Q41" i="21"/>
  <c r="AA41" i="21"/>
  <c r="AB41" i="21" s="1"/>
  <c r="S25" i="21"/>
  <c r="AM25" i="21"/>
  <c r="AQ25" i="21"/>
  <c r="Q25" i="21"/>
  <c r="AA25" i="21"/>
  <c r="AB25" i="21" s="1"/>
  <c r="S18" i="21"/>
  <c r="AM18" i="21"/>
  <c r="AQ18" i="21"/>
  <c r="Q18" i="21"/>
  <c r="AA18" i="21"/>
  <c r="AB18" i="21" s="1"/>
  <c r="AF51" i="21"/>
  <c r="AF92" i="21"/>
  <c r="AF100" i="21"/>
  <c r="AF108" i="21"/>
  <c r="AF73" i="21"/>
  <c r="AA79" i="21"/>
  <c r="AB79" i="21" s="1"/>
  <c r="AF88" i="21"/>
  <c r="AF49" i="21"/>
  <c r="AF77" i="21"/>
  <c r="AF65" i="21"/>
  <c r="AA61" i="21"/>
  <c r="AB61" i="21" s="1"/>
  <c r="AF38" i="21"/>
  <c r="S20" i="21"/>
  <c r="AM20" i="21"/>
  <c r="AQ20" i="21"/>
  <c r="Q20" i="21"/>
  <c r="AA20" i="21"/>
  <c r="AB20" i="21" s="1"/>
  <c r="AA46" i="21"/>
  <c r="AB46" i="21" s="1"/>
  <c r="AF95" i="21"/>
  <c r="AF103" i="21"/>
  <c r="AF71" i="21"/>
  <c r="AA78" i="21"/>
  <c r="AB78" i="21" s="1"/>
  <c r="AA35" i="21"/>
  <c r="AB35" i="21" s="1"/>
  <c r="AA39" i="21"/>
  <c r="AB39" i="21" s="1"/>
  <c r="Q46" i="21"/>
  <c r="AF41" i="21"/>
  <c r="Q49" i="21"/>
  <c r="AA42" i="21"/>
  <c r="AB42" i="21" s="1"/>
  <c r="AF203" i="20"/>
  <c r="AG203" i="20" s="1"/>
  <c r="AA161" i="20"/>
  <c r="AB161" i="20" s="1"/>
  <c r="AF134" i="20"/>
  <c r="AG134" i="20" s="1"/>
  <c r="AF208" i="20"/>
  <c r="AG208" i="20" s="1"/>
  <c r="AF150" i="20"/>
  <c r="AG150" i="20" s="1"/>
  <c r="AF117" i="20"/>
  <c r="AG117" i="20" s="1"/>
  <c r="AG183" i="20"/>
  <c r="AV183" i="20"/>
  <c r="BL183" i="20" s="1"/>
  <c r="R143" i="20"/>
  <c r="T143" i="20" s="1"/>
  <c r="AS143" i="20"/>
  <c r="R139" i="20"/>
  <c r="AS139" i="20"/>
  <c r="P61" i="20"/>
  <c r="AM61" i="20" s="1"/>
  <c r="AO83" i="20"/>
  <c r="AP83" i="20" s="1"/>
  <c r="AQ83" i="20"/>
  <c r="AO163" i="20"/>
  <c r="AP163" i="20" s="1"/>
  <c r="S163" i="20"/>
  <c r="U163" i="20"/>
  <c r="V163" i="20" s="1"/>
  <c r="W163" i="20" s="1"/>
  <c r="AD163" i="20"/>
  <c r="AF163" i="20"/>
  <c r="AA163" i="20"/>
  <c r="AB163" i="20" s="1"/>
  <c r="AH163" i="20"/>
  <c r="Q163" i="20"/>
  <c r="AF168" i="20"/>
  <c r="S202" i="20"/>
  <c r="U202" i="20"/>
  <c r="V202" i="20" s="1"/>
  <c r="W202" i="20" s="1"/>
  <c r="AD202" i="20"/>
  <c r="AH202" i="20"/>
  <c r="Q202" i="20"/>
  <c r="AO202" i="20"/>
  <c r="AP202" i="20" s="1"/>
  <c r="AF202" i="20"/>
  <c r="R118" i="20"/>
  <c r="T118" i="20" s="1"/>
  <c r="AS118" i="20"/>
  <c r="AH174" i="20"/>
  <c r="S174" i="20"/>
  <c r="AD174" i="20"/>
  <c r="U174" i="20"/>
  <c r="V174" i="20" s="1"/>
  <c r="W174" i="20" s="1"/>
  <c r="AA174" i="20"/>
  <c r="AB174" i="20" s="1"/>
  <c r="Q174" i="20"/>
  <c r="AO174" i="20"/>
  <c r="AP174" i="20" s="1"/>
  <c r="AF174" i="20"/>
  <c r="S141" i="20"/>
  <c r="AD141" i="20"/>
  <c r="U141" i="20"/>
  <c r="V141" i="20" s="1"/>
  <c r="W141" i="20" s="1"/>
  <c r="Q141" i="20"/>
  <c r="AA141" i="20"/>
  <c r="AB141" i="20" s="1"/>
  <c r="AH141" i="20"/>
  <c r="AF141" i="20"/>
  <c r="AO141" i="20"/>
  <c r="AP141" i="20" s="1"/>
  <c r="S157" i="20"/>
  <c r="U157" i="20"/>
  <c r="V157" i="20" s="1"/>
  <c r="W157" i="20" s="1"/>
  <c r="AD157" i="20"/>
  <c r="AA157" i="20"/>
  <c r="AB157" i="20" s="1"/>
  <c r="AO157" i="20"/>
  <c r="AP157" i="20" s="1"/>
  <c r="AH157" i="20"/>
  <c r="Q157" i="20"/>
  <c r="AF157" i="20"/>
  <c r="S140" i="20"/>
  <c r="AD140" i="20"/>
  <c r="U140" i="20"/>
  <c r="V140" i="20" s="1"/>
  <c r="W140" i="20" s="1"/>
  <c r="AH140" i="20"/>
  <c r="AF140" i="20"/>
  <c r="AA140" i="20"/>
  <c r="AB140" i="20" s="1"/>
  <c r="AO140" i="20"/>
  <c r="AP140" i="20" s="1"/>
  <c r="Q140" i="20"/>
  <c r="AG155" i="20"/>
  <c r="AI155" i="20" s="1"/>
  <c r="BF155" i="20" s="1"/>
  <c r="AV155" i="20"/>
  <c r="BL155" i="20" s="1"/>
  <c r="Q165" i="20"/>
  <c r="S165" i="20"/>
  <c r="AD165" i="20"/>
  <c r="U165" i="20"/>
  <c r="V165" i="20" s="1"/>
  <c r="W165" i="20" s="1"/>
  <c r="AO165" i="20"/>
  <c r="AP165" i="20" s="1"/>
  <c r="AA165" i="20"/>
  <c r="AB165" i="20" s="1"/>
  <c r="AH165" i="20"/>
  <c r="S113" i="20"/>
  <c r="U113" i="20"/>
  <c r="V113" i="20" s="1"/>
  <c r="W113" i="20" s="1"/>
  <c r="AD113" i="20"/>
  <c r="AO113" i="20"/>
  <c r="AP113" i="20" s="1"/>
  <c r="AF113" i="20"/>
  <c r="AH113" i="20"/>
  <c r="Q113" i="20"/>
  <c r="AA113" i="20"/>
  <c r="AB113" i="20" s="1"/>
  <c r="S187" i="20"/>
  <c r="U187" i="20"/>
  <c r="V187" i="20" s="1"/>
  <c r="W187" i="20" s="1"/>
  <c r="AD187" i="20"/>
  <c r="AF187" i="20"/>
  <c r="AH187" i="20"/>
  <c r="Q187" i="20"/>
  <c r="AA187" i="20"/>
  <c r="AB187" i="20" s="1"/>
  <c r="AO187" i="20"/>
  <c r="AP187" i="20" s="1"/>
  <c r="Q176" i="20"/>
  <c r="S176" i="20"/>
  <c r="AD176" i="20"/>
  <c r="U176" i="20"/>
  <c r="V176" i="20" s="1"/>
  <c r="W176" i="20" s="1"/>
  <c r="AH176" i="20"/>
  <c r="AA176" i="20"/>
  <c r="AB176" i="20" s="1"/>
  <c r="AO176" i="20"/>
  <c r="AP176" i="20" s="1"/>
  <c r="AH184" i="20"/>
  <c r="S184" i="20"/>
  <c r="U184" i="20"/>
  <c r="V184" i="20" s="1"/>
  <c r="W184" i="20" s="1"/>
  <c r="AD184" i="20"/>
  <c r="AO184" i="20"/>
  <c r="AP184" i="20" s="1"/>
  <c r="Q184" i="20"/>
  <c r="AF184" i="20"/>
  <c r="AA184" i="20"/>
  <c r="AB184" i="20" s="1"/>
  <c r="S110" i="20"/>
  <c r="U110" i="20"/>
  <c r="V110" i="20" s="1"/>
  <c r="W110" i="20" s="1"/>
  <c r="AD110" i="20"/>
  <c r="AF110" i="20"/>
  <c r="Q110" i="20"/>
  <c r="AO110" i="20"/>
  <c r="AP110" i="20" s="1"/>
  <c r="AA110" i="20"/>
  <c r="AB110" i="20" s="1"/>
  <c r="AH110" i="20"/>
  <c r="S126" i="20"/>
  <c r="U126" i="20"/>
  <c r="V126" i="20" s="1"/>
  <c r="W126" i="20" s="1"/>
  <c r="AD126" i="20"/>
  <c r="AH126" i="20"/>
  <c r="AO126" i="20"/>
  <c r="AP126" i="20" s="1"/>
  <c r="AA126" i="20"/>
  <c r="AB126" i="20" s="1"/>
  <c r="Q126" i="20"/>
  <c r="AF126" i="20"/>
  <c r="S125" i="20"/>
  <c r="AD125" i="20"/>
  <c r="U125" i="20"/>
  <c r="V125" i="20" s="1"/>
  <c r="W125" i="20" s="1"/>
  <c r="AA125" i="20"/>
  <c r="AB125" i="20" s="1"/>
  <c r="AO125" i="20"/>
  <c r="AP125" i="20" s="1"/>
  <c r="AF125" i="20"/>
  <c r="AH125" i="20"/>
  <c r="Q125" i="20"/>
  <c r="S133" i="20"/>
  <c r="U133" i="20"/>
  <c r="V133" i="20" s="1"/>
  <c r="W133" i="20" s="1"/>
  <c r="AD133" i="20"/>
  <c r="AF133" i="20"/>
  <c r="AO133" i="20"/>
  <c r="AP133" i="20" s="1"/>
  <c r="AH133" i="20"/>
  <c r="AA133" i="20"/>
  <c r="AB133" i="20" s="1"/>
  <c r="Q133" i="20"/>
  <c r="S149" i="20"/>
  <c r="U149" i="20"/>
  <c r="V149" i="20" s="1"/>
  <c r="W149" i="20" s="1"/>
  <c r="AD149" i="20"/>
  <c r="AA149" i="20"/>
  <c r="AB149" i="20" s="1"/>
  <c r="AO149" i="20"/>
  <c r="AP149" i="20" s="1"/>
  <c r="AH149" i="20"/>
  <c r="AF149" i="20"/>
  <c r="Q149" i="20"/>
  <c r="S119" i="20"/>
  <c r="U119" i="20"/>
  <c r="V119" i="20" s="1"/>
  <c r="W119" i="20" s="1"/>
  <c r="AD119" i="20"/>
  <c r="AO119" i="20"/>
  <c r="AP119" i="20" s="1"/>
  <c r="Q119" i="20"/>
  <c r="AH119" i="20"/>
  <c r="S209" i="20"/>
  <c r="U209" i="20"/>
  <c r="V209" i="20" s="1"/>
  <c r="W209" i="20" s="1"/>
  <c r="AD209" i="20"/>
  <c r="AH209" i="20"/>
  <c r="AO209" i="20"/>
  <c r="AP209" i="20" s="1"/>
  <c r="AF209" i="20"/>
  <c r="Q209" i="20"/>
  <c r="R173" i="20"/>
  <c r="AS173" i="20"/>
  <c r="S200" i="20"/>
  <c r="U200" i="20"/>
  <c r="V200" i="20" s="1"/>
  <c r="W200" i="20" s="1"/>
  <c r="AD200" i="20"/>
  <c r="AH200" i="20"/>
  <c r="AO200" i="20"/>
  <c r="AP200" i="20" s="1"/>
  <c r="Q200" i="20"/>
  <c r="S177" i="20"/>
  <c r="U177" i="20"/>
  <c r="V177" i="20" s="1"/>
  <c r="W177" i="20" s="1"/>
  <c r="AD177" i="20"/>
  <c r="AH177" i="20"/>
  <c r="AO177" i="20"/>
  <c r="AP177" i="20" s="1"/>
  <c r="AF177" i="20"/>
  <c r="Q177" i="20"/>
  <c r="S186" i="20"/>
  <c r="AD186" i="20"/>
  <c r="U186" i="20"/>
  <c r="V186" i="20" s="1"/>
  <c r="W186" i="20" s="1"/>
  <c r="Q186" i="20"/>
  <c r="AH186" i="20"/>
  <c r="AO186" i="20"/>
  <c r="AP186" i="20" s="1"/>
  <c r="AF186" i="20"/>
  <c r="S194" i="20"/>
  <c r="AD194" i="20"/>
  <c r="U194" i="20"/>
  <c r="V194" i="20" s="1"/>
  <c r="W194" i="20" s="1"/>
  <c r="Q194" i="20"/>
  <c r="AO194" i="20"/>
  <c r="AP194" i="20" s="1"/>
  <c r="AH194" i="20"/>
  <c r="AA194" i="20"/>
  <c r="AB194" i="20" s="1"/>
  <c r="S132" i="20"/>
  <c r="AD132" i="20"/>
  <c r="U132" i="20"/>
  <c r="V132" i="20" s="1"/>
  <c r="W132" i="20" s="1"/>
  <c r="Q132" i="20"/>
  <c r="AO132" i="20"/>
  <c r="AP132" i="20" s="1"/>
  <c r="AF132" i="20"/>
  <c r="AH132" i="20"/>
  <c r="X165" i="20"/>
  <c r="Y165" i="20" s="1"/>
  <c r="Z165" i="20" s="1"/>
  <c r="S198" i="20"/>
  <c r="AD198" i="20"/>
  <c r="U198" i="20"/>
  <c r="V198" i="20" s="1"/>
  <c r="W198" i="20" s="1"/>
  <c r="AO198" i="20"/>
  <c r="AP198" i="20" s="1"/>
  <c r="AH198" i="20"/>
  <c r="Q198" i="20"/>
  <c r="S122" i="20"/>
  <c r="U122" i="20"/>
  <c r="V122" i="20" s="1"/>
  <c r="W122" i="20" s="1"/>
  <c r="AD122" i="20"/>
  <c r="AO122" i="20"/>
  <c r="AP122" i="20" s="1"/>
  <c r="AF122" i="20"/>
  <c r="AH122" i="20"/>
  <c r="Q122" i="20"/>
  <c r="S130" i="20"/>
  <c r="AD130" i="20"/>
  <c r="U130" i="20"/>
  <c r="V130" i="20" s="1"/>
  <c r="W130" i="20" s="1"/>
  <c r="Q130" i="20"/>
  <c r="AH130" i="20"/>
  <c r="AO130" i="20"/>
  <c r="AP130" i="20" s="1"/>
  <c r="AA130" i="20"/>
  <c r="AB130" i="20" s="1"/>
  <c r="S146" i="20"/>
  <c r="AD146" i="20"/>
  <c r="U146" i="20"/>
  <c r="V146" i="20" s="1"/>
  <c r="W146" i="20" s="1"/>
  <c r="Q146" i="20"/>
  <c r="AO146" i="20"/>
  <c r="AP146" i="20" s="1"/>
  <c r="AH146" i="20"/>
  <c r="S162" i="20"/>
  <c r="AD162" i="20"/>
  <c r="U162" i="20"/>
  <c r="V162" i="20" s="1"/>
  <c r="W162" i="20" s="1"/>
  <c r="AO162" i="20"/>
  <c r="AP162" i="20" s="1"/>
  <c r="Q162" i="20"/>
  <c r="AH162" i="20"/>
  <c r="S178" i="20"/>
  <c r="AD178" i="20"/>
  <c r="U178" i="20"/>
  <c r="V178" i="20" s="1"/>
  <c r="W178" i="20" s="1"/>
  <c r="Q178" i="20"/>
  <c r="AA178" i="20"/>
  <c r="AB178" i="20" s="1"/>
  <c r="AH178" i="20"/>
  <c r="AO178" i="20"/>
  <c r="AP178" i="20" s="1"/>
  <c r="S137" i="20"/>
  <c r="U137" i="20"/>
  <c r="V137" i="20" s="1"/>
  <c r="W137" i="20" s="1"/>
  <c r="AD137" i="20"/>
  <c r="Q137" i="20"/>
  <c r="AH137" i="20"/>
  <c r="AF137" i="20"/>
  <c r="AO137" i="20"/>
  <c r="AP137" i="20" s="1"/>
  <c r="S120" i="20"/>
  <c r="U120" i="20"/>
  <c r="V120" i="20" s="1"/>
  <c r="W120" i="20" s="1"/>
  <c r="AD120" i="20"/>
  <c r="AH120" i="20"/>
  <c r="AO120" i="20"/>
  <c r="AP120" i="20" s="1"/>
  <c r="AA120" i="20"/>
  <c r="AB120" i="20" s="1"/>
  <c r="Q120" i="20"/>
  <c r="S136" i="20"/>
  <c r="AD136" i="20"/>
  <c r="U136" i="20"/>
  <c r="V136" i="20" s="1"/>
  <c r="W136" i="20" s="1"/>
  <c r="AO136" i="20"/>
  <c r="AP136" i="20" s="1"/>
  <c r="Q136" i="20"/>
  <c r="AH136" i="20"/>
  <c r="AA136" i="20"/>
  <c r="AB136" i="20" s="1"/>
  <c r="X176" i="20"/>
  <c r="Y176" i="20" s="1"/>
  <c r="Z176" i="20" s="1"/>
  <c r="S127" i="20"/>
  <c r="U127" i="20"/>
  <c r="V127" i="20" s="1"/>
  <c r="W127" i="20" s="1"/>
  <c r="AD127" i="20"/>
  <c r="AO127" i="20"/>
  <c r="AP127" i="20" s="1"/>
  <c r="AH127" i="20"/>
  <c r="AF127" i="20"/>
  <c r="AA127" i="20"/>
  <c r="AB127" i="20" s="1"/>
  <c r="Q127" i="20"/>
  <c r="S201" i="20"/>
  <c r="AD201" i="20"/>
  <c r="U201" i="20"/>
  <c r="V201" i="20" s="1"/>
  <c r="W201" i="20" s="1"/>
  <c r="AH201" i="20"/>
  <c r="AO201" i="20"/>
  <c r="AP201" i="20" s="1"/>
  <c r="Q201" i="20"/>
  <c r="AA201" i="20"/>
  <c r="AB201" i="20" s="1"/>
  <c r="AH148" i="20"/>
  <c r="S148" i="20"/>
  <c r="U148" i="20"/>
  <c r="V148" i="20" s="1"/>
  <c r="W148" i="20" s="1"/>
  <c r="AD148" i="20"/>
  <c r="AO148" i="20"/>
  <c r="AP148" i="20" s="1"/>
  <c r="AF148" i="20"/>
  <c r="AA148" i="20"/>
  <c r="AB148" i="20" s="1"/>
  <c r="Q148" i="20"/>
  <c r="S123" i="20"/>
  <c r="AD123" i="20"/>
  <c r="U123" i="20"/>
  <c r="V123" i="20" s="1"/>
  <c r="W123" i="20" s="1"/>
  <c r="AF123" i="20"/>
  <c r="Q123" i="20"/>
  <c r="AO123" i="20"/>
  <c r="AP123" i="20" s="1"/>
  <c r="AA123" i="20"/>
  <c r="AB123" i="20" s="1"/>
  <c r="AH123" i="20"/>
  <c r="S131" i="20"/>
  <c r="AD131" i="20"/>
  <c r="U131" i="20"/>
  <c r="V131" i="20" s="1"/>
  <c r="W131" i="20" s="1"/>
  <c r="AH131" i="20"/>
  <c r="AO131" i="20"/>
  <c r="AP131" i="20" s="1"/>
  <c r="Q131" i="20"/>
  <c r="AF131" i="20"/>
  <c r="AA131" i="20"/>
  <c r="AB131" i="20" s="1"/>
  <c r="S147" i="20"/>
  <c r="AD147" i="20"/>
  <c r="U147" i="20"/>
  <c r="V147" i="20" s="1"/>
  <c r="W147" i="20" s="1"/>
  <c r="AO147" i="20"/>
  <c r="AP147" i="20" s="1"/>
  <c r="AF147" i="20"/>
  <c r="Q147" i="20"/>
  <c r="AH147" i="20"/>
  <c r="AA147" i="20"/>
  <c r="AB147" i="20" s="1"/>
  <c r="S197" i="20"/>
  <c r="U197" i="20"/>
  <c r="V197" i="20" s="1"/>
  <c r="W197" i="20" s="1"/>
  <c r="AD197" i="20"/>
  <c r="AA197" i="20"/>
  <c r="AB197" i="20" s="1"/>
  <c r="AF197" i="20"/>
  <c r="AH197" i="20"/>
  <c r="AO197" i="20"/>
  <c r="AP197" i="20" s="1"/>
  <c r="Q197" i="20"/>
  <c r="S205" i="20"/>
  <c r="AD205" i="20"/>
  <c r="U205" i="20"/>
  <c r="V205" i="20" s="1"/>
  <c r="W205" i="20" s="1"/>
  <c r="AH205" i="20"/>
  <c r="Q205" i="20"/>
  <c r="AA205" i="20"/>
  <c r="AB205" i="20" s="1"/>
  <c r="AF205" i="20"/>
  <c r="AO205" i="20"/>
  <c r="AP205" i="20" s="1"/>
  <c r="S207" i="20"/>
  <c r="AD207" i="20"/>
  <c r="U207" i="20"/>
  <c r="V207" i="20" s="1"/>
  <c r="W207" i="20" s="1"/>
  <c r="AA207" i="20"/>
  <c r="AB207" i="20" s="1"/>
  <c r="AF207" i="20"/>
  <c r="Q207" i="20"/>
  <c r="AH207" i="20"/>
  <c r="AO207" i="20"/>
  <c r="AP207" i="20" s="1"/>
  <c r="S203" i="20"/>
  <c r="U203" i="20"/>
  <c r="V203" i="20" s="1"/>
  <c r="W203" i="20" s="1"/>
  <c r="AD203" i="20"/>
  <c r="Q203" i="20"/>
  <c r="AH203" i="20"/>
  <c r="AO203" i="20"/>
  <c r="AP203" i="20" s="1"/>
  <c r="AA134" i="20"/>
  <c r="AB134" i="20" s="1"/>
  <c r="R171" i="20"/>
  <c r="T171" i="20" s="1"/>
  <c r="AS171" i="20"/>
  <c r="AJ83" i="20"/>
  <c r="AK83" i="20" s="1"/>
  <c r="AJ85" i="20"/>
  <c r="AK85" i="20" s="1"/>
  <c r="S128" i="20"/>
  <c r="AD128" i="20"/>
  <c r="U128" i="20"/>
  <c r="V128" i="20" s="1"/>
  <c r="W128" i="20" s="1"/>
  <c r="AO128" i="20"/>
  <c r="AP128" i="20" s="1"/>
  <c r="Q128" i="20"/>
  <c r="AA128" i="20"/>
  <c r="AB128" i="20" s="1"/>
  <c r="AH128" i="20"/>
  <c r="AF128" i="20"/>
  <c r="S144" i="20"/>
  <c r="AD144" i="20"/>
  <c r="U144" i="20"/>
  <c r="V144" i="20" s="1"/>
  <c r="W144" i="20" s="1"/>
  <c r="AH144" i="20"/>
  <c r="AF144" i="20"/>
  <c r="AA144" i="20"/>
  <c r="AB144" i="20" s="1"/>
  <c r="AO144" i="20"/>
  <c r="AP144" i="20" s="1"/>
  <c r="Q144" i="20"/>
  <c r="Q168" i="20"/>
  <c r="S168" i="20"/>
  <c r="U168" i="20"/>
  <c r="V168" i="20" s="1"/>
  <c r="W168" i="20" s="1"/>
  <c r="AD168" i="20"/>
  <c r="AH168" i="20"/>
  <c r="AO168" i="20"/>
  <c r="AP168" i="20" s="1"/>
  <c r="AA168" i="20"/>
  <c r="AB168" i="20" s="1"/>
  <c r="S192" i="20"/>
  <c r="AD192" i="20"/>
  <c r="U192" i="20"/>
  <c r="V192" i="20" s="1"/>
  <c r="W192" i="20" s="1"/>
  <c r="AA192" i="20"/>
  <c r="AB192" i="20" s="1"/>
  <c r="AH192" i="20"/>
  <c r="AO192" i="20"/>
  <c r="AP192" i="20" s="1"/>
  <c r="AF192" i="20"/>
  <c r="Q192" i="20"/>
  <c r="S195" i="20"/>
  <c r="U195" i="20"/>
  <c r="V195" i="20" s="1"/>
  <c r="W195" i="20" s="1"/>
  <c r="AD195" i="20"/>
  <c r="AA195" i="20"/>
  <c r="AB195" i="20" s="1"/>
  <c r="AH195" i="20"/>
  <c r="AF195" i="20"/>
  <c r="Q195" i="20"/>
  <c r="AO195" i="20"/>
  <c r="AP195" i="20" s="1"/>
  <c r="S169" i="20"/>
  <c r="U169" i="20"/>
  <c r="V169" i="20" s="1"/>
  <c r="W169" i="20" s="1"/>
  <c r="AD169" i="20"/>
  <c r="AF169" i="20"/>
  <c r="Q169" i="20"/>
  <c r="AA169" i="20"/>
  <c r="AB169" i="20" s="1"/>
  <c r="AO169" i="20"/>
  <c r="AP169" i="20" s="1"/>
  <c r="AH169" i="20"/>
  <c r="S190" i="20"/>
  <c r="AD190" i="20"/>
  <c r="U190" i="20"/>
  <c r="V190" i="20" s="1"/>
  <c r="W190" i="20" s="1"/>
  <c r="AH190" i="20"/>
  <c r="Q190" i="20"/>
  <c r="AA190" i="20"/>
  <c r="AB190" i="20" s="1"/>
  <c r="AF190" i="20"/>
  <c r="AO190" i="20"/>
  <c r="AP190" i="20" s="1"/>
  <c r="S153" i="20"/>
  <c r="U153" i="20"/>
  <c r="V153" i="20" s="1"/>
  <c r="W153" i="20" s="1"/>
  <c r="AD153" i="20"/>
  <c r="AO153" i="20"/>
  <c r="AP153" i="20" s="1"/>
  <c r="AH153" i="20"/>
  <c r="Q153" i="20"/>
  <c r="AF153" i="20"/>
  <c r="AA153" i="20"/>
  <c r="AB153" i="20" s="1"/>
  <c r="Q160" i="20"/>
  <c r="S160" i="20"/>
  <c r="AD160" i="20"/>
  <c r="U160" i="20"/>
  <c r="V160" i="20" s="1"/>
  <c r="W160" i="20" s="1"/>
  <c r="AH160" i="20"/>
  <c r="AO160" i="20"/>
  <c r="AP160" i="20" s="1"/>
  <c r="AF160" i="20"/>
  <c r="S111" i="20"/>
  <c r="AD111" i="20"/>
  <c r="U111" i="20"/>
  <c r="V111" i="20" s="1"/>
  <c r="W111" i="20" s="1"/>
  <c r="AF111" i="20"/>
  <c r="AH111" i="20"/>
  <c r="AO111" i="20"/>
  <c r="AP111" i="20" s="1"/>
  <c r="AA111" i="20"/>
  <c r="AB111" i="20" s="1"/>
  <c r="Q111" i="20"/>
  <c r="S135" i="20"/>
  <c r="U135" i="20"/>
  <c r="V135" i="20" s="1"/>
  <c r="W135" i="20" s="1"/>
  <c r="AD135" i="20"/>
  <c r="Q135" i="20"/>
  <c r="AO135" i="20"/>
  <c r="AP135" i="20" s="1"/>
  <c r="AF135" i="20"/>
  <c r="AH135" i="20"/>
  <c r="AA135" i="20"/>
  <c r="AB135" i="20" s="1"/>
  <c r="S175" i="20"/>
  <c r="AD175" i="20"/>
  <c r="U175" i="20"/>
  <c r="V175" i="20" s="1"/>
  <c r="W175" i="20" s="1"/>
  <c r="Q175" i="20"/>
  <c r="AH175" i="20"/>
  <c r="AO175" i="20"/>
  <c r="AP175" i="20" s="1"/>
  <c r="AF175" i="20"/>
  <c r="S114" i="20"/>
  <c r="AD114" i="20"/>
  <c r="U114" i="20"/>
  <c r="V114" i="20" s="1"/>
  <c r="W114" i="20" s="1"/>
  <c r="Q114" i="20"/>
  <c r="AF114" i="20"/>
  <c r="AH114" i="20"/>
  <c r="AA114" i="20"/>
  <c r="AB114" i="20" s="1"/>
  <c r="AO114" i="20"/>
  <c r="AP114" i="20" s="1"/>
  <c r="S138" i="20"/>
  <c r="AD138" i="20"/>
  <c r="U138" i="20"/>
  <c r="V138" i="20" s="1"/>
  <c r="W138" i="20" s="1"/>
  <c r="AF138" i="20"/>
  <c r="AH138" i="20"/>
  <c r="Q138" i="20"/>
  <c r="AA138" i="20"/>
  <c r="AB138" i="20" s="1"/>
  <c r="AO138" i="20"/>
  <c r="AP138" i="20" s="1"/>
  <c r="S154" i="20"/>
  <c r="AD154" i="20"/>
  <c r="U154" i="20"/>
  <c r="V154" i="20" s="1"/>
  <c r="W154" i="20" s="1"/>
  <c r="AO154" i="20"/>
  <c r="AP154" i="20" s="1"/>
  <c r="AA154" i="20"/>
  <c r="AB154" i="20" s="1"/>
  <c r="AF154" i="20"/>
  <c r="Q154" i="20"/>
  <c r="AH154" i="20"/>
  <c r="S170" i="20"/>
  <c r="AD170" i="20"/>
  <c r="U170" i="20"/>
  <c r="V170" i="20" s="1"/>
  <c r="W170" i="20" s="1"/>
  <c r="AO170" i="20"/>
  <c r="AP170" i="20" s="1"/>
  <c r="AA170" i="20"/>
  <c r="AB170" i="20" s="1"/>
  <c r="AF170" i="20"/>
  <c r="Q170" i="20"/>
  <c r="AH170" i="20"/>
  <c r="S121" i="20"/>
  <c r="U121" i="20"/>
  <c r="V121" i="20" s="1"/>
  <c r="W121" i="20" s="1"/>
  <c r="AD121" i="20"/>
  <c r="AO121" i="20"/>
  <c r="AP121" i="20" s="1"/>
  <c r="AH121" i="20"/>
  <c r="AF121" i="20"/>
  <c r="AA121" i="20"/>
  <c r="AB121" i="20" s="1"/>
  <c r="Q121" i="20"/>
  <c r="S129" i="20"/>
  <c r="U129" i="20"/>
  <c r="V129" i="20" s="1"/>
  <c r="W129" i="20" s="1"/>
  <c r="AD129" i="20"/>
  <c r="AF129" i="20"/>
  <c r="Q129" i="20"/>
  <c r="AH129" i="20"/>
  <c r="AO129" i="20"/>
  <c r="AP129" i="20" s="1"/>
  <c r="AA129" i="20"/>
  <c r="AB129" i="20" s="1"/>
  <c r="S145" i="20"/>
  <c r="U145" i="20"/>
  <c r="V145" i="20" s="1"/>
  <c r="W145" i="20" s="1"/>
  <c r="AD145" i="20"/>
  <c r="AH145" i="20"/>
  <c r="AO145" i="20"/>
  <c r="AP145" i="20" s="1"/>
  <c r="Q145" i="20"/>
  <c r="AA145" i="20"/>
  <c r="AB145" i="20" s="1"/>
  <c r="AF145" i="20"/>
  <c r="S112" i="20"/>
  <c r="AD112" i="20"/>
  <c r="U112" i="20"/>
  <c r="V112" i="20" s="1"/>
  <c r="W112" i="20" s="1"/>
  <c r="AO112" i="20"/>
  <c r="AP112" i="20" s="1"/>
  <c r="AF112" i="20"/>
  <c r="AH112" i="20"/>
  <c r="Q112" i="20"/>
  <c r="X202" i="20"/>
  <c r="Y202" i="20" s="1"/>
  <c r="Z202" i="20" s="1"/>
  <c r="AG118" i="20"/>
  <c r="AV118" i="20"/>
  <c r="BL118" i="20" s="1"/>
  <c r="S142" i="20"/>
  <c r="U142" i="20"/>
  <c r="V142" i="20" s="1"/>
  <c r="W142" i="20" s="1"/>
  <c r="AD142" i="20"/>
  <c r="AH142" i="20"/>
  <c r="AO142" i="20"/>
  <c r="AP142" i="20" s="1"/>
  <c r="AA142" i="20"/>
  <c r="AB142" i="20" s="1"/>
  <c r="Q142" i="20"/>
  <c r="AH158" i="20"/>
  <c r="S158" i="20"/>
  <c r="AD158" i="20"/>
  <c r="U158" i="20"/>
  <c r="V158" i="20" s="1"/>
  <c r="W158" i="20" s="1"/>
  <c r="AO158" i="20"/>
  <c r="AP158" i="20" s="1"/>
  <c r="Q158" i="20"/>
  <c r="AA158" i="20"/>
  <c r="AB158" i="20" s="1"/>
  <c r="S189" i="20"/>
  <c r="AD189" i="20"/>
  <c r="U189" i="20"/>
  <c r="V189" i="20" s="1"/>
  <c r="W189" i="20" s="1"/>
  <c r="AH189" i="20"/>
  <c r="Q189" i="20"/>
  <c r="AO189" i="20"/>
  <c r="AP189" i="20" s="1"/>
  <c r="AF189" i="20"/>
  <c r="X160" i="20"/>
  <c r="Y160" i="20" s="1"/>
  <c r="Z160" i="20" s="1"/>
  <c r="X175" i="20"/>
  <c r="Y175" i="20" s="1"/>
  <c r="Z175" i="20" s="1"/>
  <c r="S185" i="20"/>
  <c r="U185" i="20"/>
  <c r="V185" i="20" s="1"/>
  <c r="W185" i="20" s="1"/>
  <c r="AD185" i="20"/>
  <c r="AH185" i="20"/>
  <c r="AO185" i="20"/>
  <c r="AP185" i="20" s="1"/>
  <c r="Q185" i="20"/>
  <c r="AG193" i="20"/>
  <c r="AI193" i="20" s="1"/>
  <c r="BF193" i="20" s="1"/>
  <c r="AV193" i="20"/>
  <c r="BL193" i="20" s="1"/>
  <c r="S124" i="20"/>
  <c r="U124" i="20"/>
  <c r="V124" i="20" s="1"/>
  <c r="W124" i="20" s="1"/>
  <c r="AD124" i="20"/>
  <c r="Q124" i="20"/>
  <c r="AA124" i="20"/>
  <c r="AB124" i="20" s="1"/>
  <c r="AO124" i="20"/>
  <c r="AP124" i="20" s="1"/>
  <c r="AH124" i="20"/>
  <c r="AF124" i="20"/>
  <c r="AH164" i="20"/>
  <c r="S164" i="20"/>
  <c r="U164" i="20"/>
  <c r="V164" i="20" s="1"/>
  <c r="W164" i="20" s="1"/>
  <c r="AD164" i="20"/>
  <c r="AO164" i="20"/>
  <c r="AP164" i="20" s="1"/>
  <c r="Q164" i="20"/>
  <c r="AF164" i="20"/>
  <c r="AA164" i="20"/>
  <c r="AB164" i="20" s="1"/>
  <c r="S180" i="20"/>
  <c r="AD180" i="20"/>
  <c r="U180" i="20"/>
  <c r="V180" i="20" s="1"/>
  <c r="W180" i="20" s="1"/>
  <c r="AF180" i="20"/>
  <c r="AH180" i="20"/>
  <c r="AO180" i="20"/>
  <c r="AP180" i="20" s="1"/>
  <c r="AA180" i="20"/>
  <c r="AB180" i="20" s="1"/>
  <c r="Q180" i="20"/>
  <c r="AH182" i="20"/>
  <c r="S182" i="20"/>
  <c r="AD182" i="20"/>
  <c r="U182" i="20"/>
  <c r="V182" i="20" s="1"/>
  <c r="W182" i="20" s="1"/>
  <c r="AO182" i="20"/>
  <c r="AP182" i="20" s="1"/>
  <c r="AF182" i="20"/>
  <c r="AA182" i="20"/>
  <c r="AB182" i="20" s="1"/>
  <c r="Q182" i="20"/>
  <c r="X184" i="20"/>
  <c r="Y184" i="20" s="1"/>
  <c r="Z184" i="20" s="1"/>
  <c r="S208" i="20"/>
  <c r="AD208" i="20"/>
  <c r="U208" i="20"/>
  <c r="V208" i="20" s="1"/>
  <c r="W208" i="20" s="1"/>
  <c r="Q208" i="20"/>
  <c r="AH208" i="20"/>
  <c r="AO208" i="20"/>
  <c r="AP208" i="20" s="1"/>
  <c r="S161" i="20"/>
  <c r="AD161" i="20"/>
  <c r="U161" i="20"/>
  <c r="V161" i="20" s="1"/>
  <c r="W161" i="20" s="1"/>
  <c r="AO161" i="20"/>
  <c r="AP161" i="20" s="1"/>
  <c r="AH161" i="20"/>
  <c r="Q161" i="20"/>
  <c r="S134" i="20"/>
  <c r="U134" i="20"/>
  <c r="V134" i="20" s="1"/>
  <c r="W134" i="20" s="1"/>
  <c r="AD134" i="20"/>
  <c r="Q134" i="20"/>
  <c r="AH134" i="20"/>
  <c r="AO134" i="20"/>
  <c r="AP134" i="20" s="1"/>
  <c r="S150" i="20"/>
  <c r="AD150" i="20"/>
  <c r="U150" i="20"/>
  <c r="V150" i="20" s="1"/>
  <c r="W150" i="20" s="1"/>
  <c r="AH150" i="20"/>
  <c r="AO150" i="20"/>
  <c r="AP150" i="20" s="1"/>
  <c r="Q150" i="20"/>
  <c r="AH166" i="20"/>
  <c r="S166" i="20"/>
  <c r="AD166" i="20"/>
  <c r="U166" i="20"/>
  <c r="V166" i="20" s="1"/>
  <c r="W166" i="20" s="1"/>
  <c r="Q166" i="20"/>
  <c r="AO166" i="20"/>
  <c r="AP166" i="20" s="1"/>
  <c r="S117" i="20"/>
  <c r="U117" i="20"/>
  <c r="V117" i="20" s="1"/>
  <c r="W117" i="20" s="1"/>
  <c r="AD117" i="20"/>
  <c r="AH117" i="20"/>
  <c r="AO117" i="20"/>
  <c r="AP117" i="20" s="1"/>
  <c r="Q117" i="20"/>
  <c r="AG171" i="20"/>
  <c r="AI171" i="20" s="1"/>
  <c r="AV171" i="20"/>
  <c r="BL171" i="20" s="1"/>
  <c r="X148" i="20"/>
  <c r="Y148" i="20" s="1"/>
  <c r="Z148" i="20" s="1"/>
  <c r="X164" i="20"/>
  <c r="Y164" i="20" s="1"/>
  <c r="Z164" i="20" s="1"/>
  <c r="S115" i="20"/>
  <c r="U115" i="20"/>
  <c r="V115" i="20" s="1"/>
  <c r="W115" i="20" s="1"/>
  <c r="AD115" i="20"/>
  <c r="AH115" i="20"/>
  <c r="AO115" i="20"/>
  <c r="AP115" i="20" s="1"/>
  <c r="Q115" i="20"/>
  <c r="AF115" i="20"/>
  <c r="S188" i="20"/>
  <c r="U188" i="20"/>
  <c r="V188" i="20" s="1"/>
  <c r="W188" i="20" s="1"/>
  <c r="AD188" i="20"/>
  <c r="AO188" i="20"/>
  <c r="AP188" i="20" s="1"/>
  <c r="Q188" i="20"/>
  <c r="AH188" i="20"/>
  <c r="R191" i="20"/>
  <c r="AS191" i="20"/>
  <c r="Q199" i="20"/>
  <c r="S199" i="20"/>
  <c r="U199" i="20"/>
  <c r="V199" i="20" s="1"/>
  <c r="W199" i="20" s="1"/>
  <c r="AD199" i="20"/>
  <c r="AO199" i="20"/>
  <c r="AP199" i="20" s="1"/>
  <c r="AH199" i="20"/>
  <c r="AF199" i="20"/>
  <c r="P37" i="20"/>
  <c r="AO37" i="20" s="1"/>
  <c r="AP37" i="20" s="1"/>
  <c r="P54" i="20"/>
  <c r="AQ54" i="20" s="1"/>
  <c r="P49" i="20"/>
  <c r="AM49" i="20" s="1"/>
  <c r="P57" i="20"/>
  <c r="AM57" i="20" s="1"/>
  <c r="P41" i="20"/>
  <c r="AM41" i="20" s="1"/>
  <c r="P38" i="20"/>
  <c r="AO38" i="20" s="1"/>
  <c r="AP38" i="20" s="1"/>
  <c r="P50" i="20"/>
  <c r="AQ50" i="20" s="1"/>
  <c r="P34" i="20"/>
  <c r="AF34" i="20" s="1"/>
  <c r="AG34" i="20" s="1"/>
  <c r="P42" i="20"/>
  <c r="AM42" i="20" s="1"/>
  <c r="P45" i="20"/>
  <c r="AM45" i="20" s="1"/>
  <c r="P46" i="20"/>
  <c r="AJ46" i="20" s="1"/>
  <c r="AK46" i="20" s="1"/>
  <c r="P58" i="20"/>
  <c r="AM58" i="20" s="1"/>
  <c r="P53" i="20"/>
  <c r="AO53" i="20" s="1"/>
  <c r="AP53" i="20" s="1"/>
  <c r="AD67" i="20"/>
  <c r="AH76" i="20"/>
  <c r="S60" i="20"/>
  <c r="AD84" i="20"/>
  <c r="X100" i="20"/>
  <c r="Y100" i="20" s="1"/>
  <c r="Z100" i="20" s="1"/>
  <c r="AA60" i="20"/>
  <c r="AB60" i="20" s="1"/>
  <c r="AA76" i="20"/>
  <c r="AB76" i="20" s="1"/>
  <c r="AA92" i="20"/>
  <c r="AB92" i="20" s="1"/>
  <c r="AA108" i="20"/>
  <c r="AB108" i="20" s="1"/>
  <c r="Q67" i="20"/>
  <c r="AS67" i="20" s="1"/>
  <c r="Q60" i="20"/>
  <c r="AS60" i="20" s="1"/>
  <c r="AF68" i="20"/>
  <c r="Q76" i="20"/>
  <c r="AS76" i="20" s="1"/>
  <c r="AF84" i="20"/>
  <c r="AG84" i="20" s="1"/>
  <c r="Q92" i="20"/>
  <c r="AS92" i="20" s="1"/>
  <c r="AF100" i="20"/>
  <c r="AV100" i="20" s="1"/>
  <c r="BL100" i="20" s="1"/>
  <c r="Q108" i="20"/>
  <c r="AS108" i="20" s="1"/>
  <c r="AA67" i="20"/>
  <c r="AB67" i="20" s="1"/>
  <c r="AF75" i="20"/>
  <c r="AG75" i="20" s="1"/>
  <c r="AQ67" i="20"/>
  <c r="AQ71" i="20"/>
  <c r="AO71" i="20"/>
  <c r="AP71" i="20" s="1"/>
  <c r="AQ79" i="20"/>
  <c r="AO79" i="20"/>
  <c r="AP79" i="20" s="1"/>
  <c r="AJ72" i="20"/>
  <c r="AK72" i="20" s="1"/>
  <c r="AJ80" i="20"/>
  <c r="AK80" i="20" s="1"/>
  <c r="AO80" i="20"/>
  <c r="AP80" i="20" s="1"/>
  <c r="AR80" i="20" s="1"/>
  <c r="AQ73" i="20"/>
  <c r="AJ71" i="20"/>
  <c r="AK71" i="20" s="1"/>
  <c r="AJ79" i="20"/>
  <c r="AK79" i="20" s="1"/>
  <c r="AQ77" i="20"/>
  <c r="AJ68" i="20"/>
  <c r="AK68" i="20" s="1"/>
  <c r="AJ76" i="20"/>
  <c r="AK76" i="20" s="1"/>
  <c r="AO68" i="20"/>
  <c r="AP68" i="20" s="1"/>
  <c r="AO76" i="20"/>
  <c r="AP76" i="20" s="1"/>
  <c r="AJ75" i="20"/>
  <c r="AK75" i="20" s="1"/>
  <c r="AO75" i="20"/>
  <c r="AP75" i="20" s="1"/>
  <c r="AR75" i="20" s="1"/>
  <c r="AL54" i="20"/>
  <c r="AL57" i="20"/>
  <c r="AL58" i="20"/>
  <c r="AL46" i="20"/>
  <c r="AL43" i="20"/>
  <c r="AL39" i="20"/>
  <c r="AL40" i="20"/>
  <c r="AL48" i="20"/>
  <c r="AL56" i="20"/>
  <c r="AL51" i="20"/>
  <c r="AL49" i="20"/>
  <c r="AL44" i="20"/>
  <c r="AL52" i="20"/>
  <c r="AL47" i="20"/>
  <c r="AL55" i="20"/>
  <c r="AL45" i="20"/>
  <c r="AL41" i="20"/>
  <c r="AL42" i="20"/>
  <c r="AL50" i="20"/>
  <c r="AO22" i="20"/>
  <c r="AP22" i="20" s="1"/>
  <c r="AQ32" i="20"/>
  <c r="S32" i="20"/>
  <c r="AM32" i="20"/>
  <c r="AO40" i="20"/>
  <c r="AP40" i="20" s="1"/>
  <c r="AM40" i="20"/>
  <c r="AQ40" i="20"/>
  <c r="AJ40" i="20"/>
  <c r="AK40" i="20" s="1"/>
  <c r="AJ109" i="20"/>
  <c r="AF22" i="20"/>
  <c r="AG22" i="20" s="1"/>
  <c r="AA22" i="20"/>
  <c r="AB22" i="20" s="1"/>
  <c r="M21" i="20"/>
  <c r="AC21" i="20" s="1"/>
  <c r="M13" i="20"/>
  <c r="AC13" i="20" s="1"/>
  <c r="M26" i="20"/>
  <c r="AQ20" i="20"/>
  <c r="AA20" i="20"/>
  <c r="AB20" i="20" s="1"/>
  <c r="M10" i="20"/>
  <c r="AC10" i="20" s="1"/>
  <c r="M14" i="20"/>
  <c r="AC14" i="20" s="1"/>
  <c r="M31" i="20"/>
  <c r="AC31" i="20" s="1"/>
  <c r="M33" i="20"/>
  <c r="AC33" i="20" s="1"/>
  <c r="M18" i="20"/>
  <c r="AC18" i="20" s="1"/>
  <c r="M17" i="20"/>
  <c r="AC17" i="20" s="1"/>
  <c r="M25" i="20"/>
  <c r="AC25" i="20" s="1"/>
  <c r="M29" i="20"/>
  <c r="AC29" i="20" s="1"/>
  <c r="M30" i="20"/>
  <c r="AQ9" i="20"/>
  <c r="AA9" i="20"/>
  <c r="AB9" i="20" s="1"/>
  <c r="AE9" i="20" s="1"/>
  <c r="Q22" i="20"/>
  <c r="AS22" i="20" s="1"/>
  <c r="AJ9" i="20"/>
  <c r="AK9" i="20" s="1"/>
  <c r="Q9" i="20"/>
  <c r="B68" i="20"/>
  <c r="B69" i="20" s="1"/>
  <c r="S67" i="20"/>
  <c r="S51" i="20"/>
  <c r="S100" i="20"/>
  <c r="AD95" i="20"/>
  <c r="AD91" i="20"/>
  <c r="AD100" i="20"/>
  <c r="AD87" i="20"/>
  <c r="U92" i="20"/>
  <c r="V92" i="20" s="1"/>
  <c r="W92" i="20" s="1"/>
  <c r="X92" i="20"/>
  <c r="Y92" i="20" s="1"/>
  <c r="Z92" i="20" s="1"/>
  <c r="S92" i="20"/>
  <c r="AD92" i="20"/>
  <c r="U108" i="20"/>
  <c r="V108" i="20" s="1"/>
  <c r="W108" i="20" s="1"/>
  <c r="S108" i="20"/>
  <c r="X68" i="20"/>
  <c r="Y68" i="20" s="1"/>
  <c r="Z68" i="20" s="1"/>
  <c r="S68" i="20"/>
  <c r="S99" i="20"/>
  <c r="AD68" i="20"/>
  <c r="AH92" i="20"/>
  <c r="AH108" i="20"/>
  <c r="S27" i="20"/>
  <c r="U76" i="20"/>
  <c r="V76" i="20" s="1"/>
  <c r="W76" i="20" s="1"/>
  <c r="S76" i="20"/>
  <c r="S95" i="20"/>
  <c r="S56" i="20"/>
  <c r="AD56" i="20"/>
  <c r="AD99" i="20"/>
  <c r="AH99" i="20"/>
  <c r="AD75" i="20"/>
  <c r="AG40" i="20"/>
  <c r="U40" i="20"/>
  <c r="V40" i="20" s="1"/>
  <c r="W40" i="20" s="1"/>
  <c r="AH40" i="20"/>
  <c r="U60" i="20"/>
  <c r="V60" i="20" s="1"/>
  <c r="W60" i="20" s="1"/>
  <c r="AH60" i="20"/>
  <c r="AD60" i="20"/>
  <c r="AH71" i="20"/>
  <c r="AD71" i="20"/>
  <c r="S91" i="20"/>
  <c r="S71" i="20"/>
  <c r="S87" i="20"/>
  <c r="S84" i="20"/>
  <c r="AD40" i="20"/>
  <c r="S40" i="20"/>
  <c r="U22" i="20"/>
  <c r="V22" i="20" s="1"/>
  <c r="W22" i="20" s="1"/>
  <c r="AH22" i="20"/>
  <c r="AD51" i="20"/>
  <c r="U51" i="20"/>
  <c r="V51" i="20" s="1"/>
  <c r="W51" i="20" s="1"/>
  <c r="U59" i="20"/>
  <c r="V59" i="20" s="1"/>
  <c r="W59" i="20" s="1"/>
  <c r="U67" i="20"/>
  <c r="V67" i="20" s="1"/>
  <c r="W67" i="20" s="1"/>
  <c r="AD79" i="20"/>
  <c r="U79" i="20"/>
  <c r="V79" i="20" s="1"/>
  <c r="W79" i="20" s="1"/>
  <c r="U91" i="20"/>
  <c r="V91" i="20" s="1"/>
  <c r="W91" i="20" s="1"/>
  <c r="AH27" i="20"/>
  <c r="U27" i="20"/>
  <c r="V27" i="20" s="1"/>
  <c r="W27" i="20" s="1"/>
  <c r="X40" i="20"/>
  <c r="Y40" i="20" s="1"/>
  <c r="Z40" i="20" s="1"/>
  <c r="X60" i="20"/>
  <c r="Y60" i="20" s="1"/>
  <c r="Z60" i="20" s="1"/>
  <c r="X76" i="20"/>
  <c r="Y76" i="20" s="1"/>
  <c r="Z76" i="20" s="1"/>
  <c r="AH84" i="20"/>
  <c r="U84" i="20"/>
  <c r="V84" i="20" s="1"/>
  <c r="W84" i="20" s="1"/>
  <c r="X108" i="20"/>
  <c r="Y108" i="20" s="1"/>
  <c r="Z108" i="20" s="1"/>
  <c r="U55" i="20"/>
  <c r="V55" i="20" s="1"/>
  <c r="W55" i="20" s="1"/>
  <c r="U71" i="20"/>
  <c r="V71" i="20" s="1"/>
  <c r="W71" i="20" s="1"/>
  <c r="X22" i="20"/>
  <c r="Y22" i="20" s="1"/>
  <c r="Z22" i="20" s="1"/>
  <c r="X27" i="20"/>
  <c r="Y27" i="20" s="1"/>
  <c r="Z27" i="20" s="1"/>
  <c r="X84" i="20"/>
  <c r="Y84" i="20" s="1"/>
  <c r="Z84" i="20" s="1"/>
  <c r="AH100" i="20"/>
  <c r="U100" i="20"/>
  <c r="V100" i="20" s="1"/>
  <c r="W100" i="20" s="1"/>
  <c r="X51" i="20"/>
  <c r="Y51" i="20" s="1"/>
  <c r="Z51" i="20" s="1"/>
  <c r="X71" i="20"/>
  <c r="Y71" i="20" s="1"/>
  <c r="Z71" i="20" s="1"/>
  <c r="X91" i="20"/>
  <c r="Y91" i="20" s="1"/>
  <c r="Z91" i="20" s="1"/>
  <c r="U103" i="20"/>
  <c r="V103" i="20" s="1"/>
  <c r="W103" i="20" s="1"/>
  <c r="U75" i="20"/>
  <c r="V75" i="20" s="1"/>
  <c r="W75" i="20" s="1"/>
  <c r="U87" i="20"/>
  <c r="V87" i="20" s="1"/>
  <c r="W87" i="20" s="1"/>
  <c r="U99" i="20"/>
  <c r="V99" i="20" s="1"/>
  <c r="W99" i="20" s="1"/>
  <c r="AH56" i="20"/>
  <c r="U56" i="20"/>
  <c r="V56" i="20" s="1"/>
  <c r="W56" i="20" s="1"/>
  <c r="X56" i="20"/>
  <c r="Y56" i="20" s="1"/>
  <c r="Z56" i="20" s="1"/>
  <c r="X59" i="20"/>
  <c r="Y59" i="20" s="1"/>
  <c r="Z59" i="20" s="1"/>
  <c r="X75" i="20"/>
  <c r="Y75" i="20" s="1"/>
  <c r="Z75" i="20" s="1"/>
  <c r="X79" i="20"/>
  <c r="Y79" i="20" s="1"/>
  <c r="Z79" i="20" s="1"/>
  <c r="X103" i="20"/>
  <c r="Y103" i="20" s="1"/>
  <c r="Z103" i="20" s="1"/>
  <c r="U9" i="20"/>
  <c r="V9" i="20" s="1"/>
  <c r="W9" i="20" s="1"/>
  <c r="AH68" i="20"/>
  <c r="U68" i="20"/>
  <c r="V68" i="20" s="1"/>
  <c r="W68" i="20" s="1"/>
  <c r="X55" i="20"/>
  <c r="Y55" i="20" s="1"/>
  <c r="Z55" i="20" s="1"/>
  <c r="X67" i="20"/>
  <c r="Y67" i="20" s="1"/>
  <c r="Z67" i="20" s="1"/>
  <c r="X87" i="20"/>
  <c r="Y87" i="20" s="1"/>
  <c r="Z87" i="20" s="1"/>
  <c r="X95" i="20"/>
  <c r="Y95" i="20" s="1"/>
  <c r="Z95" i="20" s="1"/>
  <c r="AD59" i="20"/>
  <c r="AH9" i="20"/>
  <c r="AH91" i="20"/>
  <c r="AH51" i="20"/>
  <c r="AH67" i="20"/>
  <c r="AH79" i="20"/>
  <c r="AH95" i="20"/>
  <c r="AB95" i="20"/>
  <c r="R103" i="20"/>
  <c r="AH103" i="20"/>
  <c r="AH59" i="20"/>
  <c r="AH75" i="20"/>
  <c r="R87" i="20"/>
  <c r="AH87" i="20"/>
  <c r="AL11" i="20"/>
  <c r="AL13" i="20"/>
  <c r="AL15" i="20"/>
  <c r="AL17" i="20"/>
  <c r="AL19" i="20"/>
  <c r="AL21" i="20"/>
  <c r="AL23" i="20"/>
  <c r="AL25" i="20"/>
  <c r="AL27" i="20"/>
  <c r="AL29" i="20"/>
  <c r="AL31" i="20"/>
  <c r="AL33" i="20"/>
  <c r="AL35" i="20"/>
  <c r="AL37" i="20"/>
  <c r="AL10" i="20"/>
  <c r="AL12" i="20"/>
  <c r="AL14" i="20"/>
  <c r="AL16" i="20"/>
  <c r="AL18" i="20"/>
  <c r="AL20" i="20"/>
  <c r="AL22" i="20"/>
  <c r="AL24" i="20"/>
  <c r="AL26" i="20"/>
  <c r="AL28" i="20"/>
  <c r="AL30" i="20"/>
  <c r="AL32" i="20"/>
  <c r="AL34" i="20"/>
  <c r="AL36" i="20"/>
  <c r="AL38" i="20"/>
  <c r="AL9" i="20"/>
  <c r="S20" i="20"/>
  <c r="AM20" i="20"/>
  <c r="S9" i="20"/>
  <c r="AM9" i="20"/>
  <c r="S22" i="20"/>
  <c r="AM22" i="20"/>
  <c r="E84" i="2"/>
  <c r="B70" i="20"/>
  <c r="C79" i="20"/>
  <c r="B79" i="20" s="1"/>
  <c r="B80" i="20" s="1"/>
  <c r="G594" i="17"/>
  <c r="E316" i="2"/>
  <c r="B192" i="2"/>
  <c r="B193" i="2" s="1"/>
  <c r="B187" i="2"/>
  <c r="B188" i="2" s="1"/>
  <c r="E50" i="1" s="1"/>
  <c r="B83" i="2"/>
  <c r="D30" i="1" s="1"/>
  <c r="B84" i="2"/>
  <c r="F83" i="2"/>
  <c r="F84" i="2"/>
  <c r="E83" i="2"/>
  <c r="B133" i="2"/>
  <c r="B179" i="2"/>
  <c r="F267" i="2"/>
  <c r="F178" i="2"/>
  <c r="B128" i="2"/>
  <c r="H133" i="2" s="1"/>
  <c r="B269" i="2"/>
  <c r="J78" i="1" s="1"/>
  <c r="N104" i="2"/>
  <c r="H44" i="17"/>
  <c r="B267" i="2"/>
  <c r="H107" i="17"/>
  <c r="H571" i="17"/>
  <c r="H93" i="17"/>
  <c r="H407" i="17"/>
  <c r="H247" i="17"/>
  <c r="H305" i="17"/>
  <c r="G484" i="17"/>
  <c r="G582" i="17"/>
  <c r="G59" i="17"/>
  <c r="H362" i="17"/>
  <c r="G367" i="17"/>
  <c r="G49" i="17"/>
  <c r="H561" i="17"/>
  <c r="H350" i="17"/>
  <c r="H292" i="17"/>
  <c r="G491" i="17"/>
  <c r="G34" i="17"/>
  <c r="H152" i="17"/>
  <c r="H54" i="17"/>
  <c r="H315" i="17"/>
  <c r="H105" i="17"/>
  <c r="G490" i="17"/>
  <c r="H448" i="17"/>
  <c r="G533" i="17"/>
  <c r="H172" i="17"/>
  <c r="G177" i="17"/>
  <c r="H433" i="17"/>
  <c r="G352" i="17"/>
  <c r="G94" i="17"/>
  <c r="G269" i="17"/>
  <c r="H35" i="17"/>
  <c r="G455" i="17"/>
  <c r="H364" i="17"/>
  <c r="G176" i="17"/>
  <c r="H546" i="17"/>
  <c r="G326" i="17"/>
  <c r="H194" i="17"/>
  <c r="H284" i="17"/>
  <c r="G427" i="17"/>
  <c r="H182" i="17"/>
  <c r="G187" i="17"/>
  <c r="H443" i="17"/>
  <c r="G362" i="17"/>
  <c r="G106" i="17"/>
  <c r="G281" i="17"/>
  <c r="H597" i="17"/>
  <c r="G248" i="17"/>
  <c r="H576" i="17"/>
  <c r="G469" i="17"/>
  <c r="G597" i="17"/>
  <c r="H108" i="17"/>
  <c r="H236" i="17"/>
  <c r="G113" i="17"/>
  <c r="G241" i="17"/>
  <c r="H369" i="17"/>
  <c r="H497" i="17"/>
  <c r="G288" i="17"/>
  <c r="G416" i="17"/>
  <c r="H221" i="17"/>
  <c r="G222" i="17"/>
  <c r="H478" i="17"/>
  <c r="G397" i="17"/>
  <c r="G548" i="17"/>
  <c r="G36" i="17"/>
  <c r="H548" i="17"/>
  <c r="G583" i="17"/>
  <c r="G108" i="17"/>
  <c r="G283" i="17"/>
  <c r="H600" i="17"/>
  <c r="H175" i="17"/>
  <c r="G454" i="17"/>
  <c r="H290" i="17"/>
  <c r="H33" i="17"/>
  <c r="H535" i="17"/>
  <c r="G199" i="17"/>
  <c r="H25" i="17"/>
  <c r="G54" i="17"/>
  <c r="G21" i="17"/>
  <c r="H57" i="17"/>
  <c r="H118" i="17"/>
  <c r="H246" i="17"/>
  <c r="G123" i="17"/>
  <c r="G251" i="17"/>
  <c r="H379" i="17"/>
  <c r="H507" i="17"/>
  <c r="G298" i="17"/>
  <c r="G426" i="17"/>
  <c r="H233" i="17"/>
  <c r="G234" i="17"/>
  <c r="H490" i="17"/>
  <c r="G409" i="17"/>
  <c r="G554" i="17"/>
  <c r="H119" i="17"/>
  <c r="G120" i="17"/>
  <c r="H376" i="17"/>
  <c r="H512" i="17"/>
  <c r="G303" i="17"/>
  <c r="G431" i="17"/>
  <c r="G501" i="17"/>
  <c r="G565" i="17"/>
  <c r="H626" i="17"/>
  <c r="H76" i="17"/>
  <c r="H140" i="17"/>
  <c r="H204" i="17"/>
  <c r="G17" i="17"/>
  <c r="G81" i="17"/>
  <c r="G145" i="17"/>
  <c r="G209" i="17"/>
  <c r="H273" i="17"/>
  <c r="H337" i="17"/>
  <c r="H401" i="17"/>
  <c r="H465" i="17"/>
  <c r="H529" i="17"/>
  <c r="H596" i="17"/>
  <c r="G320" i="17"/>
  <c r="G384" i="17"/>
  <c r="H29" i="17"/>
  <c r="H157" i="17"/>
  <c r="G30" i="17"/>
  <c r="G158" i="17"/>
  <c r="H286" i="17"/>
  <c r="H414" i="17"/>
  <c r="H542" i="17"/>
  <c r="G333" i="17"/>
  <c r="G452" i="17"/>
  <c r="G516" i="17"/>
  <c r="G580" i="17"/>
  <c r="H163" i="17"/>
  <c r="G164" i="17"/>
  <c r="H420" i="17"/>
  <c r="G339" i="17"/>
  <c r="G519" i="17"/>
  <c r="G604" i="17"/>
  <c r="H235" i="17"/>
  <c r="G236" i="17"/>
  <c r="H492" i="17"/>
  <c r="G411" i="17"/>
  <c r="G555" i="17"/>
  <c r="H304" i="17"/>
  <c r="G48" i="17"/>
  <c r="H47" i="17"/>
  <c r="G518" i="17"/>
  <c r="G337" i="17"/>
  <c r="H418" i="17"/>
  <c r="G162" i="17"/>
  <c r="H161" i="17"/>
  <c r="G390" i="17"/>
  <c r="H608" i="17"/>
  <c r="H471" i="17"/>
  <c r="H327" i="17"/>
  <c r="G71" i="17"/>
  <c r="H158" i="17"/>
  <c r="H408" i="17"/>
  <c r="H413" i="17"/>
  <c r="G600" i="17"/>
  <c r="G250" i="17"/>
  <c r="H294" i="17"/>
  <c r="H325" i="17"/>
  <c r="G101" i="17"/>
  <c r="H132" i="2"/>
  <c r="E35" i="1"/>
  <c r="H134" i="2"/>
  <c r="B127" i="2"/>
  <c r="K132" i="2" s="1"/>
  <c r="M132" i="2" s="1"/>
  <c r="E18" i="1"/>
  <c r="H419" i="17"/>
  <c r="G595" i="17"/>
  <c r="H316" i="17"/>
  <c r="H160" i="17"/>
  <c r="H187" i="17"/>
  <c r="H133" i="17"/>
  <c r="H64" i="17"/>
  <c r="G274" i="17"/>
  <c r="G612" i="17"/>
  <c r="G456" i="17"/>
  <c r="H37" i="17"/>
  <c r="H277" i="17"/>
  <c r="H16" i="17"/>
  <c r="H135" i="17"/>
  <c r="H515" i="17"/>
  <c r="G451" i="17"/>
  <c r="H27" i="17"/>
  <c r="G212" i="17"/>
  <c r="G464" i="17"/>
  <c r="H310" i="17"/>
  <c r="H53" i="17"/>
  <c r="H541" i="17"/>
  <c r="H285" i="17"/>
  <c r="G29" i="17"/>
  <c r="H24" i="17"/>
  <c r="G327" i="17"/>
  <c r="H167" i="17"/>
  <c r="H282" i="17"/>
  <c r="H531" i="17"/>
  <c r="H238" i="17"/>
  <c r="H42" i="17"/>
  <c r="H162" i="17"/>
  <c r="H226" i="17"/>
  <c r="G39" i="17"/>
  <c r="G103" i="17"/>
  <c r="G167" i="17"/>
  <c r="G231" i="17"/>
  <c r="H295" i="17"/>
  <c r="H359" i="17"/>
  <c r="H391" i="17"/>
  <c r="H423" i="17"/>
  <c r="H455" i="17"/>
  <c r="H487" i="17"/>
  <c r="H519" i="17"/>
  <c r="H551" i="17"/>
  <c r="H583" i="17"/>
  <c r="G278" i="17"/>
  <c r="G310" i="17"/>
  <c r="G342" i="17"/>
  <c r="G374" i="17"/>
  <c r="G406" i="17"/>
  <c r="G438" i="17"/>
  <c r="H65" i="17"/>
  <c r="H129" i="17"/>
  <c r="H193" i="17"/>
  <c r="H257" i="17"/>
  <c r="G66" i="17"/>
  <c r="G130" i="17"/>
  <c r="G194" i="17"/>
  <c r="G258" i="17"/>
  <c r="H322" i="17"/>
  <c r="H386" i="17"/>
  <c r="H450" i="17"/>
  <c r="H514" i="17"/>
  <c r="H578" i="17"/>
  <c r="G305" i="17"/>
  <c r="G369" i="17"/>
  <c r="G433" i="17"/>
  <c r="G470" i="17"/>
  <c r="G502" i="17"/>
  <c r="G534" i="17"/>
  <c r="G566" i="17"/>
  <c r="G598" i="17"/>
  <c r="H15" i="17"/>
  <c r="H79" i="17"/>
  <c r="H143" i="17"/>
  <c r="H207" i="17"/>
  <c r="G16" i="17"/>
  <c r="G80" i="17"/>
  <c r="G144" i="17"/>
  <c r="G208" i="17"/>
  <c r="H272" i="17"/>
  <c r="H336" i="17"/>
  <c r="H22" i="17"/>
  <c r="H86" i="17"/>
  <c r="H150" i="17"/>
  <c r="H214" i="17"/>
  <c r="G27" i="17"/>
  <c r="G91" i="17"/>
  <c r="G155" i="17"/>
  <c r="G219" i="17"/>
  <c r="H283" i="17"/>
  <c r="H347" i="17"/>
  <c r="H411" i="17"/>
  <c r="H475" i="17"/>
  <c r="H539" i="17"/>
  <c r="G266" i="17"/>
  <c r="G330" i="17"/>
  <c r="G394" i="17"/>
  <c r="H41" i="17"/>
  <c r="H169" i="17"/>
  <c r="G42" i="17"/>
  <c r="G170" i="17"/>
  <c r="H298" i="17"/>
  <c r="H426" i="17"/>
  <c r="H554" i="17"/>
  <c r="G345" i="17"/>
  <c r="G458" i="17"/>
  <c r="G522" i="17"/>
  <c r="G586" i="17"/>
  <c r="H55" i="17"/>
  <c r="H183" i="17"/>
  <c r="G56" i="17"/>
  <c r="G184" i="17"/>
  <c r="H312" i="17"/>
  <c r="H416" i="17"/>
  <c r="H480" i="17"/>
  <c r="H544" i="17"/>
  <c r="G271" i="17"/>
  <c r="G335" i="17"/>
  <c r="G399" i="17"/>
  <c r="G453" i="17"/>
  <c r="G485" i="17"/>
  <c r="G517" i="17"/>
  <c r="G549" i="17"/>
  <c r="G581" i="17"/>
  <c r="G613" i="17"/>
  <c r="H28" i="17"/>
  <c r="H60" i="17"/>
  <c r="H92" i="17"/>
  <c r="H124" i="17"/>
  <c r="H156" i="17"/>
  <c r="H188" i="17"/>
  <c r="H220" i="17"/>
  <c r="H252" i="17"/>
  <c r="G33" i="17"/>
  <c r="G65" i="17"/>
  <c r="G97" i="17"/>
  <c r="G129" i="17"/>
  <c r="G161" i="17"/>
  <c r="G193" i="17"/>
  <c r="G225" i="17"/>
  <c r="G257" i="17"/>
  <c r="H289" i="17"/>
  <c r="H321" i="17"/>
  <c r="H353" i="17"/>
  <c r="H385" i="17"/>
  <c r="H417" i="17"/>
  <c r="H449" i="17"/>
  <c r="H481" i="17"/>
  <c r="H513" i="17"/>
  <c r="H545" i="17"/>
  <c r="H577" i="17"/>
  <c r="G272" i="17"/>
  <c r="G304" i="17"/>
  <c r="G336" i="17"/>
  <c r="G368" i="17"/>
  <c r="G400" i="17"/>
  <c r="G432" i="17"/>
  <c r="H61" i="17"/>
  <c r="H125" i="17"/>
  <c r="H189" i="17"/>
  <c r="H253" i="17"/>
  <c r="G62" i="17"/>
  <c r="G126" i="17"/>
  <c r="G190" i="17"/>
  <c r="G254" i="17"/>
  <c r="H318" i="17"/>
  <c r="H382" i="17"/>
  <c r="H446" i="17"/>
  <c r="H510" i="17"/>
  <c r="H574" i="17"/>
  <c r="G301" i="17"/>
  <c r="G365" i="17"/>
  <c r="G429" i="17"/>
  <c r="G468" i="17"/>
  <c r="G500" i="17"/>
  <c r="G532" i="17"/>
  <c r="G564" i="17"/>
  <c r="G608" i="17"/>
  <c r="H99" i="17"/>
  <c r="H227" i="17"/>
  <c r="G100" i="17"/>
  <c r="G228" i="17"/>
  <c r="H356" i="17"/>
  <c r="H484" i="17"/>
  <c r="G275" i="17"/>
  <c r="G403" i="17"/>
  <c r="G487" i="17"/>
  <c r="G551" i="17"/>
  <c r="H591" i="17"/>
  <c r="H43" i="17"/>
  <c r="H171" i="17"/>
  <c r="G44" i="17"/>
  <c r="G172" i="17"/>
  <c r="H300" i="17"/>
  <c r="H428" i="17"/>
  <c r="H556" i="17"/>
  <c r="G347" i="17"/>
  <c r="G459" i="17"/>
  <c r="G523" i="17"/>
  <c r="G587" i="17"/>
  <c r="H368" i="17"/>
  <c r="G240" i="17"/>
  <c r="G112" i="17"/>
  <c r="H239" i="17"/>
  <c r="H111" i="17"/>
  <c r="H13" i="17"/>
  <c r="G550" i="17"/>
  <c r="G486" i="17"/>
  <c r="G401" i="17"/>
  <c r="G273" i="17"/>
  <c r="H482" i="17"/>
  <c r="H354" i="17"/>
  <c r="G226" i="17"/>
  <c r="G98" i="17"/>
  <c r="H225" i="17"/>
  <c r="H97" i="17"/>
  <c r="G422" i="17"/>
  <c r="G358" i="17"/>
  <c r="G294" i="17"/>
  <c r="H567" i="17"/>
  <c r="H503" i="17"/>
  <c r="H439" i="17"/>
  <c r="H375" i="17"/>
  <c r="G263" i="17"/>
  <c r="G135" i="17"/>
  <c r="H258" i="17"/>
  <c r="H106" i="17"/>
  <c r="H275" i="17"/>
  <c r="G450" i="17"/>
  <c r="G513" i="17"/>
  <c r="G157" i="17"/>
  <c r="G332" i="17"/>
  <c r="H566" i="17"/>
  <c r="G387" i="17"/>
  <c r="H206" i="17"/>
  <c r="G311" i="17"/>
  <c r="H533" i="17"/>
  <c r="G180" i="17"/>
  <c r="G72" i="17"/>
  <c r="G504" i="17"/>
  <c r="G70" i="17"/>
  <c r="B317" i="2"/>
  <c r="G559" i="17"/>
  <c r="H485" i="17"/>
  <c r="H454" i="17"/>
  <c r="H570" i="17"/>
  <c r="H593" i="17"/>
  <c r="H421" i="17"/>
  <c r="H424" i="17"/>
  <c r="G531" i="17"/>
  <c r="H372" i="17"/>
  <c r="H390" i="17"/>
  <c r="H581" i="17"/>
  <c r="G69" i="17"/>
  <c r="G407" i="17"/>
  <c r="H442" i="17"/>
  <c r="G99" i="17"/>
  <c r="G252" i="17"/>
  <c r="G355" i="17"/>
  <c r="G584" i="17"/>
  <c r="H550" i="17"/>
  <c r="G38" i="17"/>
  <c r="G324" i="17"/>
  <c r="H405" i="17"/>
  <c r="G149" i="17"/>
  <c r="H144" i="17"/>
  <c r="G505" i="17"/>
  <c r="H392" i="17"/>
  <c r="G425" i="17"/>
  <c r="G434" i="17"/>
  <c r="G259" i="17"/>
  <c r="G579" i="17"/>
  <c r="H540" i="17"/>
  <c r="G28" i="17"/>
  <c r="G543" i="17"/>
  <c r="H468" i="17"/>
  <c r="H211" i="17"/>
  <c r="G528" i="17"/>
  <c r="G357" i="17"/>
  <c r="H438" i="17"/>
  <c r="G182" i="17"/>
  <c r="H181" i="17"/>
  <c r="G396" i="17"/>
  <c r="G268" i="17"/>
  <c r="H477" i="17"/>
  <c r="H349" i="17"/>
  <c r="G221" i="17"/>
  <c r="G93" i="17"/>
  <c r="H216" i="17"/>
  <c r="H88" i="17"/>
  <c r="G577" i="17"/>
  <c r="G449" i="17"/>
  <c r="H536" i="17"/>
  <c r="G168" i="17"/>
  <c r="G578" i="17"/>
  <c r="H538" i="17"/>
  <c r="G26" i="17"/>
  <c r="G322" i="17"/>
  <c r="H403" i="17"/>
  <c r="G147" i="17"/>
  <c r="G35" i="17"/>
  <c r="H623" i="17"/>
  <c r="H74" i="17"/>
  <c r="H138" i="17"/>
  <c r="H178" i="17"/>
  <c r="H210" i="17"/>
  <c r="H242" i="17"/>
  <c r="G23" i="17"/>
  <c r="G55" i="17"/>
  <c r="G87" i="17"/>
  <c r="G119" i="17"/>
  <c r="G151" i="17"/>
  <c r="G183" i="17"/>
  <c r="G215" i="17"/>
  <c r="G247" i="17"/>
  <c r="H279" i="17"/>
  <c r="H311" i="17"/>
  <c r="H343" i="17"/>
  <c r="K185" i="2"/>
  <c r="E19" i="1"/>
  <c r="B284" i="2"/>
  <c r="B307" i="2" s="1"/>
  <c r="H30" i="17"/>
  <c r="G404" i="17"/>
  <c r="G585" i="17"/>
  <c r="G229" i="17"/>
  <c r="H572" i="17"/>
  <c r="G198" i="17"/>
  <c r="H224" i="17"/>
  <c r="G58" i="17"/>
  <c r="G60" i="17"/>
  <c r="G536" i="17"/>
  <c r="H197" i="17"/>
  <c r="H357" i="17"/>
  <c r="H96" i="17"/>
  <c r="G200" i="17"/>
  <c r="G338" i="17"/>
  <c r="G467" i="17"/>
  <c r="H59" i="17"/>
  <c r="G244" i="17"/>
  <c r="G472" i="17"/>
  <c r="H326" i="17"/>
  <c r="H69" i="17"/>
  <c r="H549" i="17"/>
  <c r="H293" i="17"/>
  <c r="G37" i="17"/>
  <c r="H32" i="17"/>
  <c r="G343" i="17"/>
  <c r="H199" i="17"/>
  <c r="H314" i="17"/>
  <c r="H547" i="17"/>
  <c r="G19" i="17"/>
  <c r="G363" i="17"/>
  <c r="G188" i="17"/>
  <c r="H607" i="17"/>
  <c r="G291" i="17"/>
  <c r="G116" i="17"/>
  <c r="G568" i="17"/>
  <c r="G437" i="17"/>
  <c r="H518" i="17"/>
  <c r="G262" i="17"/>
  <c r="H261" i="17"/>
  <c r="G436" i="17"/>
  <c r="G308" i="17"/>
  <c r="H517" i="17"/>
  <c r="H389" i="17"/>
  <c r="G261" i="17"/>
  <c r="G133" i="17"/>
  <c r="H256" i="17"/>
  <c r="H128" i="17"/>
  <c r="H595" i="17"/>
  <c r="G489" i="17"/>
  <c r="G279" i="17"/>
  <c r="H328" i="17"/>
  <c r="H71" i="17"/>
  <c r="G361" i="17"/>
  <c r="G186" i="17"/>
  <c r="G402" i="17"/>
  <c r="H483" i="17"/>
  <c r="G227" i="17"/>
  <c r="H142" i="17"/>
  <c r="G499" i="17"/>
  <c r="G299" i="17"/>
  <c r="H380" i="17"/>
  <c r="G124" i="17"/>
  <c r="H123" i="17"/>
  <c r="G591" i="17"/>
  <c r="G463" i="17"/>
  <c r="H564" i="17"/>
  <c r="H308" i="17"/>
  <c r="G52" i="17"/>
  <c r="H51" i="17"/>
  <c r="G552" i="17"/>
  <c r="G488" i="17"/>
  <c r="G405" i="17"/>
  <c r="G277" i="17"/>
  <c r="H486" i="17"/>
  <c r="H358" i="17"/>
  <c r="G230" i="17"/>
  <c r="G102" i="17"/>
  <c r="H229" i="17"/>
  <c r="H101" i="17"/>
  <c r="G420" i="17"/>
  <c r="G356" i="17"/>
  <c r="G292" i="17"/>
  <c r="H565" i="17"/>
  <c r="H501" i="17"/>
  <c r="H437" i="17"/>
  <c r="H373" i="17"/>
  <c r="H309" i="17"/>
  <c r="G245" i="17"/>
  <c r="G181" i="17"/>
  <c r="G117" i="17"/>
  <c r="G53" i="17"/>
  <c r="H240" i="17"/>
  <c r="H176" i="17"/>
  <c r="H112" i="17"/>
  <c r="H48" i="17"/>
  <c r="G601" i="17"/>
  <c r="G537" i="17"/>
  <c r="G473" i="17"/>
  <c r="G375" i="17"/>
  <c r="H584" i="17"/>
  <c r="H456" i="17"/>
  <c r="G264" i="17"/>
  <c r="H263" i="17"/>
  <c r="H613" i="17"/>
  <c r="G498" i="17"/>
  <c r="G297" i="17"/>
  <c r="H378" i="17"/>
  <c r="G122" i="17"/>
  <c r="H121" i="17"/>
  <c r="G370" i="17"/>
  <c r="H579" i="17"/>
  <c r="H451" i="17"/>
  <c r="H323" i="17"/>
  <c r="G195" i="17"/>
  <c r="G67" i="17"/>
  <c r="H78" i="17"/>
  <c r="G611" i="17"/>
  <c r="G547" i="17"/>
  <c r="G483" i="17"/>
  <c r="G395" i="17"/>
  <c r="G267" i="17"/>
  <c r="H476" i="17"/>
  <c r="H348" i="17"/>
  <c r="G220" i="17"/>
  <c r="G92" i="17"/>
  <c r="H219" i="17"/>
  <c r="H91" i="17"/>
  <c r="G596" i="17"/>
  <c r="G575" i="17"/>
  <c r="G511" i="17"/>
  <c r="G447" i="17"/>
  <c r="G323" i="17"/>
  <c r="H532" i="17"/>
  <c r="H404" i="17"/>
  <c r="H276" i="17"/>
  <c r="G148" i="17"/>
  <c r="G20" i="17"/>
  <c r="H147" i="17"/>
  <c r="H19" i="17"/>
  <c r="G576" i="17"/>
  <c r="G544" i="17"/>
  <c r="G512" i="17"/>
  <c r="G480" i="17"/>
  <c r="G448" i="17"/>
  <c r="G389" i="17"/>
  <c r="G325" i="17"/>
  <c r="H606" i="17"/>
  <c r="H534" i="17"/>
  <c r="H470" i="17"/>
  <c r="H406" i="17"/>
  <c r="H342" i="17"/>
  <c r="H278" i="17"/>
  <c r="G214" i="17"/>
  <c r="G150" i="17"/>
  <c r="G86" i="17"/>
  <c r="G22" i="17"/>
  <c r="H213" i="17"/>
  <c r="H149" i="17"/>
  <c r="H85" i="17"/>
  <c r="H21" i="17"/>
  <c r="G412" i="17"/>
  <c r="G380" i="17"/>
  <c r="G348" i="17"/>
  <c r="G316" i="17"/>
  <c r="G284" i="17"/>
  <c r="H589" i="17"/>
  <c r="H557" i="17"/>
  <c r="H525" i="17"/>
  <c r="H493" i="17"/>
  <c r="H461" i="17"/>
  <c r="H429" i="17"/>
  <c r="H397" i="17"/>
  <c r="H365" i="17"/>
  <c r="H333" i="17"/>
  <c r="H301" i="17"/>
  <c r="H269" i="17"/>
  <c r="G237" i="17"/>
  <c r="G205" i="17"/>
  <c r="G173" i="17"/>
  <c r="G141" i="17"/>
  <c r="G109" i="17"/>
  <c r="G77" i="17"/>
  <c r="G45" i="17"/>
  <c r="H264" i="17"/>
  <c r="H232" i="17"/>
  <c r="H200" i="17"/>
  <c r="H168" i="17"/>
  <c r="H136" i="17"/>
  <c r="H104" i="17"/>
  <c r="H72" i="17"/>
  <c r="H40" i="17"/>
  <c r="H611" i="17"/>
  <c r="G593" i="17"/>
  <c r="G561" i="17"/>
  <c r="G529" i="17"/>
  <c r="G497" i="17"/>
  <c r="G465" i="17"/>
  <c r="G423" i="17"/>
  <c r="G359" i="17"/>
  <c r="G295" i="17"/>
  <c r="H568" i="17"/>
  <c r="H504" i="17"/>
  <c r="H440" i="17"/>
  <c r="H360" i="17"/>
  <c r="G232" i="17"/>
  <c r="G104" i="17"/>
  <c r="H231" i="17"/>
  <c r="H103" i="17"/>
  <c r="G610" i="17"/>
  <c r="G546" i="17"/>
  <c r="G482" i="17"/>
  <c r="G393" i="17"/>
  <c r="G13" i="17"/>
  <c r="H474" i="17"/>
  <c r="H346" i="17"/>
  <c r="G218" i="17"/>
  <c r="G90" i="17"/>
  <c r="H217" i="17"/>
  <c r="H89" i="17"/>
  <c r="G418" i="17"/>
  <c r="G354" i="17"/>
  <c r="G290" i="17"/>
  <c r="H563" i="17"/>
  <c r="H499" i="17"/>
  <c r="H435" i="17"/>
  <c r="H371" i="17"/>
  <c r="H307" i="17"/>
  <c r="G243" i="17"/>
  <c r="G179" i="17"/>
  <c r="G115" i="17"/>
  <c r="G51" i="17"/>
  <c r="H174" i="17"/>
  <c r="H46" i="17"/>
  <c r="H254" i="17"/>
  <c r="H190" i="17"/>
  <c r="H126" i="17"/>
  <c r="H62" i="17"/>
  <c r="H18" i="17"/>
  <c r="H34" i="17"/>
  <c r="H50" i="17"/>
  <c r="H66" i="17"/>
  <c r="H82" i="17"/>
  <c r="H98" i="17"/>
  <c r="H114" i="17"/>
  <c r="H130" i="17"/>
  <c r="H146" i="17"/>
  <c r="G623" i="17"/>
  <c r="H38" i="17"/>
  <c r="H70" i="17"/>
  <c r="H102" i="17"/>
  <c r="H134" i="17"/>
  <c r="H166" i="17"/>
  <c r="H198" i="17"/>
  <c r="H230" i="17"/>
  <c r="H262" i="17"/>
  <c r="G43" i="17"/>
  <c r="G75" i="17"/>
  <c r="G107" i="17"/>
  <c r="G139" i="17"/>
  <c r="G171" i="17"/>
  <c r="G203" i="17"/>
  <c r="G235" i="17"/>
  <c r="H267" i="17"/>
  <c r="H299" i="17"/>
  <c r="H331" i="17"/>
  <c r="H363" i="17"/>
  <c r="H395" i="17"/>
  <c r="H427" i="17"/>
  <c r="H459" i="17"/>
  <c r="H491" i="17"/>
  <c r="H523" i="17"/>
  <c r="H555" i="17"/>
  <c r="H587" i="17"/>
  <c r="G282" i="17"/>
  <c r="G314" i="17"/>
  <c r="G346" i="17"/>
  <c r="G378" i="17"/>
  <c r="G410" i="17"/>
  <c r="G442" i="17"/>
  <c r="H73" i="17"/>
  <c r="H137" i="17"/>
  <c r="H201" i="17"/>
  <c r="H265" i="17"/>
  <c r="G74" i="17"/>
  <c r="G138" i="17"/>
  <c r="G202" i="17"/>
  <c r="H266" i="17"/>
  <c r="H330" i="17"/>
  <c r="H394" i="17"/>
  <c r="H458" i="17"/>
  <c r="H522" i="17"/>
  <c r="H586" i="17"/>
  <c r="G313" i="17"/>
  <c r="G377" i="17"/>
  <c r="G441" i="17"/>
  <c r="G474" i="17"/>
  <c r="G506" i="17"/>
  <c r="G538" i="17"/>
  <c r="G570" i="17"/>
  <c r="G602" i="17"/>
  <c r="H23" i="17"/>
  <c r="H87" i="17"/>
  <c r="H151" i="17"/>
  <c r="H215" i="17"/>
  <c r="G24" i="17"/>
  <c r="G88" i="17"/>
  <c r="G152" i="17"/>
  <c r="G216" i="17"/>
  <c r="H280" i="17"/>
  <c r="H344" i="17"/>
  <c r="H400" i="17"/>
  <c r="H432" i="17"/>
  <c r="H464" i="17"/>
  <c r="H496" i="17"/>
  <c r="H528" i="17"/>
  <c r="H560" i="17"/>
  <c r="H594" i="17"/>
  <c r="G287" i="17"/>
  <c r="G319" i="17"/>
  <c r="G351" i="17"/>
  <c r="G383" i="17"/>
  <c r="G415" i="17"/>
  <c r="G445" i="17"/>
  <c r="G461" i="17"/>
  <c r="G477" i="17"/>
  <c r="G493" i="17"/>
  <c r="G509" i="17"/>
  <c r="G525" i="17"/>
  <c r="G541" i="17"/>
  <c r="G557" i="17"/>
  <c r="G573" i="17"/>
  <c r="G589" i="17"/>
  <c r="G605" i="17"/>
  <c r="H603" i="17"/>
  <c r="H20" i="17"/>
  <c r="H36" i="17"/>
  <c r="H52" i="17"/>
  <c r="H68" i="17"/>
  <c r="H84" i="17"/>
  <c r="H100" i="17"/>
  <c r="H116" i="17"/>
  <c r="H132" i="17"/>
  <c r="H148" i="17"/>
  <c r="H164" i="17"/>
  <c r="H180" i="17"/>
  <c r="H196" i="17"/>
  <c r="H212" i="17"/>
  <c r="H228" i="17"/>
  <c r="H244" i="17"/>
  <c r="H260" i="17"/>
  <c r="G25" i="17"/>
  <c r="G41" i="17"/>
  <c r="G57" i="17"/>
  <c r="G73" i="17"/>
  <c r="G89" i="17"/>
  <c r="G105" i="17"/>
  <c r="G121" i="17"/>
  <c r="G137" i="17"/>
  <c r="G153" i="17"/>
  <c r="G169" i="17"/>
  <c r="G185" i="17"/>
  <c r="G201" i="17"/>
  <c r="G217" i="17"/>
  <c r="G233" i="17"/>
  <c r="G249" i="17"/>
  <c r="G265" i="17"/>
  <c r="H281" i="17"/>
  <c r="H297" i="17"/>
  <c r="H313" i="17"/>
  <c r="H329" i="17"/>
  <c r="H345" i="17"/>
  <c r="H361" i="17"/>
  <c r="H377" i="17"/>
  <c r="H393" i="17"/>
  <c r="H409" i="17"/>
  <c r="H425" i="17"/>
  <c r="H441" i="17"/>
  <c r="H457" i="17"/>
  <c r="H473" i="17"/>
  <c r="H489" i="17"/>
  <c r="H505" i="17"/>
  <c r="H521" i="17"/>
  <c r="H537" i="17"/>
  <c r="H553" i="17"/>
  <c r="H569" i="17"/>
  <c r="H585" i="17"/>
  <c r="H612" i="17"/>
  <c r="G280" i="17"/>
  <c r="G296" i="17"/>
  <c r="G312" i="17"/>
  <c r="G328" i="17"/>
  <c r="G344" i="17"/>
  <c r="G360" i="17"/>
  <c r="G376" i="17"/>
  <c r="G392" i="17"/>
  <c r="G408" i="17"/>
  <c r="G424" i="17"/>
  <c r="G440" i="17"/>
  <c r="H45" i="17"/>
  <c r="H77" i="17"/>
  <c r="H109" i="17"/>
  <c r="H141" i="17"/>
  <c r="H173" i="17"/>
  <c r="H205" i="17"/>
  <c r="H237" i="17"/>
  <c r="G14" i="17"/>
  <c r="G46" i="17"/>
  <c r="G78" i="17"/>
  <c r="G110" i="17"/>
  <c r="G142" i="17"/>
  <c r="G174" i="17"/>
  <c r="G206" i="17"/>
  <c r="G238" i="17"/>
  <c r="H270" i="17"/>
  <c r="H302" i="17"/>
  <c r="H334" i="17"/>
  <c r="H366" i="17"/>
  <c r="H398" i="17"/>
  <c r="H430" i="17"/>
  <c r="H462" i="17"/>
  <c r="H494" i="17"/>
  <c r="H526" i="17"/>
  <c r="H558" i="17"/>
  <c r="H590" i="17"/>
  <c r="G285" i="17"/>
  <c r="G317" i="17"/>
  <c r="G349" i="17"/>
  <c r="G381" i="17"/>
  <c r="G413" i="17"/>
  <c r="G444" i="17"/>
  <c r="G460" i="17"/>
  <c r="G476" i="17"/>
  <c r="G492" i="17"/>
  <c r="G508" i="17"/>
  <c r="G524" i="17"/>
  <c r="G540" i="17"/>
  <c r="G556" i="17"/>
  <c r="G572" i="17"/>
  <c r="G592" i="17"/>
  <c r="H609" i="17"/>
  <c r="H67" i="17"/>
  <c r="H131" i="17"/>
  <c r="H195" i="17"/>
  <c r="H259" i="17"/>
  <c r="G68" i="17"/>
  <c r="G132" i="17"/>
  <c r="G196" i="17"/>
  <c r="G260" i="17"/>
  <c r="H324" i="17"/>
  <c r="H388" i="17"/>
  <c r="H452" i="17"/>
  <c r="H516" i="17"/>
  <c r="H580" i="17"/>
  <c r="G307" i="17"/>
  <c r="G371" i="17"/>
  <c r="G435" i="17"/>
  <c r="G471" i="17"/>
  <c r="G503" i="17"/>
  <c r="G535" i="17"/>
  <c r="G567" i="17"/>
  <c r="G599" i="17"/>
  <c r="G588" i="17"/>
  <c r="H602" i="17"/>
  <c r="H75" i="17"/>
  <c r="H139" i="17"/>
  <c r="H203" i="17"/>
  <c r="G626" i="17"/>
  <c r="G76" i="17"/>
  <c r="G140" i="17"/>
  <c r="G204" i="17"/>
  <c r="H268" i="17"/>
  <c r="H332" i="17"/>
  <c r="H396" i="17"/>
  <c r="H460" i="17"/>
  <c r="H524" i="17"/>
  <c r="H588" i="17"/>
  <c r="G315" i="17"/>
  <c r="G379" i="17"/>
  <c r="G443" i="17"/>
  <c r="G475" i="17"/>
  <c r="G507" i="17"/>
  <c r="G539" i="17"/>
  <c r="G571" i="17"/>
  <c r="G603" i="17"/>
  <c r="H384" i="17"/>
  <c r="H352" i="17"/>
  <c r="H320" i="17"/>
  <c r="H288" i="17"/>
  <c r="G256" i="17"/>
  <c r="G224" i="17"/>
  <c r="G192" i="17"/>
  <c r="G160" i="17"/>
  <c r="G128" i="17"/>
  <c r="G96" i="17"/>
  <c r="G64" i="17"/>
  <c r="G32" i="17"/>
  <c r="H255" i="17"/>
  <c r="H223" i="17"/>
  <c r="H191" i="17"/>
  <c r="H159" i="17"/>
  <c r="H127" i="17"/>
  <c r="H95" i="17"/>
  <c r="H63" i="17"/>
  <c r="H31" i="17"/>
  <c r="H605" i="17"/>
  <c r="G606" i="17"/>
  <c r="G590" i="17"/>
  <c r="G574" i="17"/>
  <c r="G558" i="17"/>
  <c r="G542" i="17"/>
  <c r="G526" i="17"/>
  <c r="G510" i="17"/>
  <c r="G494" i="17"/>
  <c r="G478" i="17"/>
  <c r="G462" i="17"/>
  <c r="G446" i="17"/>
  <c r="G417" i="17"/>
  <c r="G385" i="17"/>
  <c r="G353" i="17"/>
  <c r="G321" i="17"/>
  <c r="G289" i="17"/>
  <c r="H598" i="17"/>
  <c r="H562" i="17"/>
  <c r="H530" i="17"/>
  <c r="H498" i="17"/>
  <c r="H466" i="17"/>
  <c r="H434" i="17"/>
  <c r="H402" i="17"/>
  <c r="H370" i="17"/>
  <c r="H338" i="17"/>
  <c r="H306" i="17"/>
  <c r="H274" i="17"/>
  <c r="G242" i="17"/>
  <c r="G210" i="17"/>
  <c r="G178" i="17"/>
  <c r="G146" i="17"/>
  <c r="G114" i="17"/>
  <c r="G82" i="17"/>
  <c r="G50" i="17"/>
  <c r="G18" i="17"/>
  <c r="H241" i="17"/>
  <c r="H209" i="17"/>
  <c r="H177" i="17"/>
  <c r="H145" i="17"/>
  <c r="H113" i="17"/>
  <c r="H81" i="17"/>
  <c r="H49" i="17"/>
  <c r="H17" i="17"/>
  <c r="G430" i="17"/>
  <c r="G414" i="17"/>
  <c r="G398" i="17"/>
  <c r="G382" i="17"/>
  <c r="G366" i="17"/>
  <c r="G350" i="17"/>
  <c r="G334" i="17"/>
  <c r="G318" i="17"/>
  <c r="G302" i="17"/>
  <c r="G286" i="17"/>
  <c r="G270" i="17"/>
  <c r="H592" i="17"/>
  <c r="H575" i="17"/>
  <c r="H559" i="17"/>
  <c r="H543" i="17"/>
  <c r="H527" i="17"/>
  <c r="H511" i="17"/>
  <c r="H495" i="17"/>
  <c r="H479" i="17"/>
  <c r="H463" i="17"/>
  <c r="H447" i="17"/>
  <c r="H431" i="17"/>
  <c r="H415" i="17"/>
  <c r="H399" i="17"/>
  <c r="H383" i="17"/>
  <c r="H367" i="17"/>
  <c r="H351" i="17"/>
  <c r="H335" i="17"/>
  <c r="H319" i="17"/>
  <c r="H303" i="17"/>
  <c r="H287" i="17"/>
  <c r="H271" i="17"/>
  <c r="G255" i="17"/>
  <c r="G239" i="17"/>
  <c r="G223" i="17"/>
  <c r="G207" i="17"/>
  <c r="G191" i="17"/>
  <c r="G175" i="17"/>
  <c r="G159" i="17"/>
  <c r="G143" i="17"/>
  <c r="G127" i="17"/>
  <c r="G111" i="17"/>
  <c r="G95" i="17"/>
  <c r="G79" i="17"/>
  <c r="G63" i="17"/>
  <c r="G47" i="17"/>
  <c r="G31" i="17"/>
  <c r="G15" i="17"/>
  <c r="H250" i="17"/>
  <c r="H234" i="17"/>
  <c r="H218" i="17"/>
  <c r="H202" i="17"/>
  <c r="H186" i="17"/>
  <c r="H170" i="17"/>
  <c r="H154" i="17"/>
  <c r="H122" i="17"/>
  <c r="H90" i="17"/>
  <c r="H58" i="17"/>
  <c r="H26" i="17"/>
  <c r="H94" i="17"/>
  <c r="H222" i="17"/>
  <c r="H110" i="17"/>
  <c r="G83" i="17"/>
  <c r="G211" i="17"/>
  <c r="H339" i="17"/>
  <c r="H467" i="17"/>
  <c r="H599" i="17"/>
  <c r="G386" i="17"/>
  <c r="H153" i="17"/>
  <c r="G154" i="17"/>
  <c r="H410" i="17"/>
  <c r="G329" i="17"/>
  <c r="G514" i="17"/>
  <c r="H39" i="17"/>
  <c r="G40" i="17"/>
  <c r="H296" i="17"/>
  <c r="H472" i="17"/>
  <c r="H610" i="17"/>
  <c r="G391" i="17"/>
  <c r="G481" i="17"/>
  <c r="G545" i="17"/>
  <c r="G609" i="17"/>
  <c r="H56" i="17"/>
  <c r="H120" i="17"/>
  <c r="H184" i="17"/>
  <c r="H248" i="17"/>
  <c r="G61" i="17"/>
  <c r="G125" i="17"/>
  <c r="G189" i="17"/>
  <c r="G253" i="17"/>
  <c r="H317" i="17"/>
  <c r="H381" i="17"/>
  <c r="H445" i="17"/>
  <c r="H509" i="17"/>
  <c r="H573" i="17"/>
  <c r="G300" i="17"/>
  <c r="G364" i="17"/>
  <c r="G428" i="17"/>
  <c r="H117" i="17"/>
  <c r="H245" i="17"/>
  <c r="G118" i="17"/>
  <c r="G246" i="17"/>
  <c r="H374" i="17"/>
  <c r="H502" i="17"/>
  <c r="G293" i="17"/>
  <c r="G421" i="17"/>
  <c r="G496" i="17"/>
  <c r="G560" i="17"/>
  <c r="H83" i="17"/>
  <c r="G84" i="17"/>
  <c r="H340" i="17"/>
  <c r="H601" i="17"/>
  <c r="G479" i="17"/>
  <c r="G607" i="17"/>
  <c r="H155" i="17"/>
  <c r="G156" i="17"/>
  <c r="H412" i="17"/>
  <c r="G331" i="17"/>
  <c r="G515" i="17"/>
  <c r="H14" i="17"/>
  <c r="G131" i="17"/>
  <c r="H387" i="17"/>
  <c r="G306" i="17"/>
  <c r="H249" i="17"/>
  <c r="H506" i="17"/>
  <c r="G562" i="17"/>
  <c r="G136" i="17"/>
  <c r="H520" i="17"/>
  <c r="G439" i="17"/>
  <c r="G569" i="17"/>
  <c r="H80" i="17"/>
  <c r="H208" i="17"/>
  <c r="G85" i="17"/>
  <c r="G213" i="17"/>
  <c r="H341" i="17"/>
  <c r="H469" i="17"/>
  <c r="H604" i="17"/>
  <c r="G388" i="17"/>
  <c r="H165" i="17"/>
  <c r="G166" i="17"/>
  <c r="H422" i="17"/>
  <c r="G341" i="17"/>
  <c r="G520" i="17"/>
  <c r="H179" i="17"/>
  <c r="H436" i="17"/>
  <c r="G527" i="17"/>
  <c r="H251" i="17"/>
  <c r="H508" i="17"/>
  <c r="G563" i="17"/>
  <c r="H355" i="17"/>
  <c r="H185" i="17"/>
  <c r="G530" i="17"/>
  <c r="H488" i="17"/>
  <c r="G553" i="17"/>
  <c r="H192" i="17"/>
  <c r="G197" i="17"/>
  <c r="H453" i="17"/>
  <c r="G372" i="17"/>
  <c r="G134" i="17"/>
  <c r="G309" i="17"/>
  <c r="H115" i="17"/>
  <c r="G495" i="17"/>
  <c r="H444" i="17"/>
  <c r="H291" i="17"/>
  <c r="G466" i="17"/>
  <c r="G521" i="17"/>
  <c r="G165" i="17"/>
  <c r="G340" i="17"/>
  <c r="H582" i="17"/>
  <c r="G419" i="17"/>
  <c r="G163" i="17"/>
  <c r="G457" i="17"/>
  <c r="G276" i="17"/>
  <c r="H500" i="17"/>
  <c r="H552" i="17"/>
  <c r="H243" i="17"/>
  <c r="G373" i="17"/>
  <c r="B279" i="2"/>
  <c r="B295" i="2" s="1"/>
  <c r="B132" i="2"/>
  <c r="B150" i="2"/>
  <c r="L102" i="2"/>
  <c r="B116" i="2"/>
  <c r="B103" i="2"/>
  <c r="B117" i="2" s="1"/>
  <c r="L103" i="2"/>
  <c r="P103" i="2" s="1"/>
  <c r="B90" i="2"/>
  <c r="E21" i="1" s="1"/>
  <c r="B161" i="2"/>
  <c r="B91" i="2"/>
  <c r="E22" i="1" s="1"/>
  <c r="K103" i="2"/>
  <c r="K102" i="2"/>
  <c r="F90" i="2"/>
  <c r="F91" i="2"/>
  <c r="B88" i="2"/>
  <c r="H78" i="2"/>
  <c r="E15" i="1"/>
  <c r="AO55" i="20" l="1"/>
  <c r="AP55" i="20" s="1"/>
  <c r="AH24" i="20"/>
  <c r="AJ82" i="20"/>
  <c r="AK82" i="20" s="1"/>
  <c r="AM35" i="20"/>
  <c r="AQ78" i="20"/>
  <c r="AQ90" i="20"/>
  <c r="AM68" i="20"/>
  <c r="AQ68" i="20"/>
  <c r="AR68" i="20" s="1"/>
  <c r="AJ78" i="20"/>
  <c r="AK78" i="20" s="1"/>
  <c r="AN78" i="20" s="1"/>
  <c r="AH11" i="20"/>
  <c r="Q23" i="20"/>
  <c r="AS23" i="20" s="1"/>
  <c r="AH10" i="20"/>
  <c r="AF11" i="20"/>
  <c r="AG11" i="20" s="1"/>
  <c r="AD24" i="20"/>
  <c r="AR66" i="21"/>
  <c r="T66" i="21"/>
  <c r="X35" i="20"/>
  <c r="Y35" i="20" s="1"/>
  <c r="Z35" i="20" s="1"/>
  <c r="B319" i="2"/>
  <c r="B80" i="1" s="1"/>
  <c r="U35" i="20"/>
  <c r="V35" i="20" s="1"/>
  <c r="W35" i="20" s="1"/>
  <c r="AH35" i="20"/>
  <c r="S35" i="20"/>
  <c r="AD35" i="20"/>
  <c r="AA35" i="20"/>
  <c r="AB35" i="20" s="1"/>
  <c r="AD48" i="20"/>
  <c r="AJ35" i="20"/>
  <c r="AK35" i="20" s="1"/>
  <c r="AN35" i="20" s="1"/>
  <c r="AR60" i="20"/>
  <c r="Q48" i="20"/>
  <c r="AS48" i="20" s="1"/>
  <c r="AF35" i="20"/>
  <c r="Q35" i="20"/>
  <c r="AS35" i="20" s="1"/>
  <c r="AQ35" i="20"/>
  <c r="AR35" i="20" s="1"/>
  <c r="AE159" i="20"/>
  <c r="AD43" i="20"/>
  <c r="AO32" i="20"/>
  <c r="AP32" i="20" s="1"/>
  <c r="AR32" i="20" s="1"/>
  <c r="Q32" i="20"/>
  <c r="AS32" i="20" s="1"/>
  <c r="AC32" i="20"/>
  <c r="AJ32" i="20"/>
  <c r="AK32" i="20" s="1"/>
  <c r="AN32" i="20" s="1"/>
  <c r="AA32" i="20"/>
  <c r="AB32" i="20" s="1"/>
  <c r="X43" i="20"/>
  <c r="Y43" i="20" s="1"/>
  <c r="Z43" i="20" s="1"/>
  <c r="AM15" i="20"/>
  <c r="U15" i="20"/>
  <c r="V15" i="20" s="1"/>
  <c r="W15" i="20" s="1"/>
  <c r="AR63" i="20"/>
  <c r="AF43" i="20"/>
  <c r="AG43" i="20" s="1"/>
  <c r="AH43" i="20"/>
  <c r="AD47" i="20"/>
  <c r="AE47" i="20" s="1"/>
  <c r="AO24" i="20"/>
  <c r="AP24" i="20" s="1"/>
  <c r="AQ36" i="20"/>
  <c r="AG167" i="20"/>
  <c r="AI167" i="20" s="1"/>
  <c r="BK167" i="20" s="1"/>
  <c r="AN59" i="20"/>
  <c r="AN64" i="20"/>
  <c r="AF47" i="20"/>
  <c r="AG47" i="20" s="1"/>
  <c r="AO43" i="20"/>
  <c r="AP43" i="20" s="1"/>
  <c r="AR43" i="20" s="1"/>
  <c r="AJ28" i="20"/>
  <c r="AK28" i="20" s="1"/>
  <c r="AQ47" i="20"/>
  <c r="X24" i="20"/>
  <c r="Y24" i="20" s="1"/>
  <c r="Z24" i="20" s="1"/>
  <c r="AA15" i="20"/>
  <c r="AB15" i="20" s="1"/>
  <c r="AE15" i="20" s="1"/>
  <c r="AJ43" i="20"/>
  <c r="AK43" i="20" s="1"/>
  <c r="Q43" i="20"/>
  <c r="AS43" i="20" s="1"/>
  <c r="S43" i="20"/>
  <c r="AJ47" i="20"/>
  <c r="AK47" i="20" s="1"/>
  <c r="AA43" i="20"/>
  <c r="AB43" i="20" s="1"/>
  <c r="AM47" i="20"/>
  <c r="AE191" i="20"/>
  <c r="BE191" i="20" s="1"/>
  <c r="Q24" i="20"/>
  <c r="AS24" i="20" s="1"/>
  <c r="U43" i="20"/>
  <c r="V43" i="20" s="1"/>
  <c r="W43" i="20" s="1"/>
  <c r="AO15" i="20"/>
  <c r="AP15" i="20" s="1"/>
  <c r="AM43" i="20"/>
  <c r="AO47" i="20"/>
  <c r="AP47" i="20" s="1"/>
  <c r="AM28" i="20"/>
  <c r="AM24" i="20"/>
  <c r="AN24" i="20" s="1"/>
  <c r="AJ23" i="20"/>
  <c r="AK23" i="20" s="1"/>
  <c r="AQ62" i="20"/>
  <c r="AA48" i="20"/>
  <c r="AB48" i="20" s="1"/>
  <c r="U47" i="20"/>
  <c r="V47" i="20" s="1"/>
  <c r="W47" i="20" s="1"/>
  <c r="S47" i="20"/>
  <c r="Q47" i="20"/>
  <c r="AS47" i="20" s="1"/>
  <c r="X47" i="20"/>
  <c r="Y47" i="20" s="1"/>
  <c r="Z47" i="20" s="1"/>
  <c r="S48" i="20"/>
  <c r="AF48" i="20"/>
  <c r="AG48" i="20" s="1"/>
  <c r="AH47" i="20"/>
  <c r="AO48" i="20"/>
  <c r="AP48" i="20" s="1"/>
  <c r="AR48" i="20" s="1"/>
  <c r="AQ28" i="20"/>
  <c r="AA24" i="20"/>
  <c r="AB24" i="20" s="1"/>
  <c r="AE24" i="20" s="1"/>
  <c r="U24" i="20"/>
  <c r="V24" i="20" s="1"/>
  <c r="W24" i="20" s="1"/>
  <c r="S24" i="20"/>
  <c r="X15" i="20"/>
  <c r="Y15" i="20" s="1"/>
  <c r="Z15" i="20" s="1"/>
  <c r="AJ62" i="20"/>
  <c r="AK62" i="20" s="1"/>
  <c r="AN62" i="20" s="1"/>
  <c r="U48" i="20"/>
  <c r="V48" i="20" s="1"/>
  <c r="W48" i="20" s="1"/>
  <c r="AH48" i="20"/>
  <c r="X48" i="20"/>
  <c r="Y48" i="20" s="1"/>
  <c r="Z48" i="20" s="1"/>
  <c r="AM48" i="20"/>
  <c r="AN48" i="20" s="1"/>
  <c r="AQ24" i="20"/>
  <c r="AV24" i="20"/>
  <c r="BL24" i="20" s="1"/>
  <c r="AQ11" i="20"/>
  <c r="AM11" i="20"/>
  <c r="U11" i="20"/>
  <c r="V11" i="20" s="1"/>
  <c r="W11" i="20" s="1"/>
  <c r="AI173" i="20"/>
  <c r="BF173" i="20" s="1"/>
  <c r="AJ36" i="20"/>
  <c r="AK36" i="20" s="1"/>
  <c r="AH17" i="20"/>
  <c r="X109" i="20"/>
  <c r="Y109" i="20" s="1"/>
  <c r="Z109" i="20" s="1"/>
  <c r="AF109" i="20"/>
  <c r="AG109" i="20" s="1"/>
  <c r="AJ11" i="20"/>
  <c r="AK11" i="20" s="1"/>
  <c r="AO11" i="20"/>
  <c r="AP11" i="20" s="1"/>
  <c r="S11" i="20"/>
  <c r="X77" i="20"/>
  <c r="Y77" i="20" s="1"/>
  <c r="Z77" i="20" s="1"/>
  <c r="S77" i="20"/>
  <c r="S109" i="20"/>
  <c r="AF105" i="20"/>
  <c r="AG105" i="20" s="1"/>
  <c r="AA73" i="20"/>
  <c r="AB73" i="20" s="1"/>
  <c r="Q77" i="20"/>
  <c r="AS77" i="20" s="1"/>
  <c r="AA11" i="20"/>
  <c r="AB11" i="20" s="1"/>
  <c r="AE11" i="20" s="1"/>
  <c r="AV191" i="20"/>
  <c r="BL191" i="20" s="1"/>
  <c r="AR162" i="20"/>
  <c r="AO77" i="20"/>
  <c r="AP77" i="20" s="1"/>
  <c r="AR77" i="20" s="1"/>
  <c r="AS196" i="20"/>
  <c r="AV146" i="20"/>
  <c r="BL146" i="20" s="1"/>
  <c r="AR192" i="20"/>
  <c r="AR55" i="20"/>
  <c r="X11" i="20"/>
  <c r="Y11" i="20" s="1"/>
  <c r="Z11" i="20" s="1"/>
  <c r="AR134" i="20"/>
  <c r="AR158" i="20"/>
  <c r="AS179" i="20"/>
  <c r="AE151" i="20"/>
  <c r="Q11" i="20"/>
  <c r="AS11" i="20" s="1"/>
  <c r="AR103" i="20"/>
  <c r="AH23" i="20"/>
  <c r="AH15" i="20"/>
  <c r="AQ15" i="20"/>
  <c r="AF15" i="20"/>
  <c r="AG15" i="20" s="1"/>
  <c r="S15" i="20"/>
  <c r="AJ15" i="20"/>
  <c r="AK15" i="20" s="1"/>
  <c r="Q15" i="20"/>
  <c r="AS15" i="20" s="1"/>
  <c r="S12" i="20"/>
  <c r="AN139" i="20"/>
  <c r="AE179" i="20"/>
  <c r="BE179" i="20" s="1"/>
  <c r="S16" i="20"/>
  <c r="AH31" i="20"/>
  <c r="AS152" i="20"/>
  <c r="AD73" i="20"/>
  <c r="AF90" i="20"/>
  <c r="AV90" i="20" s="1"/>
  <c r="BL90" i="20" s="1"/>
  <c r="AR87" i="20"/>
  <c r="AE172" i="20"/>
  <c r="S17" i="20"/>
  <c r="AG87" i="20"/>
  <c r="AI87" i="20" s="1"/>
  <c r="BF87" i="20" s="1"/>
  <c r="U73" i="20"/>
  <c r="V73" i="20" s="1"/>
  <c r="W73" i="20" s="1"/>
  <c r="U105" i="20"/>
  <c r="V105" i="20" s="1"/>
  <c r="W105" i="20" s="1"/>
  <c r="U90" i="20"/>
  <c r="V90" i="20" s="1"/>
  <c r="W90" i="20" s="1"/>
  <c r="S105" i="20"/>
  <c r="AA77" i="20"/>
  <c r="AB77" i="20" s="1"/>
  <c r="AO16" i="20"/>
  <c r="AP16" i="20" s="1"/>
  <c r="AI151" i="20"/>
  <c r="BF151" i="20" s="1"/>
  <c r="T152" i="20"/>
  <c r="BI152" i="20" s="1"/>
  <c r="AM16" i="20"/>
  <c r="R75" i="20"/>
  <c r="T75" i="20" s="1"/>
  <c r="BI75" i="20" s="1"/>
  <c r="AA36" i="20"/>
  <c r="AB36" i="20" s="1"/>
  <c r="AF16" i="20"/>
  <c r="AG16" i="20" s="1"/>
  <c r="AD36" i="20"/>
  <c r="U36" i="20"/>
  <c r="V36" i="20" s="1"/>
  <c r="W36" i="20" s="1"/>
  <c r="X16" i="20"/>
  <c r="Y16" i="20" s="1"/>
  <c r="Z16" i="20" s="1"/>
  <c r="AD37" i="20"/>
  <c r="U16" i="20"/>
  <c r="V16" i="20" s="1"/>
  <c r="W16" i="20" s="1"/>
  <c r="X39" i="20"/>
  <c r="Y39" i="20" s="1"/>
  <c r="Z39" i="20" s="1"/>
  <c r="Q20" i="20"/>
  <c r="AS20" i="20" s="1"/>
  <c r="T103" i="20"/>
  <c r="BI103" i="20" s="1"/>
  <c r="AH36" i="20"/>
  <c r="AI36" i="20" s="1"/>
  <c r="BK36" i="20" s="1"/>
  <c r="U39" i="20"/>
  <c r="V39" i="20" s="1"/>
  <c r="W39" i="20" s="1"/>
  <c r="AQ16" i="20"/>
  <c r="S36" i="20"/>
  <c r="U28" i="20"/>
  <c r="V28" i="20" s="1"/>
  <c r="W28" i="20" s="1"/>
  <c r="AA28" i="20"/>
  <c r="AB28" i="20" s="1"/>
  <c r="S23" i="20"/>
  <c r="AF23" i="20"/>
  <c r="AG23" i="20" s="1"/>
  <c r="Q16" i="20"/>
  <c r="AS16" i="20" s="1"/>
  <c r="S28" i="20"/>
  <c r="AF19" i="20"/>
  <c r="AG19" i="20" s="1"/>
  <c r="AO28" i="20"/>
  <c r="AP28" i="20" s="1"/>
  <c r="AD39" i="20"/>
  <c r="U12" i="20"/>
  <c r="V12" i="20" s="1"/>
  <c r="W12" i="20" s="1"/>
  <c r="R64" i="20"/>
  <c r="T64" i="20" s="1"/>
  <c r="BI64" i="20" s="1"/>
  <c r="AH33" i="20"/>
  <c r="AH16" i="20"/>
  <c r="AA16" i="20"/>
  <c r="AB16" i="20" s="1"/>
  <c r="AE16" i="20" s="1"/>
  <c r="X23" i="20"/>
  <c r="Y23" i="20" s="1"/>
  <c r="Z23" i="20" s="1"/>
  <c r="AV196" i="20"/>
  <c r="BL196" i="20" s="1"/>
  <c r="AI20" i="20"/>
  <c r="AE181" i="20"/>
  <c r="BE181" i="20" s="1"/>
  <c r="T179" i="20"/>
  <c r="BI179" i="20" s="1"/>
  <c r="B270" i="2"/>
  <c r="J79" i="1" s="1"/>
  <c r="AH12" i="20"/>
  <c r="AI12" i="20" s="1"/>
  <c r="AD12" i="20"/>
  <c r="AF28" i="20"/>
  <c r="AG28" i="20" s="1"/>
  <c r="AD28" i="20"/>
  <c r="AH28" i="20"/>
  <c r="B121" i="2"/>
  <c r="E27" i="1" s="1"/>
  <c r="R95" i="20"/>
  <c r="T95" i="20" s="1"/>
  <c r="AH19" i="20"/>
  <c r="AH13" i="20"/>
  <c r="S93" i="20"/>
  <c r="AH94" i="20"/>
  <c r="Q89" i="20"/>
  <c r="AS89" i="20" s="1"/>
  <c r="Q28" i="20"/>
  <c r="AS28" i="20" s="1"/>
  <c r="AE103" i="20"/>
  <c r="BE103" i="20" s="1"/>
  <c r="AI191" i="20"/>
  <c r="BF191" i="20" s="1"/>
  <c r="AR70" i="21"/>
  <c r="BL70" i="21" s="1"/>
  <c r="BF70" i="21" s="1"/>
  <c r="AE196" i="20"/>
  <c r="R96" i="20"/>
  <c r="T96" i="20" s="1"/>
  <c r="BI96" i="20" s="1"/>
  <c r="AQ12" i="20"/>
  <c r="AR12" i="20" s="1"/>
  <c r="AE76" i="20"/>
  <c r="AA39" i="20"/>
  <c r="AB39" i="20" s="1"/>
  <c r="AI179" i="20"/>
  <c r="BF179" i="20" s="1"/>
  <c r="R80" i="20"/>
  <c r="T80" i="20" s="1"/>
  <c r="BI80" i="20" s="1"/>
  <c r="T173" i="20"/>
  <c r="BI173" i="20" s="1"/>
  <c r="AI80" i="20"/>
  <c r="BK80" i="20" s="1"/>
  <c r="AR206" i="20"/>
  <c r="AI32" i="20"/>
  <c r="BK32" i="20" s="1"/>
  <c r="AE167" i="20"/>
  <c r="BE167" i="20" s="1"/>
  <c r="B181" i="2"/>
  <c r="E55" i="1" s="1"/>
  <c r="R100" i="20"/>
  <c r="T100" i="20" s="1"/>
  <c r="BI100" i="20" s="1"/>
  <c r="B86" i="2"/>
  <c r="E30" i="1" s="1"/>
  <c r="X10" i="20"/>
  <c r="Y10" i="20" s="1"/>
  <c r="Z10" i="20" s="1"/>
  <c r="U19" i="20"/>
  <c r="V19" i="20" s="1"/>
  <c r="W19" i="20" s="1"/>
  <c r="S39" i="20"/>
  <c r="AJ39" i="20"/>
  <c r="AK39" i="20" s="1"/>
  <c r="AN39" i="20" s="1"/>
  <c r="AQ44" i="20"/>
  <c r="AA19" i="20"/>
  <c r="AB19" i="20" s="1"/>
  <c r="AE19" i="20" s="1"/>
  <c r="AR59" i="20"/>
  <c r="U62" i="20"/>
  <c r="V62" i="20" s="1"/>
  <c r="W62" i="20" s="1"/>
  <c r="AA93" i="20"/>
  <c r="AB93" i="20" s="1"/>
  <c r="AQ39" i="20"/>
  <c r="AR203" i="20"/>
  <c r="AR201" i="20"/>
  <c r="AR194" i="20"/>
  <c r="AE173" i="20"/>
  <c r="S94" i="20"/>
  <c r="X74" i="20"/>
  <c r="Y74" i="20" s="1"/>
  <c r="Z74" i="20" s="1"/>
  <c r="X93" i="20"/>
  <c r="Y93" i="20" s="1"/>
  <c r="Z93" i="20" s="1"/>
  <c r="AD74" i="20"/>
  <c r="Q62" i="20"/>
  <c r="AS62" i="20" s="1"/>
  <c r="AO62" i="20"/>
  <c r="AP62" i="20" s="1"/>
  <c r="AR166" i="20"/>
  <c r="AR161" i="20"/>
  <c r="AR208" i="20"/>
  <c r="AE204" i="20"/>
  <c r="BE204" i="20" s="1"/>
  <c r="AM19" i="20"/>
  <c r="AA62" i="20"/>
  <c r="AB62" i="20" s="1"/>
  <c r="AE160" i="20"/>
  <c r="AS181" i="20"/>
  <c r="AR163" i="20"/>
  <c r="AR139" i="20"/>
  <c r="AR181" i="20"/>
  <c r="X19" i="20"/>
  <c r="Y19" i="20" s="1"/>
  <c r="Z19" i="20" s="1"/>
  <c r="X13" i="20"/>
  <c r="Y13" i="20" s="1"/>
  <c r="Z13" i="20" s="1"/>
  <c r="X89" i="20"/>
  <c r="Y89" i="20" s="1"/>
  <c r="Z89" i="20" s="1"/>
  <c r="AD93" i="20"/>
  <c r="AJ19" i="20"/>
  <c r="AK19" i="20" s="1"/>
  <c r="Q19" i="20"/>
  <c r="AS19" i="20" s="1"/>
  <c r="S19" i="20"/>
  <c r="AH88" i="20"/>
  <c r="AH89" i="20"/>
  <c r="X106" i="20"/>
  <c r="Y106" i="20" s="1"/>
  <c r="Z106" i="20" s="1"/>
  <c r="R68" i="20"/>
  <c r="T68" i="20" s="1"/>
  <c r="BI68" i="20" s="1"/>
  <c r="X62" i="20"/>
  <c r="Y62" i="20" s="1"/>
  <c r="Z62" i="20" s="1"/>
  <c r="AO19" i="20"/>
  <c r="AP19" i="20" s="1"/>
  <c r="Q93" i="20"/>
  <c r="AS93" i="20" s="1"/>
  <c r="AQ19" i="20"/>
  <c r="AR187" i="20"/>
  <c r="AI83" i="20"/>
  <c r="BK83" i="20" s="1"/>
  <c r="AA107" i="20"/>
  <c r="AB107" i="20" s="1"/>
  <c r="AR191" i="20"/>
  <c r="R206" i="20"/>
  <c r="T206" i="20" s="1"/>
  <c r="BI206" i="20" s="1"/>
  <c r="AE206" i="20"/>
  <c r="AR40" i="20"/>
  <c r="AN167" i="20"/>
  <c r="AR22" i="21"/>
  <c r="AN179" i="20"/>
  <c r="T47" i="21"/>
  <c r="BI47" i="21" s="1"/>
  <c r="R84" i="20"/>
  <c r="T84" i="20" s="1"/>
  <c r="BI84" i="20" s="1"/>
  <c r="AM10" i="20"/>
  <c r="S82" i="20"/>
  <c r="AD70" i="20"/>
  <c r="X104" i="20"/>
  <c r="Y104" i="20" s="1"/>
  <c r="Z104" i="20" s="1"/>
  <c r="AH104" i="20"/>
  <c r="U52" i="20"/>
  <c r="V52" i="20" s="1"/>
  <c r="W52" i="20" s="1"/>
  <c r="AH44" i="20"/>
  <c r="AD82" i="20"/>
  <c r="AO14" i="20"/>
  <c r="AP14" i="20" s="1"/>
  <c r="AR117" i="20"/>
  <c r="AR150" i="20"/>
  <c r="AR142" i="20"/>
  <c r="AR129" i="20"/>
  <c r="AV176" i="20"/>
  <c r="BL176" i="20" s="1"/>
  <c r="AG206" i="20"/>
  <c r="AI206" i="20" s="1"/>
  <c r="BK206" i="20" s="1"/>
  <c r="AR169" i="20"/>
  <c r="AR147" i="20"/>
  <c r="AR137" i="20"/>
  <c r="AR122" i="20"/>
  <c r="AR113" i="20"/>
  <c r="AG204" i="20"/>
  <c r="AI204" i="20" s="1"/>
  <c r="BF204" i="20" s="1"/>
  <c r="AE80" i="20"/>
  <c r="BE80" i="20" s="1"/>
  <c r="AI96" i="20"/>
  <c r="BK96" i="20" s="1"/>
  <c r="AD23" i="20"/>
  <c r="U23" i="20"/>
  <c r="V23" i="20" s="1"/>
  <c r="W23" i="20" s="1"/>
  <c r="AO97" i="20"/>
  <c r="AP97" i="20" s="1"/>
  <c r="AF97" i="20"/>
  <c r="AV97" i="20" s="1"/>
  <c r="BL97" i="20" s="1"/>
  <c r="AD97" i="20"/>
  <c r="AH97" i="20"/>
  <c r="S97" i="20"/>
  <c r="AM81" i="20"/>
  <c r="S81" i="20"/>
  <c r="AA102" i="20"/>
  <c r="AB102" i="20" s="1"/>
  <c r="AF102" i="20"/>
  <c r="AG102" i="20" s="1"/>
  <c r="AD102" i="20"/>
  <c r="AJ86" i="20"/>
  <c r="AK86" i="20" s="1"/>
  <c r="AO86" i="20"/>
  <c r="AP86" i="20" s="1"/>
  <c r="AF86" i="20"/>
  <c r="AG86" i="20" s="1"/>
  <c r="AA86" i="20"/>
  <c r="AB86" i="20" s="1"/>
  <c r="AD86" i="20"/>
  <c r="AM44" i="20"/>
  <c r="X44" i="20"/>
  <c r="Y44" i="20" s="1"/>
  <c r="Z44" i="20" s="1"/>
  <c r="Q52" i="20"/>
  <c r="AS52" i="20" s="1"/>
  <c r="AO52" i="20"/>
  <c r="AP52" i="20" s="1"/>
  <c r="S52" i="20"/>
  <c r="AM101" i="20"/>
  <c r="Q101" i="20"/>
  <c r="AS101" i="20" s="1"/>
  <c r="AM85" i="20"/>
  <c r="AN85" i="20" s="1"/>
  <c r="AF85" i="20"/>
  <c r="AV85" i="20" s="1"/>
  <c r="BL85" i="20" s="1"/>
  <c r="AM69" i="20"/>
  <c r="AF69" i="20"/>
  <c r="AG69" i="20" s="1"/>
  <c r="AM98" i="20"/>
  <c r="AF98" i="20"/>
  <c r="AV98" i="20" s="1"/>
  <c r="BL98" i="20" s="1"/>
  <c r="S98" i="20"/>
  <c r="AI152" i="20"/>
  <c r="BK152" i="20" s="1"/>
  <c r="B163" i="2"/>
  <c r="E46" i="1" s="1"/>
  <c r="S10" i="20"/>
  <c r="AM23" i="20"/>
  <c r="AM14" i="20"/>
  <c r="AH86" i="20"/>
  <c r="X52" i="20"/>
  <c r="Y52" i="20" s="1"/>
  <c r="Z52" i="20" s="1"/>
  <c r="X70" i="20"/>
  <c r="Y70" i="20" s="1"/>
  <c r="Z70" i="20" s="1"/>
  <c r="U102" i="20"/>
  <c r="V102" i="20" s="1"/>
  <c r="W102" i="20" s="1"/>
  <c r="U104" i="20"/>
  <c r="V104" i="20" s="1"/>
  <c r="W104" i="20" s="1"/>
  <c r="AH81" i="20"/>
  <c r="U10" i="20"/>
  <c r="V10" i="20" s="1"/>
  <c r="W10" i="20" s="1"/>
  <c r="AD104" i="20"/>
  <c r="AD52" i="20"/>
  <c r="S104" i="20"/>
  <c r="AG64" i="20"/>
  <c r="AI64" i="20" s="1"/>
  <c r="BF64" i="20" s="1"/>
  <c r="AV96" i="20"/>
  <c r="BL96" i="20" s="1"/>
  <c r="S101" i="20"/>
  <c r="AA97" i="20"/>
  <c r="AB97" i="20" s="1"/>
  <c r="AO10" i="20"/>
  <c r="AP10" i="20" s="1"/>
  <c r="Q102" i="20"/>
  <c r="AS102" i="20" s="1"/>
  <c r="AO102" i="20"/>
  <c r="AP102" i="20" s="1"/>
  <c r="AG139" i="20"/>
  <c r="AI139" i="20" s="1"/>
  <c r="BF139" i="20" s="1"/>
  <c r="AG159" i="20"/>
  <c r="AI159" i="20" s="1"/>
  <c r="BK159" i="20" s="1"/>
  <c r="AV152" i="20"/>
  <c r="BL152" i="20" s="1"/>
  <c r="AO36" i="20"/>
  <c r="AP36" i="20" s="1"/>
  <c r="AM36" i="20"/>
  <c r="X36" i="20"/>
  <c r="Y36" i="20" s="1"/>
  <c r="Z36" i="20" s="1"/>
  <c r="Q36" i="20"/>
  <c r="AS36" i="20" s="1"/>
  <c r="AE71" i="20"/>
  <c r="AE108" i="20"/>
  <c r="BE108" i="20" s="1"/>
  <c r="AR199" i="20"/>
  <c r="T191" i="20"/>
  <c r="BI191" i="20" s="1"/>
  <c r="AR182" i="20"/>
  <c r="T196" i="20"/>
  <c r="BI196" i="20" s="1"/>
  <c r="AR121" i="20"/>
  <c r="AR114" i="20"/>
  <c r="AR135" i="20"/>
  <c r="AR128" i="20"/>
  <c r="AR127" i="20"/>
  <c r="AR136" i="20"/>
  <c r="AR120" i="20"/>
  <c r="AR178" i="20"/>
  <c r="AR132" i="20"/>
  <c r="AR149" i="20"/>
  <c r="AR125" i="20"/>
  <c r="AR184" i="20"/>
  <c r="AR176" i="20"/>
  <c r="AN106" i="20"/>
  <c r="AN90" i="20"/>
  <c r="AN110" i="20"/>
  <c r="AN117" i="20"/>
  <c r="AN140" i="20"/>
  <c r="AN103" i="20"/>
  <c r="AN100" i="20"/>
  <c r="AN84" i="20"/>
  <c r="AN136" i="20"/>
  <c r="AN121" i="20"/>
  <c r="AN135" i="20"/>
  <c r="AN133" i="20"/>
  <c r="AN141" i="20"/>
  <c r="AN147" i="20"/>
  <c r="AN137" i="20"/>
  <c r="AN129" i="20"/>
  <c r="AN128" i="20"/>
  <c r="AN67" i="20"/>
  <c r="AR196" i="20"/>
  <c r="AR173" i="20"/>
  <c r="AR152" i="20"/>
  <c r="AN63" i="20"/>
  <c r="AR93" i="20"/>
  <c r="AE139" i="20"/>
  <c r="BE139" i="20" s="1"/>
  <c r="AM12" i="20"/>
  <c r="X73" i="20"/>
  <c r="Y73" i="20" s="1"/>
  <c r="Z73" i="20" s="1"/>
  <c r="X107" i="20"/>
  <c r="Y107" i="20" s="1"/>
  <c r="Z107" i="20" s="1"/>
  <c r="X12" i="20"/>
  <c r="Y12" i="20" s="1"/>
  <c r="Z12" i="20" s="1"/>
  <c r="U93" i="20"/>
  <c r="V93" i="20" s="1"/>
  <c r="W93" i="20" s="1"/>
  <c r="U77" i="20"/>
  <c r="V77" i="20" s="1"/>
  <c r="W77" i="20" s="1"/>
  <c r="X78" i="20"/>
  <c r="Y78" i="20" s="1"/>
  <c r="Z78" i="20" s="1"/>
  <c r="S78" i="20"/>
  <c r="AD77" i="20"/>
  <c r="AH93" i="20"/>
  <c r="AH39" i="20"/>
  <c r="X105" i="20"/>
  <c r="Y105" i="20" s="1"/>
  <c r="Z105" i="20" s="1"/>
  <c r="AD106" i="20"/>
  <c r="AH62" i="20"/>
  <c r="AD62" i="20"/>
  <c r="AH77" i="20"/>
  <c r="S73" i="20"/>
  <c r="S89" i="20"/>
  <c r="AH105" i="20"/>
  <c r="Q73" i="20"/>
  <c r="AS73" i="20" s="1"/>
  <c r="AF94" i="20"/>
  <c r="AG94" i="20" s="1"/>
  <c r="Q78" i="20"/>
  <c r="AS78" i="20" s="1"/>
  <c r="AA12" i="20"/>
  <c r="AB12" i="20" s="1"/>
  <c r="Q12" i="20"/>
  <c r="AS12" i="20" s="1"/>
  <c r="AF93" i="20"/>
  <c r="AG93" i="20" s="1"/>
  <c r="AF77" i="20"/>
  <c r="AG77" i="20" s="1"/>
  <c r="AF74" i="20"/>
  <c r="AG74" i="20" s="1"/>
  <c r="AO39" i="20"/>
  <c r="AP39" i="20" s="1"/>
  <c r="AO89" i="20"/>
  <c r="AP89" i="20" s="1"/>
  <c r="Q39" i="20"/>
  <c r="AS39" i="20" s="1"/>
  <c r="AR188" i="20"/>
  <c r="AR180" i="20"/>
  <c r="AR145" i="20"/>
  <c r="AR175" i="20"/>
  <c r="AE175" i="20"/>
  <c r="BE175" i="20" s="1"/>
  <c r="AR160" i="20"/>
  <c r="AR168" i="20"/>
  <c r="AR197" i="20"/>
  <c r="AR131" i="20"/>
  <c r="AR148" i="20"/>
  <c r="AR146" i="20"/>
  <c r="AR130" i="20"/>
  <c r="AR209" i="20"/>
  <c r="AR133" i="20"/>
  <c r="AR126" i="20"/>
  <c r="AR165" i="20"/>
  <c r="AR157" i="20"/>
  <c r="BK143" i="20"/>
  <c r="T139" i="20"/>
  <c r="BI139" i="20" s="1"/>
  <c r="AF39" i="20"/>
  <c r="AD107" i="20"/>
  <c r="AN99" i="20"/>
  <c r="AN111" i="20"/>
  <c r="AJ12" i="20"/>
  <c r="AK12" i="20" s="1"/>
  <c r="AR84" i="20"/>
  <c r="AR167" i="20"/>
  <c r="AR172" i="20"/>
  <c r="AR204" i="20"/>
  <c r="AH107" i="20"/>
  <c r="AH98" i="20"/>
  <c r="AH82" i="20"/>
  <c r="AH52" i="20"/>
  <c r="AI52" i="20" s="1"/>
  <c r="U89" i="20"/>
  <c r="V89" i="20" s="1"/>
  <c r="W89" i="20" s="1"/>
  <c r="X94" i="20"/>
  <c r="Y94" i="20" s="1"/>
  <c r="Z94" i="20" s="1"/>
  <c r="U69" i="20"/>
  <c r="V69" i="20" s="1"/>
  <c r="W69" i="20" s="1"/>
  <c r="U44" i="20"/>
  <c r="V44" i="20" s="1"/>
  <c r="W44" i="20" s="1"/>
  <c r="X98" i="20"/>
  <c r="Y98" i="20" s="1"/>
  <c r="Z98" i="20" s="1"/>
  <c r="U78" i="20"/>
  <c r="V78" i="20" s="1"/>
  <c r="W78" i="20" s="1"/>
  <c r="U82" i="20"/>
  <c r="V82" i="20" s="1"/>
  <c r="W82" i="20" s="1"/>
  <c r="AD88" i="20"/>
  <c r="AD78" i="20"/>
  <c r="AD89" i="20"/>
  <c r="AE89" i="20" s="1"/>
  <c r="AH101" i="20"/>
  <c r="AD101" i="20"/>
  <c r="S62" i="20"/>
  <c r="U13" i="20"/>
  <c r="V13" i="20" s="1"/>
  <c r="W13" i="20" s="1"/>
  <c r="AD44" i="20"/>
  <c r="U94" i="20"/>
  <c r="V94" i="20" s="1"/>
  <c r="W94" i="20" s="1"/>
  <c r="AH69" i="20"/>
  <c r="AH73" i="20"/>
  <c r="AD94" i="20"/>
  <c r="AH78" i="20"/>
  <c r="AD98" i="20"/>
  <c r="AD105" i="20"/>
  <c r="AV83" i="20"/>
  <c r="BL83" i="20" s="1"/>
  <c r="Q105" i="20"/>
  <c r="AS105" i="20" s="1"/>
  <c r="AF89" i="20"/>
  <c r="AV89" i="20" s="1"/>
  <c r="BL89" i="20" s="1"/>
  <c r="AF73" i="20"/>
  <c r="AG73" i="20" s="1"/>
  <c r="Q94" i="20"/>
  <c r="AS94" i="20" s="1"/>
  <c r="AF78" i="20"/>
  <c r="AG78" i="20" s="1"/>
  <c r="AF62" i="20"/>
  <c r="AG62" i="20" s="1"/>
  <c r="AF101" i="20"/>
  <c r="AV101" i="20" s="1"/>
  <c r="BL101" i="20" s="1"/>
  <c r="AA82" i="20"/>
  <c r="AB82" i="20" s="1"/>
  <c r="AA105" i="20"/>
  <c r="AB105" i="20" s="1"/>
  <c r="AA94" i="20"/>
  <c r="AB94" i="20" s="1"/>
  <c r="AA78" i="20"/>
  <c r="AB78" i="20" s="1"/>
  <c r="AA69" i="20"/>
  <c r="AB69" i="20" s="1"/>
  <c r="Q98" i="20"/>
  <c r="AS98" i="20" s="1"/>
  <c r="AF82" i="20"/>
  <c r="AG82" i="20" s="1"/>
  <c r="AF66" i="20"/>
  <c r="AG66" i="20" s="1"/>
  <c r="AR76" i="20"/>
  <c r="AO73" i="20"/>
  <c r="AP73" i="20" s="1"/>
  <c r="AR73" i="20" s="1"/>
  <c r="AO78" i="20"/>
  <c r="AP78" i="20" s="1"/>
  <c r="AR78" i="20" s="1"/>
  <c r="AR124" i="20"/>
  <c r="AS204" i="20"/>
  <c r="AR189" i="20"/>
  <c r="AR195" i="20"/>
  <c r="AR207" i="20"/>
  <c r="AR200" i="20"/>
  <c r="T181" i="20"/>
  <c r="BI181" i="20" s="1"/>
  <c r="AR140" i="20"/>
  <c r="AR174" i="20"/>
  <c r="AR202" i="20"/>
  <c r="AO44" i="20"/>
  <c r="AP44" i="20" s="1"/>
  <c r="AF44" i="20"/>
  <c r="AG44" i="20" s="1"/>
  <c r="AA44" i="20"/>
  <c r="AB44" i="20" s="1"/>
  <c r="AF107" i="20"/>
  <c r="AG107" i="20" s="1"/>
  <c r="Q44" i="20"/>
  <c r="AS44" i="20" s="1"/>
  <c r="AJ44" i="20"/>
  <c r="AK44" i="20" s="1"/>
  <c r="AR179" i="20"/>
  <c r="AR159" i="20"/>
  <c r="AN174" i="20"/>
  <c r="AV56" i="21"/>
  <c r="BM56" i="21" s="1"/>
  <c r="AN82" i="20"/>
  <c r="AN115" i="20"/>
  <c r="AN120" i="20"/>
  <c r="AN87" i="20"/>
  <c r="AN114" i="20"/>
  <c r="AN123" i="20"/>
  <c r="AN127" i="20"/>
  <c r="AN113" i="20"/>
  <c r="AN152" i="20"/>
  <c r="AN79" i="20"/>
  <c r="AN83" i="20"/>
  <c r="AV76" i="21"/>
  <c r="BM76" i="21" s="1"/>
  <c r="AN93" i="20"/>
  <c r="AN112" i="20"/>
  <c r="AN131" i="20"/>
  <c r="AN122" i="20"/>
  <c r="AN142" i="20"/>
  <c r="AN146" i="20"/>
  <c r="AN144" i="20"/>
  <c r="AN150" i="20"/>
  <c r="AN138" i="20"/>
  <c r="AN126" i="20"/>
  <c r="AN191" i="20"/>
  <c r="B135" i="2"/>
  <c r="E29" i="1" s="1"/>
  <c r="AN91" i="20"/>
  <c r="AN192" i="20"/>
  <c r="AN204" i="20"/>
  <c r="AN162" i="20"/>
  <c r="AN158" i="20"/>
  <c r="AV179" i="20"/>
  <c r="BL179" i="20" s="1"/>
  <c r="AN178" i="20"/>
  <c r="AN208" i="20"/>
  <c r="AN186" i="20"/>
  <c r="BE143" i="20"/>
  <c r="BE183" i="20"/>
  <c r="AK173" i="20"/>
  <c r="AN173" i="20" s="1"/>
  <c r="AV173" i="20"/>
  <c r="BL173" i="20" s="1"/>
  <c r="AN194" i="20"/>
  <c r="AJ52" i="20"/>
  <c r="AK52" i="20" s="1"/>
  <c r="AM52" i="20"/>
  <c r="R151" i="20"/>
  <c r="T151" i="20" s="1"/>
  <c r="BI151" i="20" s="1"/>
  <c r="AS151" i="20"/>
  <c r="AN181" i="20"/>
  <c r="AN172" i="20"/>
  <c r="R159" i="20"/>
  <c r="T159" i="20" s="1"/>
  <c r="BI159" i="20" s="1"/>
  <c r="AS159" i="20"/>
  <c r="AN188" i="20"/>
  <c r="AN166" i="20"/>
  <c r="AN203" i="20"/>
  <c r="AN201" i="20"/>
  <c r="AN165" i="20"/>
  <c r="AN199" i="20"/>
  <c r="AN160" i="20"/>
  <c r="AN195" i="20"/>
  <c r="AN209" i="20"/>
  <c r="S88" i="20"/>
  <c r="X69" i="20"/>
  <c r="Y69" i="20" s="1"/>
  <c r="Z69" i="20" s="1"/>
  <c r="X82" i="20"/>
  <c r="Y82" i="20" s="1"/>
  <c r="Z82" i="20" s="1"/>
  <c r="U81" i="20"/>
  <c r="V81" i="20" s="1"/>
  <c r="W81" i="20" s="1"/>
  <c r="X86" i="20"/>
  <c r="Y86" i="20" s="1"/>
  <c r="Z86" i="20" s="1"/>
  <c r="X17" i="20"/>
  <c r="Y17" i="20" s="1"/>
  <c r="Z17" i="20" s="1"/>
  <c r="X72" i="20"/>
  <c r="Y72" i="20" s="1"/>
  <c r="Z72" i="20" s="1"/>
  <c r="U97" i="20"/>
  <c r="V97" i="20" s="1"/>
  <c r="W97" i="20" s="1"/>
  <c r="U65" i="20"/>
  <c r="V65" i="20" s="1"/>
  <c r="W65" i="20" s="1"/>
  <c r="U72" i="20"/>
  <c r="V72" i="20" s="1"/>
  <c r="W72" i="20" s="1"/>
  <c r="U101" i="20"/>
  <c r="V101" i="20" s="1"/>
  <c r="W101" i="20" s="1"/>
  <c r="U107" i="20"/>
  <c r="V107" i="20" s="1"/>
  <c r="W107" i="20" s="1"/>
  <c r="U70" i="20"/>
  <c r="V70" i="20" s="1"/>
  <c r="W70" i="20" s="1"/>
  <c r="X102" i="20"/>
  <c r="Y102" i="20" s="1"/>
  <c r="Z102" i="20" s="1"/>
  <c r="X97" i="20"/>
  <c r="Y97" i="20" s="1"/>
  <c r="Z97" i="20" s="1"/>
  <c r="S69" i="20"/>
  <c r="S102" i="20"/>
  <c r="X101" i="20"/>
  <c r="Y101" i="20" s="1"/>
  <c r="Z101" i="20" s="1"/>
  <c r="S107" i="20"/>
  <c r="U86" i="20"/>
  <c r="V86" i="20" s="1"/>
  <c r="W86" i="20" s="1"/>
  <c r="S66" i="20"/>
  <c r="AA81" i="20"/>
  <c r="AB81" i="20" s="1"/>
  <c r="AE81" i="20" s="1"/>
  <c r="AA98" i="20"/>
  <c r="AB98" i="20" s="1"/>
  <c r="AA66" i="20"/>
  <c r="AB66" i="20" s="1"/>
  <c r="AR9" i="20"/>
  <c r="Q97" i="20"/>
  <c r="AS97" i="20" s="1"/>
  <c r="Q81" i="20"/>
  <c r="AS81" i="20" s="1"/>
  <c r="Q86" i="20"/>
  <c r="AS86" i="20" s="1"/>
  <c r="Q70" i="20"/>
  <c r="AS70" i="20" s="1"/>
  <c r="AA101" i="20"/>
  <c r="AB101" i="20" s="1"/>
  <c r="Q82" i="20"/>
  <c r="AS82" i="20" s="1"/>
  <c r="AA65" i="20"/>
  <c r="AB65" i="20" s="1"/>
  <c r="AJ65" i="20"/>
  <c r="AK65" i="20" s="1"/>
  <c r="AN65" i="20" s="1"/>
  <c r="AQ61" i="20"/>
  <c r="AQ66" i="20"/>
  <c r="AO98" i="20"/>
  <c r="AP98" i="20" s="1"/>
  <c r="AR98" i="20" s="1"/>
  <c r="AJ70" i="20"/>
  <c r="AK70" i="20" s="1"/>
  <c r="AN70" i="20" s="1"/>
  <c r="AO101" i="20"/>
  <c r="AP101" i="20" s="1"/>
  <c r="AR101" i="20" s="1"/>
  <c r="AQ82" i="20"/>
  <c r="AN80" i="20"/>
  <c r="AQ52" i="20"/>
  <c r="AR115" i="20"/>
  <c r="BF171" i="20"/>
  <c r="AV188" i="20"/>
  <c r="BL188" i="20" s="1"/>
  <c r="AR164" i="20"/>
  <c r="AR185" i="20"/>
  <c r="AR170" i="20"/>
  <c r="AR154" i="20"/>
  <c r="AR138" i="20"/>
  <c r="AR153" i="20"/>
  <c r="AR190" i="20"/>
  <c r="AV165" i="20"/>
  <c r="BL165" i="20" s="1"/>
  <c r="AV181" i="20"/>
  <c r="BL181" i="20" s="1"/>
  <c r="AR144" i="20"/>
  <c r="AR205" i="20"/>
  <c r="AR123" i="20"/>
  <c r="AR198" i="20"/>
  <c r="AR186" i="20"/>
  <c r="AR177" i="20"/>
  <c r="AR119" i="20"/>
  <c r="AV151" i="20"/>
  <c r="BL151" i="20" s="1"/>
  <c r="AR141" i="20"/>
  <c r="AE202" i="20"/>
  <c r="BE202" i="20" s="1"/>
  <c r="BE171" i="20"/>
  <c r="AA52" i="20"/>
  <c r="AB52" i="20" s="1"/>
  <c r="BE152" i="20"/>
  <c r="AV194" i="20"/>
  <c r="BL194" i="20" s="1"/>
  <c r="AJ88" i="20"/>
  <c r="AK88" i="20" s="1"/>
  <c r="AJ101" i="20"/>
  <c r="AK101" i="20" s="1"/>
  <c r="AJ98" i="20"/>
  <c r="AK98" i="20" s="1"/>
  <c r="AR91" i="20"/>
  <c r="BE156" i="20"/>
  <c r="AR96" i="20"/>
  <c r="AN125" i="20"/>
  <c r="AN134" i="20"/>
  <c r="AN124" i="20"/>
  <c r="AN145" i="20"/>
  <c r="AN154" i="20"/>
  <c r="AN153" i="20"/>
  <c r="AN148" i="20"/>
  <c r="AN96" i="20"/>
  <c r="AN130" i="20"/>
  <c r="AN119" i="20"/>
  <c r="AN206" i="20"/>
  <c r="AN161" i="20"/>
  <c r="AN205" i="20"/>
  <c r="AN185" i="20"/>
  <c r="AN177" i="20"/>
  <c r="AN170" i="20"/>
  <c r="AN184" i="20"/>
  <c r="AN190" i="20"/>
  <c r="AN202" i="20"/>
  <c r="AN151" i="20"/>
  <c r="R172" i="20"/>
  <c r="T172" i="20" s="1"/>
  <c r="BI172" i="20" s="1"/>
  <c r="AS172" i="20"/>
  <c r="AN159" i="20"/>
  <c r="AN182" i="20"/>
  <c r="AN180" i="20"/>
  <c r="AN164" i="20"/>
  <c r="AN132" i="20"/>
  <c r="AN149" i="20"/>
  <c r="AN175" i="20"/>
  <c r="AN187" i="20"/>
  <c r="AN169" i="20"/>
  <c r="AN157" i="20"/>
  <c r="AN163" i="20"/>
  <c r="AN207" i="20"/>
  <c r="AN197" i="20"/>
  <c r="AN176" i="20"/>
  <c r="AN198" i="20"/>
  <c r="AN196" i="20"/>
  <c r="AN189" i="20"/>
  <c r="AN200" i="20"/>
  <c r="AN168" i="20"/>
  <c r="AV71" i="20"/>
  <c r="BL71" i="20" s="1"/>
  <c r="U88" i="20"/>
  <c r="V88" i="20" s="1"/>
  <c r="W88" i="20" s="1"/>
  <c r="AM88" i="20"/>
  <c r="AQ88" i="20"/>
  <c r="AO107" i="20"/>
  <c r="AP107" i="20" s="1"/>
  <c r="AR107" i="20" s="1"/>
  <c r="AM107" i="20"/>
  <c r="AQ97" i="20"/>
  <c r="AM97" i="20"/>
  <c r="AN97" i="20" s="1"/>
  <c r="AQ102" i="20"/>
  <c r="AM102" i="20"/>
  <c r="AN102" i="20" s="1"/>
  <c r="AQ86" i="20"/>
  <c r="AM86" i="20"/>
  <c r="BE96" i="20"/>
  <c r="AO104" i="20"/>
  <c r="AP104" i="20" s="1"/>
  <c r="AM104" i="20"/>
  <c r="AN104" i="20" s="1"/>
  <c r="AQ104" i="20"/>
  <c r="Q104" i="20"/>
  <c r="AA104" i="20"/>
  <c r="AB104" i="20" s="1"/>
  <c r="AJ107" i="20"/>
  <c r="AK107" i="20" s="1"/>
  <c r="AQ105" i="20"/>
  <c r="AR105" i="20" s="1"/>
  <c r="AM105" i="20"/>
  <c r="AN105" i="20" s="1"/>
  <c r="AQ89" i="20"/>
  <c r="AM89" i="20"/>
  <c r="AN89" i="20" s="1"/>
  <c r="AQ94" i="20"/>
  <c r="AR94" i="20" s="1"/>
  <c r="AM94" i="20"/>
  <c r="AN94" i="20" s="1"/>
  <c r="AE64" i="20"/>
  <c r="BE64" i="20" s="1"/>
  <c r="R82" i="21"/>
  <c r="T82" i="21" s="1"/>
  <c r="BI82" i="21" s="1"/>
  <c r="AI97" i="21"/>
  <c r="AJ13" i="20"/>
  <c r="AK13" i="20" s="1"/>
  <c r="AQ23" i="20"/>
  <c r="AA23" i="20"/>
  <c r="AB23" i="20" s="1"/>
  <c r="AO23" i="20"/>
  <c r="AP23" i="20" s="1"/>
  <c r="AH72" i="20"/>
  <c r="AD41" i="20"/>
  <c r="Q65" i="20"/>
  <c r="AS65" i="20" s="1"/>
  <c r="AO65" i="20"/>
  <c r="AP65" i="20" s="1"/>
  <c r="AO72" i="20"/>
  <c r="AP72" i="20" s="1"/>
  <c r="AR67" i="20"/>
  <c r="U31" i="20"/>
  <c r="V31" i="20" s="1"/>
  <c r="W31" i="20" s="1"/>
  <c r="AE199" i="20"/>
  <c r="BE199" i="20" s="1"/>
  <c r="AR111" i="20"/>
  <c r="AD72" i="20"/>
  <c r="AC20" i="20"/>
  <c r="AE20" i="20" s="1"/>
  <c r="AJ20" i="20"/>
  <c r="AK20" i="20" s="1"/>
  <c r="AN20" i="20" s="1"/>
  <c r="AO20" i="20"/>
  <c r="AP20" i="20" s="1"/>
  <c r="AR20" i="20" s="1"/>
  <c r="AR99" i="20"/>
  <c r="AV80" i="20"/>
  <c r="BL80" i="20" s="1"/>
  <c r="AM46" i="20"/>
  <c r="AN46" i="20" s="1"/>
  <c r="AJ61" i="20"/>
  <c r="AK61" i="20" s="1"/>
  <c r="AN61" i="20" s="1"/>
  <c r="AR112" i="20"/>
  <c r="AR110" i="20"/>
  <c r="AR27" i="20"/>
  <c r="Q72" i="20"/>
  <c r="AS72" i="20" s="1"/>
  <c r="AM72" i="20"/>
  <c r="AN72" i="20" s="1"/>
  <c r="AQ72" i="20"/>
  <c r="AF72" i="20"/>
  <c r="AA72" i="20"/>
  <c r="AB72" i="20" s="1"/>
  <c r="AC88" i="20"/>
  <c r="AO88" i="20"/>
  <c r="AP88" i="20" s="1"/>
  <c r="AF88" i="20"/>
  <c r="AG88" i="20" s="1"/>
  <c r="AA88" i="20"/>
  <c r="AB88" i="20" s="1"/>
  <c r="Q88" i="20"/>
  <c r="AR56" i="20"/>
  <c r="AA26" i="20"/>
  <c r="AB26" i="20" s="1"/>
  <c r="AM30" i="20"/>
  <c r="R11" i="21"/>
  <c r="T11" i="21" s="1"/>
  <c r="BI11" i="21" s="1"/>
  <c r="R56" i="20"/>
  <c r="T56" i="20" s="1"/>
  <c r="BI56" i="20" s="1"/>
  <c r="AM25" i="20"/>
  <c r="AM26" i="20"/>
  <c r="AN27" i="20"/>
  <c r="AO30" i="20"/>
  <c r="AP30" i="20" s="1"/>
  <c r="AQ26" i="20"/>
  <c r="AV117" i="20"/>
  <c r="BL117" i="20" s="1"/>
  <c r="AR67" i="21"/>
  <c r="AR58" i="21"/>
  <c r="BL58" i="21" s="1"/>
  <c r="BF58" i="21" s="1"/>
  <c r="AR42" i="21"/>
  <c r="AI83" i="21"/>
  <c r="AE27" i="20"/>
  <c r="S30" i="20"/>
  <c r="U30" i="20"/>
  <c r="V30" i="20" s="1"/>
  <c r="W30" i="20" s="1"/>
  <c r="AJ25" i="20"/>
  <c r="AK25" i="20" s="1"/>
  <c r="AO26" i="20"/>
  <c r="AP26" i="20" s="1"/>
  <c r="Q33" i="20"/>
  <c r="AS33" i="20" s="1"/>
  <c r="AJ26" i="20"/>
  <c r="AK26" i="20" s="1"/>
  <c r="AQ30" i="20"/>
  <c r="AE150" i="20"/>
  <c r="BE150" i="20" s="1"/>
  <c r="AE189" i="20"/>
  <c r="BE189" i="20" s="1"/>
  <c r="AG120" i="20"/>
  <c r="AI120" i="20" s="1"/>
  <c r="BF120" i="20" s="1"/>
  <c r="AE119" i="20"/>
  <c r="BE119" i="20" s="1"/>
  <c r="R22" i="21"/>
  <c r="T22" i="21" s="1"/>
  <c r="BI22" i="21" s="1"/>
  <c r="AI35" i="21"/>
  <c r="AI47" i="21"/>
  <c r="AR51" i="20"/>
  <c r="AV67" i="21"/>
  <c r="BM67" i="21" s="1"/>
  <c r="AG67" i="21"/>
  <c r="AI67" i="21" s="1"/>
  <c r="S29" i="20"/>
  <c r="AG24" i="20"/>
  <c r="AI24" i="20" s="1"/>
  <c r="S31" i="20"/>
  <c r="AV63" i="20"/>
  <c r="BL63" i="20" s="1"/>
  <c r="AJ31" i="20"/>
  <c r="AK31" i="20" s="1"/>
  <c r="AJ18" i="20"/>
  <c r="AK18" i="20" s="1"/>
  <c r="AR22" i="20"/>
  <c r="AE185" i="20"/>
  <c r="BE185" i="20" s="1"/>
  <c r="AG185" i="20"/>
  <c r="AI185" i="20" s="1"/>
  <c r="BF185" i="20" s="1"/>
  <c r="AG130" i="20"/>
  <c r="AI130" i="20" s="1"/>
  <c r="BF130" i="20" s="1"/>
  <c r="AE203" i="20"/>
  <c r="BE203" i="20" s="1"/>
  <c r="AG194" i="20"/>
  <c r="AI194" i="20" s="1"/>
  <c r="BF194" i="20" s="1"/>
  <c r="AI81" i="21"/>
  <c r="AI82" i="21"/>
  <c r="U53" i="20"/>
  <c r="V53" i="20" s="1"/>
  <c r="W53" i="20" s="1"/>
  <c r="R27" i="20"/>
  <c r="T27" i="20" s="1"/>
  <c r="BI27" i="20" s="1"/>
  <c r="AH50" i="20"/>
  <c r="AH49" i="20"/>
  <c r="AE99" i="20"/>
  <c r="BE99" i="20" s="1"/>
  <c r="AJ29" i="20"/>
  <c r="AK29" i="20" s="1"/>
  <c r="Q30" i="20"/>
  <c r="AS30" i="20" s="1"/>
  <c r="AC30" i="20"/>
  <c r="AI106" i="21"/>
  <c r="R92" i="20"/>
  <c r="T92" i="20" s="1"/>
  <c r="BI92" i="20" s="1"/>
  <c r="R76" i="20"/>
  <c r="T76" i="20" s="1"/>
  <c r="BI76" i="20" s="1"/>
  <c r="AH37" i="20"/>
  <c r="R91" i="20"/>
  <c r="T91" i="20" s="1"/>
  <c r="BI91" i="20" s="1"/>
  <c r="S50" i="20"/>
  <c r="AH18" i="20"/>
  <c r="U37" i="20"/>
  <c r="V37" i="20" s="1"/>
  <c r="W37" i="20" s="1"/>
  <c r="AH21" i="20"/>
  <c r="AD42" i="20"/>
  <c r="S49" i="20"/>
  <c r="AH42" i="20"/>
  <c r="R60" i="20"/>
  <c r="T60" i="20" s="1"/>
  <c r="BI60" i="20" s="1"/>
  <c r="S37" i="20"/>
  <c r="AH41" i="20"/>
  <c r="U46" i="20"/>
  <c r="V46" i="20" s="1"/>
  <c r="W46" i="20" s="1"/>
  <c r="AA31" i="20"/>
  <c r="AB31" i="20" s="1"/>
  <c r="AE31" i="20" s="1"/>
  <c r="AO17" i="20"/>
  <c r="AP17" i="20" s="1"/>
  <c r="Q31" i="20"/>
  <c r="AA53" i="20"/>
  <c r="AB53" i="20" s="1"/>
  <c r="Q46" i="20"/>
  <c r="AS46" i="20" s="1"/>
  <c r="Q26" i="20"/>
  <c r="AS26" i="20" s="1"/>
  <c r="AC26" i="20"/>
  <c r="AS94" i="21"/>
  <c r="AE58" i="21"/>
  <c r="AI105" i="21"/>
  <c r="S18" i="20"/>
  <c r="AM29" i="20"/>
  <c r="AV22" i="20"/>
  <c r="BL22" i="20" s="1"/>
  <c r="U33" i="20"/>
  <c r="V33" i="20" s="1"/>
  <c r="W33" i="20" s="1"/>
  <c r="R99" i="20"/>
  <c r="T99" i="20" s="1"/>
  <c r="BI99" i="20" s="1"/>
  <c r="X29" i="20"/>
  <c r="Y29" i="20" s="1"/>
  <c r="Z29" i="20" s="1"/>
  <c r="AV56" i="20"/>
  <c r="BL56" i="20" s="1"/>
  <c r="AI63" i="20"/>
  <c r="BF63" i="20" s="1"/>
  <c r="AA29" i="20"/>
  <c r="AB29" i="20" s="1"/>
  <c r="AO33" i="20"/>
  <c r="AP33" i="20" s="1"/>
  <c r="Q29" i="20"/>
  <c r="AS29" i="20" s="1"/>
  <c r="U18" i="20"/>
  <c r="V18" i="20" s="1"/>
  <c r="W18" i="20" s="1"/>
  <c r="AN51" i="20"/>
  <c r="AE115" i="20"/>
  <c r="BE115" i="20" s="1"/>
  <c r="AE161" i="20"/>
  <c r="BE161" i="20" s="1"/>
  <c r="AV208" i="20"/>
  <c r="BL208" i="20" s="1"/>
  <c r="AG161" i="20"/>
  <c r="AI161" i="20" s="1"/>
  <c r="BF161" i="20" s="1"/>
  <c r="AG201" i="20"/>
  <c r="AI201" i="20" s="1"/>
  <c r="BF201" i="20" s="1"/>
  <c r="AE137" i="20"/>
  <c r="BE137" i="20" s="1"/>
  <c r="AE146" i="20"/>
  <c r="BE146" i="20" s="1"/>
  <c r="AE198" i="20"/>
  <c r="BE198" i="20" s="1"/>
  <c r="AE132" i="20"/>
  <c r="BE132" i="20" s="1"/>
  <c r="BK172" i="20"/>
  <c r="AI109" i="21"/>
  <c r="AI93" i="21"/>
  <c r="AE63" i="20"/>
  <c r="AI45" i="21"/>
  <c r="AI90" i="21"/>
  <c r="AI71" i="20"/>
  <c r="AF42" i="20"/>
  <c r="AG42" i="20" s="1"/>
  <c r="AR11" i="21"/>
  <c r="AR76" i="21"/>
  <c r="R59" i="20"/>
  <c r="T59" i="20" s="1"/>
  <c r="BI59" i="20" s="1"/>
  <c r="S26" i="20"/>
  <c r="AD26" i="20"/>
  <c r="R51" i="20"/>
  <c r="T51" i="20" s="1"/>
  <c r="BI51" i="20" s="1"/>
  <c r="X31" i="20"/>
  <c r="Y31" i="20" s="1"/>
  <c r="Z31" i="20" s="1"/>
  <c r="X30" i="20"/>
  <c r="Y30" i="20" s="1"/>
  <c r="Z30" i="20" s="1"/>
  <c r="AH30" i="20"/>
  <c r="X26" i="20"/>
  <c r="Y26" i="20" s="1"/>
  <c r="Z26" i="20" s="1"/>
  <c r="X61" i="20"/>
  <c r="Y61" i="20" s="1"/>
  <c r="Z61" i="20" s="1"/>
  <c r="AF30" i="20"/>
  <c r="AG30" i="20" s="1"/>
  <c r="AF58" i="20"/>
  <c r="AG58" i="20" s="1"/>
  <c r="AA25" i="20"/>
  <c r="AB25" i="20" s="1"/>
  <c r="AE25" i="20" s="1"/>
  <c r="AJ21" i="20"/>
  <c r="AK21" i="20" s="1"/>
  <c r="AE22" i="20"/>
  <c r="AN55" i="20"/>
  <c r="U26" i="20"/>
  <c r="V26" i="20" s="1"/>
  <c r="W26" i="20" s="1"/>
  <c r="AE166" i="20"/>
  <c r="AE134" i="20"/>
  <c r="BE134" i="20" s="1"/>
  <c r="AI208" i="20"/>
  <c r="BF208" i="20" s="1"/>
  <c r="AG166" i="20"/>
  <c r="AI166" i="20" s="1"/>
  <c r="BF166" i="20" s="1"/>
  <c r="AG162" i="20"/>
  <c r="AI162" i="20" s="1"/>
  <c r="BF162" i="20" s="1"/>
  <c r="AE162" i="20"/>
  <c r="BE162" i="20" s="1"/>
  <c r="AE186" i="20"/>
  <c r="BE186" i="20" s="1"/>
  <c r="AE177" i="20"/>
  <c r="BE177" i="20" s="1"/>
  <c r="AE200" i="20"/>
  <c r="AG158" i="20"/>
  <c r="AI158" i="20" s="1"/>
  <c r="BF158" i="20" s="1"/>
  <c r="AI101" i="21"/>
  <c r="AS58" i="21"/>
  <c r="AI55" i="20"/>
  <c r="BF55" i="20" s="1"/>
  <c r="AI43" i="21"/>
  <c r="AF17" i="20"/>
  <c r="AG17" i="20" s="1"/>
  <c r="AF14" i="20"/>
  <c r="AF10" i="20"/>
  <c r="AG10" i="20" s="1"/>
  <c r="AJ17" i="20"/>
  <c r="AK17" i="20" s="1"/>
  <c r="AO13" i="20"/>
  <c r="AP13" i="20" s="1"/>
  <c r="AO21" i="20"/>
  <c r="AP21" i="20" s="1"/>
  <c r="AJ34" i="20"/>
  <c r="AK34" i="20" s="1"/>
  <c r="AD34" i="20"/>
  <c r="AF18" i="20"/>
  <c r="AG18" i="20" s="1"/>
  <c r="AF13" i="20"/>
  <c r="AG13" i="20" s="1"/>
  <c r="AF21" i="20"/>
  <c r="AG21" i="20" s="1"/>
  <c r="R55" i="20"/>
  <c r="T55" i="20" s="1"/>
  <c r="BI55" i="20" s="1"/>
  <c r="R67" i="20"/>
  <c r="T67" i="20" s="1"/>
  <c r="BI67" i="20" s="1"/>
  <c r="AH46" i="20"/>
  <c r="X50" i="20"/>
  <c r="Y50" i="20" s="1"/>
  <c r="Z50" i="20" s="1"/>
  <c r="U61" i="20"/>
  <c r="V61" i="20" s="1"/>
  <c r="W61" i="20" s="1"/>
  <c r="U49" i="20"/>
  <c r="V49" i="20" s="1"/>
  <c r="W49" i="20" s="1"/>
  <c r="U42" i="20"/>
  <c r="V42" i="20" s="1"/>
  <c r="W42" i="20" s="1"/>
  <c r="U41" i="20"/>
  <c r="V41" i="20" s="1"/>
  <c r="W41" i="20" s="1"/>
  <c r="X46" i="20"/>
  <c r="Y46" i="20" s="1"/>
  <c r="Z46" i="20" s="1"/>
  <c r="X53" i="20"/>
  <c r="Y53" i="20" s="1"/>
  <c r="Z53" i="20" s="1"/>
  <c r="AD49" i="20"/>
  <c r="X49" i="20"/>
  <c r="Y49" i="20" s="1"/>
  <c r="Z49" i="20" s="1"/>
  <c r="X42" i="20"/>
  <c r="Y42" i="20" s="1"/>
  <c r="Z42" i="20" s="1"/>
  <c r="AD53" i="20"/>
  <c r="X41" i="20"/>
  <c r="Y41" i="20" s="1"/>
  <c r="Z41" i="20" s="1"/>
  <c r="AD46" i="20"/>
  <c r="AD50" i="20"/>
  <c r="AH53" i="20"/>
  <c r="R108" i="20"/>
  <c r="T108" i="20" s="1"/>
  <c r="BI108" i="20" s="1"/>
  <c r="S46" i="20"/>
  <c r="S42" i="20"/>
  <c r="AA42" i="20"/>
  <c r="AB42" i="20" s="1"/>
  <c r="AA46" i="20"/>
  <c r="AB46" i="20" s="1"/>
  <c r="AF49" i="20"/>
  <c r="AG49" i="20" s="1"/>
  <c r="AF37" i="20"/>
  <c r="AG37" i="20" s="1"/>
  <c r="Q61" i="20"/>
  <c r="AS61" i="20" s="1"/>
  <c r="AJ37" i="20"/>
  <c r="AK37" i="20" s="1"/>
  <c r="AA61" i="20"/>
  <c r="AB61" i="20" s="1"/>
  <c r="AO41" i="20"/>
  <c r="AP41" i="20" s="1"/>
  <c r="AE188" i="20"/>
  <c r="BE188" i="20" s="1"/>
  <c r="AV150" i="20"/>
  <c r="BL150" i="20" s="1"/>
  <c r="AV119" i="20"/>
  <c r="BL119" i="20" s="1"/>
  <c r="AV198" i="20"/>
  <c r="BL198" i="20" s="1"/>
  <c r="AV200" i="20"/>
  <c r="BL200" i="20" s="1"/>
  <c r="AS105" i="21"/>
  <c r="AR35" i="21"/>
  <c r="R63" i="20"/>
  <c r="T63" i="20" s="1"/>
  <c r="R83" i="20"/>
  <c r="T83" i="20" s="1"/>
  <c r="BI83" i="20" s="1"/>
  <c r="AH54" i="20"/>
  <c r="AE59" i="20"/>
  <c r="AD54" i="20"/>
  <c r="S58" i="20"/>
  <c r="AA57" i="20"/>
  <c r="AB57" i="20" s="1"/>
  <c r="AN56" i="20"/>
  <c r="AV203" i="20"/>
  <c r="BL203" i="20" s="1"/>
  <c r="AE112" i="20"/>
  <c r="BE112" i="20" s="1"/>
  <c r="AV142" i="20"/>
  <c r="BL142" i="20" s="1"/>
  <c r="AG136" i="20"/>
  <c r="AI136" i="20" s="1"/>
  <c r="BF136" i="20" s="1"/>
  <c r="AS106" i="21"/>
  <c r="AS109" i="21"/>
  <c r="AR47" i="21"/>
  <c r="AR44" i="21"/>
  <c r="BL44" i="21" s="1"/>
  <c r="BF44" i="21" s="1"/>
  <c r="AR15" i="21"/>
  <c r="AR30" i="21"/>
  <c r="AR74" i="21"/>
  <c r="BL74" i="21" s="1"/>
  <c r="BF74" i="21" s="1"/>
  <c r="AR36" i="21"/>
  <c r="AI62" i="21"/>
  <c r="T84" i="21"/>
  <c r="BI84" i="21" s="1"/>
  <c r="Q41" i="20"/>
  <c r="AS41" i="20" s="1"/>
  <c r="Q53" i="20"/>
  <c r="AS53" i="20" s="1"/>
  <c r="Q50" i="20"/>
  <c r="AS50" i="20" s="1"/>
  <c r="AA41" i="20"/>
  <c r="AB41" i="20" s="1"/>
  <c r="Q49" i="20"/>
  <c r="AS49" i="20" s="1"/>
  <c r="Q42" i="20"/>
  <c r="AS42" i="20" s="1"/>
  <c r="Q37" i="20"/>
  <c r="AS37" i="20" s="1"/>
  <c r="AQ49" i="20"/>
  <c r="X37" i="20"/>
  <c r="Y37" i="20" s="1"/>
  <c r="Z37" i="20" s="1"/>
  <c r="S53" i="20"/>
  <c r="AM37" i="20"/>
  <c r="AE40" i="20"/>
  <c r="AF53" i="20"/>
  <c r="AG53" i="20" s="1"/>
  <c r="R40" i="20"/>
  <c r="T40" i="20" s="1"/>
  <c r="U58" i="20"/>
  <c r="V58" i="20" s="1"/>
  <c r="W58" i="20" s="1"/>
  <c r="U57" i="20"/>
  <c r="V57" i="20" s="1"/>
  <c r="W57" i="20" s="1"/>
  <c r="U45" i="20"/>
  <c r="V45" i="20" s="1"/>
  <c r="W45" i="20" s="1"/>
  <c r="AI84" i="20"/>
  <c r="BF84" i="20" s="1"/>
  <c r="AD45" i="20"/>
  <c r="X57" i="20"/>
  <c r="Y57" i="20" s="1"/>
  <c r="Z57" i="20" s="1"/>
  <c r="AD58" i="20"/>
  <c r="AH45" i="20"/>
  <c r="AE55" i="20"/>
  <c r="Q57" i="20"/>
  <c r="AS57" i="20" s="1"/>
  <c r="Q45" i="20"/>
  <c r="AF38" i="20"/>
  <c r="AG38" i="20" s="1"/>
  <c r="AA34" i="20"/>
  <c r="AB34" i="20" s="1"/>
  <c r="AF61" i="20"/>
  <c r="AA58" i="20"/>
  <c r="AB58" i="20" s="1"/>
  <c r="AO61" i="20"/>
  <c r="AP61" i="20" s="1"/>
  <c r="AE117" i="20"/>
  <c r="BE117" i="20" s="1"/>
  <c r="AV134" i="20"/>
  <c r="BL134" i="20" s="1"/>
  <c r="AE208" i="20"/>
  <c r="BE208" i="20" s="1"/>
  <c r="AG178" i="20"/>
  <c r="AI178" i="20" s="1"/>
  <c r="AS67" i="21"/>
  <c r="R68" i="21"/>
  <c r="T68" i="21" s="1"/>
  <c r="BI68" i="21" s="1"/>
  <c r="AS84" i="21"/>
  <c r="AN74" i="21"/>
  <c r="AE74" i="21"/>
  <c r="AE9" i="21"/>
  <c r="AE53" i="21"/>
  <c r="AE66" i="21"/>
  <c r="AF46" i="20"/>
  <c r="AG46" i="20" s="1"/>
  <c r="AJ41" i="20"/>
  <c r="AK41" i="20" s="1"/>
  <c r="AN41" i="20" s="1"/>
  <c r="AJ42" i="20"/>
  <c r="AK42" i="20" s="1"/>
  <c r="AN42" i="20" s="1"/>
  <c r="AQ46" i="20"/>
  <c r="AO49" i="20"/>
  <c r="AP49" i="20" s="1"/>
  <c r="AQ37" i="20"/>
  <c r="AR37" i="20" s="1"/>
  <c r="AF41" i="20"/>
  <c r="AG41" i="20" s="1"/>
  <c r="AO42" i="20"/>
  <c r="AP42" i="20" s="1"/>
  <c r="AO46" i="20"/>
  <c r="AP46" i="20" s="1"/>
  <c r="S41" i="20"/>
  <c r="AM34" i="20"/>
  <c r="AJ57" i="20"/>
  <c r="AK57" i="20" s="1"/>
  <c r="AN57" i="20" s="1"/>
  <c r="AI75" i="20"/>
  <c r="BF75" i="20" s="1"/>
  <c r="AH58" i="20"/>
  <c r="X45" i="20"/>
  <c r="Y45" i="20" s="1"/>
  <c r="Z45" i="20" s="1"/>
  <c r="S57" i="20"/>
  <c r="AD57" i="20"/>
  <c r="AH57" i="20"/>
  <c r="AE56" i="20"/>
  <c r="BE56" i="20" s="1"/>
  <c r="X58" i="20"/>
  <c r="Y58" i="20" s="1"/>
  <c r="Z58" i="20" s="1"/>
  <c r="AE91" i="20"/>
  <c r="BE91" i="20" s="1"/>
  <c r="Q34" i="20"/>
  <c r="AS34" i="20" s="1"/>
  <c r="Q58" i="20"/>
  <c r="Q38" i="20"/>
  <c r="AS38" i="20" s="1"/>
  <c r="Q54" i="20"/>
  <c r="AS54" i="20" s="1"/>
  <c r="AA38" i="20"/>
  <c r="AB38" i="20" s="1"/>
  <c r="AQ57" i="20"/>
  <c r="AJ45" i="20"/>
  <c r="AK45" i="20" s="1"/>
  <c r="AN45" i="20" s="1"/>
  <c r="AJ58" i="20"/>
  <c r="AK58" i="20" s="1"/>
  <c r="AN58" i="20" s="1"/>
  <c r="AQ38" i="20"/>
  <c r="AR38" i="20" s="1"/>
  <c r="AF57" i="20"/>
  <c r="AG57" i="20" s="1"/>
  <c r="AI134" i="20"/>
  <c r="BF134" i="20" s="1"/>
  <c r="AE122" i="20"/>
  <c r="BE122" i="20" s="1"/>
  <c r="AE209" i="20"/>
  <c r="BE209" i="20" s="1"/>
  <c r="BK156" i="20"/>
  <c r="BB156" i="20"/>
  <c r="BD156" i="20" s="1"/>
  <c r="BH156" i="20" s="1"/>
  <c r="BJ156" i="20"/>
  <c r="R9" i="21"/>
  <c r="T9" i="21" s="1"/>
  <c r="BI9" i="21" s="1"/>
  <c r="R89" i="21"/>
  <c r="T89" i="21" s="1"/>
  <c r="BI89" i="21" s="1"/>
  <c r="AR34" i="21"/>
  <c r="R14" i="21"/>
  <c r="T14" i="21" s="1"/>
  <c r="BI14" i="21" s="1"/>
  <c r="AS66" i="21"/>
  <c r="AN56" i="21"/>
  <c r="T74" i="21"/>
  <c r="BI74" i="21" s="1"/>
  <c r="AV59" i="21"/>
  <c r="BM59" i="21" s="1"/>
  <c r="AV58" i="21"/>
  <c r="BM58" i="21" s="1"/>
  <c r="AR53" i="21"/>
  <c r="BL53" i="21" s="1"/>
  <c r="BF53" i="21" s="1"/>
  <c r="BL66" i="21"/>
  <c r="BF66" i="21" s="1"/>
  <c r="AR25" i="21"/>
  <c r="AR37" i="21"/>
  <c r="AR39" i="21"/>
  <c r="R63" i="21"/>
  <c r="T63" i="21" s="1"/>
  <c r="BI63" i="21" s="1"/>
  <c r="AS55" i="21"/>
  <c r="AS47" i="21"/>
  <c r="AR21" i="21"/>
  <c r="AR57" i="21"/>
  <c r="BL57" i="21" s="1"/>
  <c r="BF57" i="21" s="1"/>
  <c r="AE36" i="21"/>
  <c r="AE70" i="21"/>
  <c r="AE44" i="21"/>
  <c r="T70" i="21"/>
  <c r="BI70" i="21" s="1"/>
  <c r="AI89" i="21"/>
  <c r="R72" i="21"/>
  <c r="T72" i="21" s="1"/>
  <c r="BI72" i="21" s="1"/>
  <c r="AV44" i="21"/>
  <c r="BM44" i="21" s="1"/>
  <c r="AV66" i="21"/>
  <c r="BM66" i="21" s="1"/>
  <c r="AV26" i="21"/>
  <c r="BM26" i="21" s="1"/>
  <c r="AV55" i="21"/>
  <c r="BM55" i="21" s="1"/>
  <c r="R53" i="21"/>
  <c r="T53" i="21" s="1"/>
  <c r="BI53" i="21" s="1"/>
  <c r="AS70" i="21"/>
  <c r="AV101" i="21"/>
  <c r="BM101" i="21" s="1"/>
  <c r="AI63" i="21"/>
  <c r="R44" i="21"/>
  <c r="T44" i="21" s="1"/>
  <c r="BI44" i="21" s="1"/>
  <c r="BJ143" i="20"/>
  <c r="AR20" i="21"/>
  <c r="AI56" i="21"/>
  <c r="AS74" i="21"/>
  <c r="R59" i="21"/>
  <c r="T59" i="21" s="1"/>
  <c r="BI59" i="21" s="1"/>
  <c r="AV68" i="21"/>
  <c r="BM68" i="21" s="1"/>
  <c r="AE85" i="21"/>
  <c r="AR109" i="21"/>
  <c r="T58" i="21"/>
  <c r="BI58" i="21" s="1"/>
  <c r="AR62" i="21"/>
  <c r="AI99" i="21"/>
  <c r="AV93" i="21"/>
  <c r="BM93" i="21" s="1"/>
  <c r="AV29" i="21"/>
  <c r="BM29" i="21" s="1"/>
  <c r="AV28" i="21"/>
  <c r="BM28" i="21" s="1"/>
  <c r="R102" i="21"/>
  <c r="T102" i="21" s="1"/>
  <c r="BI102" i="21" s="1"/>
  <c r="AN76" i="20"/>
  <c r="T105" i="21"/>
  <c r="BI105" i="21" s="1"/>
  <c r="AG59" i="21"/>
  <c r="AI59" i="21" s="1"/>
  <c r="AV30" i="21"/>
  <c r="BM30" i="21" s="1"/>
  <c r="AV63" i="21"/>
  <c r="BM63" i="21" s="1"/>
  <c r="AR10" i="21"/>
  <c r="AI55" i="21"/>
  <c r="AV74" i="21"/>
  <c r="BM74" i="21" s="1"/>
  <c r="AI76" i="21"/>
  <c r="T94" i="21"/>
  <c r="BI94" i="21" s="1"/>
  <c r="AV18" i="21"/>
  <c r="BM18" i="21" s="1"/>
  <c r="AV53" i="21"/>
  <c r="BM53" i="21" s="1"/>
  <c r="AN47" i="21"/>
  <c r="BK47" i="21" s="1"/>
  <c r="BE47" i="21" s="1"/>
  <c r="AN55" i="21"/>
  <c r="BK55" i="21" s="1"/>
  <c r="BE55" i="21" s="1"/>
  <c r="AE81" i="21"/>
  <c r="AR83" i="21"/>
  <c r="AN59" i="21"/>
  <c r="AN66" i="21"/>
  <c r="AN41" i="21"/>
  <c r="AV98" i="21"/>
  <c r="BM98" i="21" s="1"/>
  <c r="AN76" i="21"/>
  <c r="BK76" i="21" s="1"/>
  <c r="BE76" i="21" s="1"/>
  <c r="AR63" i="21"/>
  <c r="AN63" i="21"/>
  <c r="BK63" i="21" s="1"/>
  <c r="BE63" i="21" s="1"/>
  <c r="AQ45" i="20"/>
  <c r="AQ58" i="20"/>
  <c r="AF45" i="20"/>
  <c r="AG45" i="20" s="1"/>
  <c r="AI188" i="20"/>
  <c r="BF188" i="20" s="1"/>
  <c r="AE129" i="20"/>
  <c r="BE129" i="20" s="1"/>
  <c r="AE111" i="20"/>
  <c r="BE111" i="20" s="1"/>
  <c r="AE153" i="20"/>
  <c r="BE153" i="20" s="1"/>
  <c r="AE169" i="20"/>
  <c r="BE169" i="20" s="1"/>
  <c r="AE195" i="20"/>
  <c r="AE168" i="20"/>
  <c r="BE168" i="20" s="1"/>
  <c r="AE197" i="20"/>
  <c r="BE197" i="20" s="1"/>
  <c r="AE201" i="20"/>
  <c r="BE201" i="20" s="1"/>
  <c r="AE136" i="20"/>
  <c r="BE136" i="20" s="1"/>
  <c r="AE120" i="20"/>
  <c r="BE120" i="20" s="1"/>
  <c r="AE130" i="20"/>
  <c r="AI198" i="20"/>
  <c r="BF198" i="20" s="1"/>
  <c r="AE194" i="20"/>
  <c r="AI200" i="20"/>
  <c r="BF200" i="20" s="1"/>
  <c r="AE149" i="20"/>
  <c r="AE126" i="20"/>
  <c r="BE126" i="20" s="1"/>
  <c r="AE165" i="20"/>
  <c r="BE165" i="20" s="1"/>
  <c r="AE157" i="20"/>
  <c r="BE157" i="20" s="1"/>
  <c r="AE83" i="20"/>
  <c r="BE83" i="20" s="1"/>
  <c r="AR55" i="21"/>
  <c r="AN62" i="21"/>
  <c r="BK62" i="21" s="1"/>
  <c r="BE62" i="21" s="1"/>
  <c r="AE67" i="21"/>
  <c r="AG9" i="21"/>
  <c r="AI9" i="21" s="1"/>
  <c r="BL9" i="21" s="1"/>
  <c r="BF9" i="21" s="1"/>
  <c r="AV9" i="21"/>
  <c r="BM9" i="21" s="1"/>
  <c r="AG14" i="21"/>
  <c r="AI14" i="21" s="1"/>
  <c r="AV14" i="21"/>
  <c r="BM14" i="21" s="1"/>
  <c r="AS62" i="21"/>
  <c r="R62" i="21"/>
  <c r="T62" i="21" s="1"/>
  <c r="BI62" i="21" s="1"/>
  <c r="AS93" i="21"/>
  <c r="R93" i="21"/>
  <c r="T93" i="21" s="1"/>
  <c r="BI93" i="21" s="1"/>
  <c r="AR24" i="21"/>
  <c r="AN75" i="20"/>
  <c r="AN68" i="20"/>
  <c r="AV70" i="21"/>
  <c r="BM70" i="21" s="1"/>
  <c r="AS15" i="21"/>
  <c r="AS30" i="21"/>
  <c r="R76" i="21"/>
  <c r="T76" i="21" s="1"/>
  <c r="BI76" i="21" s="1"/>
  <c r="R24" i="21"/>
  <c r="T24" i="21" s="1"/>
  <c r="BI24" i="21" s="1"/>
  <c r="AV47" i="21"/>
  <c r="BM47" i="21" s="1"/>
  <c r="AN44" i="21"/>
  <c r="AN57" i="21"/>
  <c r="AI42" i="21"/>
  <c r="AR68" i="21"/>
  <c r="BL68" i="21" s="1"/>
  <c r="BF68" i="21" s="1"/>
  <c r="AS97" i="21"/>
  <c r="R97" i="21"/>
  <c r="T97" i="21" s="1"/>
  <c r="BI97" i="21" s="1"/>
  <c r="AS98" i="21"/>
  <c r="R98" i="21"/>
  <c r="T98" i="21" s="1"/>
  <c r="BI98" i="21" s="1"/>
  <c r="AN71" i="20"/>
  <c r="AR17" i="21"/>
  <c r="AI87" i="21"/>
  <c r="AR32" i="21"/>
  <c r="AI85" i="21"/>
  <c r="AR50" i="21"/>
  <c r="AR41" i="21"/>
  <c r="AR23" i="21"/>
  <c r="T90" i="21"/>
  <c r="BI90" i="21" s="1"/>
  <c r="AN45" i="21"/>
  <c r="AN58" i="21"/>
  <c r="AN53" i="21"/>
  <c r="AN43" i="21"/>
  <c r="AR98" i="21"/>
  <c r="BL98" i="21" s="1"/>
  <c r="BF98" i="21" s="1"/>
  <c r="AR81" i="21"/>
  <c r="AR90" i="21"/>
  <c r="AN80" i="21"/>
  <c r="AN100" i="21"/>
  <c r="AR56" i="21"/>
  <c r="AR101" i="21"/>
  <c r="AR45" i="21"/>
  <c r="AV25" i="21"/>
  <c r="BM25" i="21" s="1"/>
  <c r="AN67" i="21"/>
  <c r="AN70" i="21"/>
  <c r="AM53" i="20"/>
  <c r="AS57" i="21"/>
  <c r="AE60" i="20"/>
  <c r="BE60" i="20" s="1"/>
  <c r="AI40" i="20"/>
  <c r="BK40" i="20" s="1"/>
  <c r="AE75" i="20"/>
  <c r="BE75" i="20" s="1"/>
  <c r="AE100" i="20"/>
  <c r="BE100" i="20" s="1"/>
  <c r="AF33" i="20"/>
  <c r="AG33" i="20" s="1"/>
  <c r="AQ53" i="20"/>
  <c r="AR53" i="20" s="1"/>
  <c r="AA49" i="20"/>
  <c r="AB49" i="20" s="1"/>
  <c r="AQ41" i="20"/>
  <c r="AJ49" i="20"/>
  <c r="AK49" i="20" s="1"/>
  <c r="AN49" i="20" s="1"/>
  <c r="AQ42" i="20"/>
  <c r="AJ53" i="20"/>
  <c r="AK53" i="20" s="1"/>
  <c r="AA37" i="20"/>
  <c r="AB37" i="20" s="1"/>
  <c r="AO34" i="20"/>
  <c r="AP34" i="20" s="1"/>
  <c r="AH34" i="20"/>
  <c r="AI34" i="20" s="1"/>
  <c r="BK34" i="20" s="1"/>
  <c r="AI117" i="20"/>
  <c r="BF117" i="20" s="1"/>
  <c r="AI150" i="20"/>
  <c r="BF150" i="20" s="1"/>
  <c r="AI142" i="20"/>
  <c r="BF142" i="20" s="1"/>
  <c r="AE67" i="20"/>
  <c r="AE142" i="20"/>
  <c r="BE142" i="20" s="1"/>
  <c r="T15" i="21"/>
  <c r="BI15" i="21" s="1"/>
  <c r="T30" i="21"/>
  <c r="BI30" i="21" s="1"/>
  <c r="AN22" i="20"/>
  <c r="AI22" i="20"/>
  <c r="BK22" i="20" s="1"/>
  <c r="BF116" i="20"/>
  <c r="BB116" i="20"/>
  <c r="BD116" i="20" s="1"/>
  <c r="BH116" i="20" s="1"/>
  <c r="BJ116" i="20"/>
  <c r="BK116" i="20"/>
  <c r="AI9" i="20"/>
  <c r="AI11" i="20"/>
  <c r="AE51" i="20"/>
  <c r="BE51" i="20" s="1"/>
  <c r="AE92" i="20"/>
  <c r="BE92" i="20" s="1"/>
  <c r="AE87" i="20"/>
  <c r="BE87" i="20" s="1"/>
  <c r="AN40" i="20"/>
  <c r="AR79" i="20"/>
  <c r="AR71" i="20"/>
  <c r="AE180" i="20"/>
  <c r="BE180" i="20" s="1"/>
  <c r="AE164" i="20"/>
  <c r="AE158" i="20"/>
  <c r="BE158" i="20" s="1"/>
  <c r="AE170" i="20"/>
  <c r="AE154" i="20"/>
  <c r="BE154" i="20" s="1"/>
  <c r="AE138" i="20"/>
  <c r="BE138" i="20" s="1"/>
  <c r="AE114" i="20"/>
  <c r="BE114" i="20" s="1"/>
  <c r="AE135" i="20"/>
  <c r="BE135" i="20" s="1"/>
  <c r="AE190" i="20"/>
  <c r="BE190" i="20" s="1"/>
  <c r="AE192" i="20"/>
  <c r="BE192" i="20" s="1"/>
  <c r="AE207" i="20"/>
  <c r="BE207" i="20" s="1"/>
  <c r="AE205" i="20"/>
  <c r="BE205" i="20" s="1"/>
  <c r="AE147" i="20"/>
  <c r="BE147" i="20" s="1"/>
  <c r="AE131" i="20"/>
  <c r="BE131" i="20" s="1"/>
  <c r="AE123" i="20"/>
  <c r="BE123" i="20" s="1"/>
  <c r="AE148" i="20"/>
  <c r="AE127" i="20"/>
  <c r="BE127" i="20" s="1"/>
  <c r="AE178" i="20"/>
  <c r="BE178" i="20" s="1"/>
  <c r="AI146" i="20"/>
  <c r="BF146" i="20" s="1"/>
  <c r="AI119" i="20"/>
  <c r="BF119" i="20" s="1"/>
  <c r="AE125" i="20"/>
  <c r="BE125" i="20" s="1"/>
  <c r="AE184" i="20"/>
  <c r="BE184" i="20" s="1"/>
  <c r="AI176" i="20"/>
  <c r="BF176" i="20" s="1"/>
  <c r="AE176" i="20"/>
  <c r="AE187" i="20"/>
  <c r="BE187" i="20" s="1"/>
  <c r="AE113" i="20"/>
  <c r="BE113" i="20" s="1"/>
  <c r="AE140" i="20"/>
  <c r="BE140" i="20" s="1"/>
  <c r="AE141" i="20"/>
  <c r="BE141" i="20" s="1"/>
  <c r="AE163" i="20"/>
  <c r="BE163" i="20" s="1"/>
  <c r="AR83" i="20"/>
  <c r="AI183" i="20"/>
  <c r="BK183" i="20" s="1"/>
  <c r="AN9" i="20"/>
  <c r="BE9" i="20" s="1"/>
  <c r="AI56" i="20"/>
  <c r="BF56" i="20" s="1"/>
  <c r="AE79" i="20"/>
  <c r="BE79" i="20" s="1"/>
  <c r="AE68" i="20"/>
  <c r="AE95" i="20"/>
  <c r="BE95" i="20" s="1"/>
  <c r="AE84" i="20"/>
  <c r="BE84" i="20" s="1"/>
  <c r="AE182" i="20"/>
  <c r="BE182" i="20" s="1"/>
  <c r="AE124" i="20"/>
  <c r="AI118" i="20"/>
  <c r="BF118" i="20" s="1"/>
  <c r="AE145" i="20"/>
  <c r="BE145" i="20" s="1"/>
  <c r="AE121" i="20"/>
  <c r="BE121" i="20" s="1"/>
  <c r="AE144" i="20"/>
  <c r="BE144" i="20" s="1"/>
  <c r="AE128" i="20"/>
  <c r="BE128" i="20" s="1"/>
  <c r="AI203" i="20"/>
  <c r="BF203" i="20" s="1"/>
  <c r="AE133" i="20"/>
  <c r="BE133" i="20" s="1"/>
  <c r="AE110" i="20"/>
  <c r="BE110" i="20" s="1"/>
  <c r="AI165" i="20"/>
  <c r="BF165" i="20" s="1"/>
  <c r="AE174" i="20"/>
  <c r="BE174" i="20" s="1"/>
  <c r="BF196" i="20"/>
  <c r="BK196" i="20"/>
  <c r="AV87" i="21"/>
  <c r="BM87" i="21" s="1"/>
  <c r="AV64" i="21"/>
  <c r="BM64" i="21" s="1"/>
  <c r="AV85" i="21"/>
  <c r="BM85" i="21" s="1"/>
  <c r="AV22" i="21"/>
  <c r="BM22" i="21" s="1"/>
  <c r="AV20" i="21"/>
  <c r="BM20" i="21" s="1"/>
  <c r="AR14" i="21"/>
  <c r="T55" i="21"/>
  <c r="BI55" i="21" s="1"/>
  <c r="AN20" i="21"/>
  <c r="AR18" i="21"/>
  <c r="AN18" i="21"/>
  <c r="AV109" i="21"/>
  <c r="BM109" i="21" s="1"/>
  <c r="AI107" i="21"/>
  <c r="AR46" i="21"/>
  <c r="AN37" i="21"/>
  <c r="AI61" i="21"/>
  <c r="AI64" i="21"/>
  <c r="AV45" i="21"/>
  <c r="BM45" i="21" s="1"/>
  <c r="AV62" i="21"/>
  <c r="BM62" i="21" s="1"/>
  <c r="AS81" i="21"/>
  <c r="AN109" i="21"/>
  <c r="BK109" i="21" s="1"/>
  <c r="BE109" i="21" s="1"/>
  <c r="AR93" i="21"/>
  <c r="AN93" i="21"/>
  <c r="BK93" i="21" s="1"/>
  <c r="BE93" i="21" s="1"/>
  <c r="AN68" i="21"/>
  <c r="AR84" i="21"/>
  <c r="BL84" i="21" s="1"/>
  <c r="BF84" i="21" s="1"/>
  <c r="AR106" i="21"/>
  <c r="T57" i="21"/>
  <c r="BI57" i="21" s="1"/>
  <c r="AI91" i="21"/>
  <c r="AI46" i="21"/>
  <c r="AV11" i="21"/>
  <c r="BM11" i="21" s="1"/>
  <c r="AV15" i="21"/>
  <c r="BM15" i="21" s="1"/>
  <c r="AN39" i="21"/>
  <c r="AV21" i="21"/>
  <c r="BM21" i="21" s="1"/>
  <c r="AV24" i="21"/>
  <c r="BM24" i="21" s="1"/>
  <c r="AS101" i="21"/>
  <c r="AR52" i="21"/>
  <c r="AR54" i="21"/>
  <c r="AK25" i="21"/>
  <c r="AN25" i="21" s="1"/>
  <c r="AV91" i="21"/>
  <c r="BM91" i="21" s="1"/>
  <c r="AI28" i="21"/>
  <c r="AI21" i="21"/>
  <c r="AI24" i="21"/>
  <c r="AI32" i="21"/>
  <c r="AI12" i="21"/>
  <c r="AI16" i="21"/>
  <c r="AI25" i="21"/>
  <c r="AI34" i="21"/>
  <c r="AI11" i="21"/>
  <c r="AI15" i="21"/>
  <c r="AI26" i="21"/>
  <c r="AN84" i="21"/>
  <c r="AN98" i="21"/>
  <c r="AN81" i="21"/>
  <c r="AN106" i="21"/>
  <c r="AN90" i="21"/>
  <c r="AN95" i="21"/>
  <c r="AN42" i="21"/>
  <c r="AN11" i="21"/>
  <c r="BK11" i="21" s="1"/>
  <c r="BE11" i="21" s="1"/>
  <c r="AN30" i="21"/>
  <c r="BK30" i="21" s="1"/>
  <c r="BE30" i="21" s="1"/>
  <c r="AN22" i="21"/>
  <c r="BK22" i="21" s="1"/>
  <c r="BE22" i="21" s="1"/>
  <c r="AN9" i="21"/>
  <c r="AN21" i="21"/>
  <c r="BK21" i="21" s="1"/>
  <c r="BE21" i="21" s="1"/>
  <c r="AN24" i="21"/>
  <c r="BK24" i="21" s="1"/>
  <c r="BE24" i="21" s="1"/>
  <c r="AN54" i="21"/>
  <c r="AN49" i="21"/>
  <c r="AN15" i="21"/>
  <c r="BK15" i="21" s="1"/>
  <c r="BE15" i="21" s="1"/>
  <c r="AN36" i="21"/>
  <c r="AN14" i="21"/>
  <c r="BK14" i="21" s="1"/>
  <c r="BE14" i="21" s="1"/>
  <c r="AN35" i="21"/>
  <c r="AN52" i="21"/>
  <c r="AN48" i="21"/>
  <c r="AI20" i="21"/>
  <c r="AI29" i="21"/>
  <c r="AR27" i="21"/>
  <c r="AR51" i="21"/>
  <c r="AR28" i="21"/>
  <c r="AR26" i="21"/>
  <c r="AN26" i="21"/>
  <c r="AR19" i="21"/>
  <c r="AR38" i="21"/>
  <c r="AR16" i="21"/>
  <c r="AN40" i="21"/>
  <c r="AN105" i="21"/>
  <c r="BK105" i="21" s="1"/>
  <c r="BE105" i="21" s="1"/>
  <c r="AR72" i="21"/>
  <c r="BL72" i="21" s="1"/>
  <c r="BF72" i="21" s="1"/>
  <c r="AN94" i="21"/>
  <c r="AR82" i="21"/>
  <c r="AN77" i="21"/>
  <c r="BK77" i="21" s="1"/>
  <c r="BE77" i="21" s="1"/>
  <c r="AN87" i="21"/>
  <c r="AN88" i="21"/>
  <c r="AN79" i="21"/>
  <c r="AN73" i="21"/>
  <c r="AR108" i="21"/>
  <c r="AN104" i="21"/>
  <c r="AR96" i="21"/>
  <c r="AR92" i="21"/>
  <c r="AN60" i="21"/>
  <c r="AR64" i="21"/>
  <c r="AN69" i="21"/>
  <c r="BK69" i="21" s="1"/>
  <c r="BE69" i="21" s="1"/>
  <c r="AR86" i="21"/>
  <c r="AN101" i="21"/>
  <c r="BK101" i="21" s="1"/>
  <c r="BE101" i="21" s="1"/>
  <c r="AR59" i="21"/>
  <c r="AN97" i="21"/>
  <c r="BK97" i="21" s="1"/>
  <c r="BE97" i="21" s="1"/>
  <c r="AN102" i="21"/>
  <c r="AR89" i="21"/>
  <c r="AN78" i="21"/>
  <c r="AR71" i="21"/>
  <c r="AN107" i="21"/>
  <c r="AR103" i="21"/>
  <c r="AR99" i="21"/>
  <c r="AN91" i="21"/>
  <c r="AN46" i="21"/>
  <c r="AN61" i="21"/>
  <c r="AR65" i="21"/>
  <c r="AR75" i="21"/>
  <c r="AR85" i="21"/>
  <c r="AE87" i="21"/>
  <c r="AE27" i="21"/>
  <c r="AE49" i="21"/>
  <c r="AE73" i="21"/>
  <c r="AE10" i="21"/>
  <c r="AE48" i="21"/>
  <c r="AE20" i="21"/>
  <c r="AE68" i="21"/>
  <c r="AE72" i="21"/>
  <c r="AE39" i="21"/>
  <c r="AE54" i="21"/>
  <c r="AE106" i="21"/>
  <c r="AE102" i="21"/>
  <c r="AE98" i="21"/>
  <c r="AE94" i="21"/>
  <c r="AE51" i="21"/>
  <c r="AE18" i="21"/>
  <c r="AE25" i="21"/>
  <c r="AE41" i="21"/>
  <c r="AE31" i="21"/>
  <c r="AE34" i="21"/>
  <c r="AE50" i="21"/>
  <c r="AE35" i="21"/>
  <c r="AE71" i="21"/>
  <c r="AE107" i="21"/>
  <c r="AE103" i="21"/>
  <c r="AE99" i="21"/>
  <c r="AE95" i="21"/>
  <c r="AE91" i="21"/>
  <c r="AE42" i="21"/>
  <c r="AE17" i="21"/>
  <c r="AE23" i="21"/>
  <c r="AE37" i="21"/>
  <c r="AE79" i="21"/>
  <c r="AE40" i="21"/>
  <c r="AR29" i="21"/>
  <c r="AN29" i="21"/>
  <c r="AN28" i="21"/>
  <c r="AR13" i="21"/>
  <c r="AN38" i="21"/>
  <c r="AR49" i="21"/>
  <c r="AR12" i="21"/>
  <c r="AR33" i="21"/>
  <c r="AR48" i="21"/>
  <c r="AR31" i="21"/>
  <c r="AR40" i="21"/>
  <c r="AR105" i="21"/>
  <c r="AN83" i="21"/>
  <c r="BK83" i="21" s="1"/>
  <c r="BE83" i="21" s="1"/>
  <c r="AN72" i="21"/>
  <c r="AR94" i="21"/>
  <c r="BL94" i="21" s="1"/>
  <c r="BF94" i="21" s="1"/>
  <c r="AN82" i="21"/>
  <c r="AR77" i="21"/>
  <c r="AR87" i="21"/>
  <c r="AR80" i="21"/>
  <c r="AR88" i="21"/>
  <c r="AR79" i="21"/>
  <c r="AR73" i="21"/>
  <c r="AN108" i="21"/>
  <c r="AR104" i="21"/>
  <c r="AR100" i="21"/>
  <c r="AN96" i="21"/>
  <c r="AN92" i="21"/>
  <c r="AN51" i="21"/>
  <c r="AR60" i="21"/>
  <c r="AN64" i="21"/>
  <c r="AR69" i="21"/>
  <c r="AN86" i="21"/>
  <c r="BK86" i="21" s="1"/>
  <c r="BE86" i="21" s="1"/>
  <c r="AR97" i="21"/>
  <c r="AR102" i="21"/>
  <c r="BL102" i="21" s="1"/>
  <c r="BF102" i="21" s="1"/>
  <c r="AN89" i="21"/>
  <c r="BK89" i="21" s="1"/>
  <c r="BE89" i="21" s="1"/>
  <c r="AR78" i="21"/>
  <c r="AN71" i="21"/>
  <c r="AR107" i="21"/>
  <c r="AN103" i="21"/>
  <c r="AN99" i="21"/>
  <c r="AR95" i="21"/>
  <c r="AR91" i="21"/>
  <c r="AR61" i="21"/>
  <c r="AN65" i="21"/>
  <c r="AN75" i="21"/>
  <c r="BK75" i="21" s="1"/>
  <c r="BE75" i="21" s="1"/>
  <c r="AN85" i="21"/>
  <c r="AN50" i="21"/>
  <c r="AR43" i="21"/>
  <c r="AE78" i="21"/>
  <c r="AE28" i="21"/>
  <c r="AI27" i="21"/>
  <c r="AE84" i="21"/>
  <c r="AE108" i="21"/>
  <c r="AE104" i="21"/>
  <c r="AE100" i="21"/>
  <c r="AE96" i="21"/>
  <c r="AE92" i="21"/>
  <c r="AI10" i="21"/>
  <c r="R21" i="21"/>
  <c r="T21" i="21" s="1"/>
  <c r="BI21" i="21" s="1"/>
  <c r="AS21" i="21"/>
  <c r="AI33" i="21"/>
  <c r="AE33" i="21"/>
  <c r="AE46" i="21"/>
  <c r="AE59" i="21"/>
  <c r="AI13" i="21"/>
  <c r="AE13" i="21"/>
  <c r="AI19" i="21"/>
  <c r="AE19" i="21"/>
  <c r="AE29" i="21"/>
  <c r="AE45" i="21"/>
  <c r="AE38" i="21"/>
  <c r="AE61" i="21"/>
  <c r="AE65" i="21"/>
  <c r="AI22" i="21"/>
  <c r="AE80" i="21"/>
  <c r="AE88" i="21"/>
  <c r="AE32" i="21"/>
  <c r="AI18" i="21"/>
  <c r="AE12" i="21"/>
  <c r="AE16" i="21"/>
  <c r="AE56" i="21"/>
  <c r="AI31" i="21"/>
  <c r="BL31" i="21" s="1"/>
  <c r="BF31" i="21" s="1"/>
  <c r="AE60" i="21"/>
  <c r="AE64" i="21"/>
  <c r="AI17" i="21"/>
  <c r="AI23" i="21"/>
  <c r="AE52" i="21"/>
  <c r="AI30" i="21"/>
  <c r="AE26" i="21"/>
  <c r="AE43" i="21"/>
  <c r="AE57" i="21"/>
  <c r="AE82" i="21"/>
  <c r="AE90" i="21"/>
  <c r="AV102" i="21"/>
  <c r="BM102" i="21" s="1"/>
  <c r="R83" i="21"/>
  <c r="T83" i="21" s="1"/>
  <c r="BI83" i="21" s="1"/>
  <c r="AV57" i="21"/>
  <c r="BM57" i="21" s="1"/>
  <c r="AV61" i="21"/>
  <c r="BM61" i="21" s="1"/>
  <c r="R45" i="21"/>
  <c r="T45" i="21" s="1"/>
  <c r="BI45" i="21" s="1"/>
  <c r="T106" i="21"/>
  <c r="BI106" i="21" s="1"/>
  <c r="T109" i="21"/>
  <c r="AV97" i="21"/>
  <c r="BM97" i="21" s="1"/>
  <c r="T81" i="21"/>
  <c r="BI81" i="21" s="1"/>
  <c r="AV84" i="21"/>
  <c r="BM84" i="21" s="1"/>
  <c r="AV81" i="21"/>
  <c r="BM81" i="21" s="1"/>
  <c r="AV43" i="21"/>
  <c r="BM43" i="21" s="1"/>
  <c r="AV90" i="21"/>
  <c r="BM90" i="21" s="1"/>
  <c r="T101" i="21"/>
  <c r="AV72" i="21"/>
  <c r="BM72" i="21" s="1"/>
  <c r="AV106" i="21"/>
  <c r="BM106" i="21" s="1"/>
  <c r="AV89" i="21"/>
  <c r="BM89" i="21" s="1"/>
  <c r="AV82" i="21"/>
  <c r="BM82" i="21" s="1"/>
  <c r="AV107" i="21"/>
  <c r="BM107" i="21" s="1"/>
  <c r="R49" i="21"/>
  <c r="T49" i="21" s="1"/>
  <c r="BI49" i="21" s="1"/>
  <c r="AS49" i="21"/>
  <c r="R46" i="21"/>
  <c r="T46" i="21" s="1"/>
  <c r="BI46" i="21" s="1"/>
  <c r="AS46" i="21"/>
  <c r="R36" i="21"/>
  <c r="T36" i="21" s="1"/>
  <c r="BI36" i="21" s="1"/>
  <c r="AS36" i="21"/>
  <c r="R35" i="21"/>
  <c r="T35" i="21" s="1"/>
  <c r="BI35" i="21" s="1"/>
  <c r="AS35" i="21"/>
  <c r="R38" i="21"/>
  <c r="T38" i="21" s="1"/>
  <c r="BI38" i="21" s="1"/>
  <c r="AS38" i="21"/>
  <c r="R52" i="21"/>
  <c r="T52" i="21" s="1"/>
  <c r="BI52" i="21" s="1"/>
  <c r="AS52" i="21"/>
  <c r="R54" i="21"/>
  <c r="T54" i="21" s="1"/>
  <c r="BI54" i="21" s="1"/>
  <c r="AS54" i="21"/>
  <c r="R56" i="21"/>
  <c r="T56" i="21" s="1"/>
  <c r="BI56" i="21" s="1"/>
  <c r="AS56" i="21"/>
  <c r="R43" i="21"/>
  <c r="T43" i="21" s="1"/>
  <c r="AS43" i="21"/>
  <c r="R51" i="21"/>
  <c r="T51" i="21" s="1"/>
  <c r="BI51" i="21" s="1"/>
  <c r="AS51" i="21"/>
  <c r="R41" i="21"/>
  <c r="T41" i="21" s="1"/>
  <c r="BI41" i="21" s="1"/>
  <c r="AS41" i="21"/>
  <c r="R40" i="21"/>
  <c r="T40" i="21" s="1"/>
  <c r="BI40" i="21" s="1"/>
  <c r="AS40" i="21"/>
  <c r="R42" i="21"/>
  <c r="T42" i="21" s="1"/>
  <c r="BI42" i="21" s="1"/>
  <c r="AS42" i="21"/>
  <c r="AV83" i="21"/>
  <c r="BM83" i="21" s="1"/>
  <c r="AV94" i="21"/>
  <c r="BM94" i="21" s="1"/>
  <c r="R50" i="21"/>
  <c r="T50" i="21" s="1"/>
  <c r="BI50" i="21" s="1"/>
  <c r="AS50" i="21"/>
  <c r="AV105" i="21"/>
  <c r="BM105" i="21" s="1"/>
  <c r="R37" i="21"/>
  <c r="T37" i="21" s="1"/>
  <c r="AS37" i="21"/>
  <c r="R39" i="21"/>
  <c r="T39" i="21" s="1"/>
  <c r="AS39" i="21"/>
  <c r="R48" i="21"/>
  <c r="T48" i="21" s="1"/>
  <c r="BI48" i="21" s="1"/>
  <c r="AS48" i="21"/>
  <c r="AV99" i="21"/>
  <c r="BM99" i="21" s="1"/>
  <c r="AG41" i="21"/>
  <c r="AI41" i="21" s="1"/>
  <c r="AV41" i="21"/>
  <c r="BM41" i="21" s="1"/>
  <c r="AG71" i="21"/>
  <c r="AI71" i="21" s="1"/>
  <c r="AV71" i="21"/>
  <c r="BM71" i="21" s="1"/>
  <c r="AG95" i="21"/>
  <c r="AI95" i="21" s="1"/>
  <c r="AV95" i="21"/>
  <c r="BM95" i="21" s="1"/>
  <c r="R20" i="21"/>
  <c r="T20" i="21" s="1"/>
  <c r="AS20" i="21"/>
  <c r="AG38" i="21"/>
  <c r="AI38" i="21" s="1"/>
  <c r="AV38" i="21"/>
  <c r="BM38" i="21" s="1"/>
  <c r="AG65" i="21"/>
  <c r="AI65" i="21" s="1"/>
  <c r="AV65" i="21"/>
  <c r="BM65" i="21" s="1"/>
  <c r="BI67" i="21"/>
  <c r="AG88" i="21"/>
  <c r="AI88" i="21" s="1"/>
  <c r="AV88" i="21"/>
  <c r="BM88" i="21" s="1"/>
  <c r="AG100" i="21"/>
  <c r="AI100" i="21" s="1"/>
  <c r="AV100" i="21"/>
  <c r="BM100" i="21" s="1"/>
  <c r="AG51" i="21"/>
  <c r="AI51" i="21" s="1"/>
  <c r="AV51" i="21"/>
  <c r="BM51" i="21" s="1"/>
  <c r="R18" i="21"/>
  <c r="T18" i="21" s="1"/>
  <c r="AS18" i="21"/>
  <c r="AG60" i="21"/>
  <c r="AI60" i="21" s="1"/>
  <c r="AV60" i="21"/>
  <c r="BM60" i="21" s="1"/>
  <c r="AG75" i="21"/>
  <c r="AI75" i="21" s="1"/>
  <c r="AV75" i="21"/>
  <c r="BM75" i="21" s="1"/>
  <c r="R71" i="21"/>
  <c r="T71" i="21" s="1"/>
  <c r="AS71" i="21"/>
  <c r="R99" i="21"/>
  <c r="T99" i="21" s="1"/>
  <c r="AS99" i="21"/>
  <c r="R17" i="21"/>
  <c r="T17" i="21" s="1"/>
  <c r="AS17" i="21"/>
  <c r="AK17" i="21"/>
  <c r="AN17" i="21" s="1"/>
  <c r="AV17" i="21"/>
  <c r="BM17" i="21" s="1"/>
  <c r="R108" i="21"/>
  <c r="T108" i="21" s="1"/>
  <c r="AS108" i="21"/>
  <c r="R92" i="21"/>
  <c r="T92" i="21" s="1"/>
  <c r="AS92" i="21"/>
  <c r="AK32" i="21"/>
  <c r="AN32" i="21" s="1"/>
  <c r="AV32" i="21"/>
  <c r="BM32" i="21" s="1"/>
  <c r="R32" i="21"/>
  <c r="T32" i="21" s="1"/>
  <c r="AS32" i="21"/>
  <c r="R10" i="21"/>
  <c r="T10" i="21" s="1"/>
  <c r="AS10" i="21"/>
  <c r="AK10" i="21"/>
  <c r="AN10" i="21" s="1"/>
  <c r="AV10" i="21"/>
  <c r="BM10" i="21" s="1"/>
  <c r="R34" i="21"/>
  <c r="T34" i="21" s="1"/>
  <c r="AS34" i="21"/>
  <c r="AK34" i="21"/>
  <c r="AN34" i="21" s="1"/>
  <c r="AV34" i="21"/>
  <c r="BM34" i="21" s="1"/>
  <c r="AG37" i="21"/>
  <c r="AI37" i="21" s="1"/>
  <c r="AV37" i="21"/>
  <c r="BM37" i="21" s="1"/>
  <c r="AG52" i="21"/>
  <c r="AI52" i="21" s="1"/>
  <c r="AV52" i="21"/>
  <c r="BM52" i="21" s="1"/>
  <c r="AG39" i="21"/>
  <c r="AI39" i="21" s="1"/>
  <c r="AV39" i="21"/>
  <c r="BM39" i="21" s="1"/>
  <c r="AG54" i="21"/>
  <c r="AI54" i="21" s="1"/>
  <c r="AV54" i="21"/>
  <c r="BM54" i="21" s="1"/>
  <c r="AG80" i="21"/>
  <c r="AI80" i="21" s="1"/>
  <c r="AV80" i="21"/>
  <c r="BM80" i="21" s="1"/>
  <c r="BI66" i="21"/>
  <c r="R95" i="21"/>
  <c r="T95" i="21" s="1"/>
  <c r="AS95" i="21"/>
  <c r="AK19" i="21"/>
  <c r="AN19" i="21" s="1"/>
  <c r="AV19" i="21"/>
  <c r="BM19" i="21" s="1"/>
  <c r="R19" i="21"/>
  <c r="T19" i="21" s="1"/>
  <c r="AS19" i="21"/>
  <c r="R23" i="21"/>
  <c r="T23" i="21" s="1"/>
  <c r="AS23" i="21"/>
  <c r="AK23" i="21"/>
  <c r="AV23" i="21"/>
  <c r="BM23" i="21" s="1"/>
  <c r="R65" i="21"/>
  <c r="T65" i="21" s="1"/>
  <c r="AS65" i="21"/>
  <c r="R77" i="21"/>
  <c r="T77" i="21" s="1"/>
  <c r="AS77" i="21"/>
  <c r="R80" i="21"/>
  <c r="T80" i="21" s="1"/>
  <c r="AS80" i="21"/>
  <c r="R79" i="21"/>
  <c r="T79" i="21" s="1"/>
  <c r="AS79" i="21"/>
  <c r="R104" i="21"/>
  <c r="T104" i="21" s="1"/>
  <c r="AS104" i="21"/>
  <c r="AK12" i="21"/>
  <c r="AN12" i="21" s="1"/>
  <c r="AV12" i="21"/>
  <c r="BM12" i="21" s="1"/>
  <c r="R12" i="21"/>
  <c r="T12" i="21" s="1"/>
  <c r="AS12" i="21"/>
  <c r="AK31" i="21"/>
  <c r="AN31" i="21" s="1"/>
  <c r="AV31" i="21"/>
  <c r="BM31" i="21" s="1"/>
  <c r="R31" i="21"/>
  <c r="T31" i="21" s="1"/>
  <c r="AS31" i="21"/>
  <c r="AG103" i="21"/>
  <c r="AI103" i="21" s="1"/>
  <c r="AV103" i="21"/>
  <c r="BM103" i="21" s="1"/>
  <c r="AG77" i="21"/>
  <c r="AI77" i="21" s="1"/>
  <c r="AV77" i="21"/>
  <c r="BM77" i="21" s="1"/>
  <c r="AG49" i="21"/>
  <c r="AI49" i="21" s="1"/>
  <c r="AV49" i="21"/>
  <c r="BM49" i="21" s="1"/>
  <c r="AG73" i="21"/>
  <c r="AI73" i="21" s="1"/>
  <c r="AV73" i="21"/>
  <c r="BM73" i="21" s="1"/>
  <c r="AG108" i="21"/>
  <c r="AI108" i="21" s="1"/>
  <c r="AV108" i="21"/>
  <c r="BM108" i="21" s="1"/>
  <c r="AG92" i="21"/>
  <c r="AI92" i="21" s="1"/>
  <c r="AV92" i="21"/>
  <c r="BM92" i="21" s="1"/>
  <c r="R25" i="21"/>
  <c r="T25" i="21" s="1"/>
  <c r="AS25" i="21"/>
  <c r="AG69" i="21"/>
  <c r="AI69" i="21" s="1"/>
  <c r="AV69" i="21"/>
  <c r="BM69" i="21" s="1"/>
  <c r="AG50" i="21"/>
  <c r="AI50" i="21" s="1"/>
  <c r="AV50" i="21"/>
  <c r="BM50" i="21" s="1"/>
  <c r="R107" i="21"/>
  <c r="T107" i="21" s="1"/>
  <c r="AS107" i="21"/>
  <c r="R91" i="21"/>
  <c r="T91" i="21" s="1"/>
  <c r="AS91" i="21"/>
  <c r="R61" i="21"/>
  <c r="T61" i="21" s="1"/>
  <c r="AS61" i="21"/>
  <c r="R87" i="21"/>
  <c r="T87" i="21" s="1"/>
  <c r="AS87" i="21"/>
  <c r="AK27" i="21"/>
  <c r="AN27" i="21" s="1"/>
  <c r="AV27" i="21"/>
  <c r="BM27" i="21" s="1"/>
  <c r="R27" i="21"/>
  <c r="T27" i="21" s="1"/>
  <c r="AS27" i="21"/>
  <c r="R88" i="21"/>
  <c r="T88" i="21" s="1"/>
  <c r="AS88" i="21"/>
  <c r="R73" i="21"/>
  <c r="T73" i="21" s="1"/>
  <c r="AS73" i="21"/>
  <c r="R100" i="21"/>
  <c r="T100" i="21" s="1"/>
  <c r="AS100" i="21"/>
  <c r="R64" i="21"/>
  <c r="T64" i="21" s="1"/>
  <c r="AS64" i="21"/>
  <c r="R85" i="21"/>
  <c r="T85" i="21" s="1"/>
  <c r="AS85" i="21"/>
  <c r="AG78" i="21"/>
  <c r="AI78" i="21" s="1"/>
  <c r="AV78" i="21"/>
  <c r="BM78" i="21" s="1"/>
  <c r="R29" i="21"/>
  <c r="T29" i="21" s="1"/>
  <c r="AS29" i="21"/>
  <c r="R28" i="21"/>
  <c r="T28" i="21" s="1"/>
  <c r="AS28" i="21"/>
  <c r="AG79" i="21"/>
  <c r="AI79" i="21" s="1"/>
  <c r="AV79" i="21"/>
  <c r="BM79" i="21" s="1"/>
  <c r="AG104" i="21"/>
  <c r="AI104" i="21" s="1"/>
  <c r="AV104" i="21"/>
  <c r="BM104" i="21" s="1"/>
  <c r="AG96" i="21"/>
  <c r="AI96" i="21" s="1"/>
  <c r="AV96" i="21"/>
  <c r="BM96" i="21" s="1"/>
  <c r="AG48" i="21"/>
  <c r="AI48" i="21" s="1"/>
  <c r="AV48" i="21"/>
  <c r="BM48" i="21" s="1"/>
  <c r="R26" i="21"/>
  <c r="T26" i="21" s="1"/>
  <c r="AS26" i="21"/>
  <c r="AG40" i="21"/>
  <c r="AI40" i="21" s="1"/>
  <c r="AV40" i="21"/>
  <c r="BM40" i="21" s="1"/>
  <c r="AG86" i="21"/>
  <c r="AI86" i="21" s="1"/>
  <c r="AV86" i="21"/>
  <c r="BM86" i="21" s="1"/>
  <c r="R78" i="21"/>
  <c r="T78" i="21" s="1"/>
  <c r="AS78" i="21"/>
  <c r="R103" i="21"/>
  <c r="T103" i="21" s="1"/>
  <c r="AS103" i="21"/>
  <c r="AK13" i="21"/>
  <c r="AN13" i="21" s="1"/>
  <c r="AV13" i="21"/>
  <c r="BM13" i="21" s="1"/>
  <c r="R13" i="21"/>
  <c r="T13" i="21" s="1"/>
  <c r="AS13" i="21"/>
  <c r="AG36" i="21"/>
  <c r="AI36" i="21" s="1"/>
  <c r="AV36" i="21"/>
  <c r="BM36" i="21" s="1"/>
  <c r="R96" i="21"/>
  <c r="T96" i="21" s="1"/>
  <c r="AS96" i="21"/>
  <c r="AK16" i="21"/>
  <c r="AN16" i="21" s="1"/>
  <c r="AV16" i="21"/>
  <c r="BM16" i="21" s="1"/>
  <c r="R16" i="21"/>
  <c r="T16" i="21" s="1"/>
  <c r="AS16" i="21"/>
  <c r="R33" i="21"/>
  <c r="T33" i="21" s="1"/>
  <c r="AS33" i="21"/>
  <c r="AK33" i="21"/>
  <c r="AN33" i="21" s="1"/>
  <c r="AV33" i="21"/>
  <c r="BM33" i="21" s="1"/>
  <c r="R60" i="21"/>
  <c r="T60" i="21" s="1"/>
  <c r="AS60" i="21"/>
  <c r="R69" i="21"/>
  <c r="T69" i="21" s="1"/>
  <c r="AS69" i="21"/>
  <c r="R75" i="21"/>
  <c r="T75" i="21" s="1"/>
  <c r="AS75" i="21"/>
  <c r="R86" i="21"/>
  <c r="T86" i="21" s="1"/>
  <c r="AS86" i="21"/>
  <c r="AV46" i="21"/>
  <c r="BM46" i="21" s="1"/>
  <c r="AV35" i="21"/>
  <c r="BM35" i="21" s="1"/>
  <c r="AV42" i="21"/>
  <c r="BM42" i="21" s="1"/>
  <c r="BB143" i="20"/>
  <c r="BD143" i="20" s="1"/>
  <c r="BH143" i="20" s="1"/>
  <c r="BI143" i="20"/>
  <c r="BK193" i="20"/>
  <c r="BJ193" i="20"/>
  <c r="BB193" i="20"/>
  <c r="BD193" i="20" s="1"/>
  <c r="BH193" i="20" s="1"/>
  <c r="BK171" i="20"/>
  <c r="BJ171" i="20"/>
  <c r="AO57" i="20"/>
  <c r="AP57" i="20" s="1"/>
  <c r="AG199" i="20"/>
  <c r="AI199" i="20" s="1"/>
  <c r="AV199" i="20"/>
  <c r="BL199" i="20" s="1"/>
  <c r="R199" i="20"/>
  <c r="T199" i="20" s="1"/>
  <c r="AS199" i="20"/>
  <c r="AG115" i="20"/>
  <c r="AI115" i="20" s="1"/>
  <c r="AV115" i="20"/>
  <c r="BL115" i="20" s="1"/>
  <c r="R166" i="20"/>
  <c r="T166" i="20" s="1"/>
  <c r="AS166" i="20"/>
  <c r="R182" i="20"/>
  <c r="T182" i="20" s="1"/>
  <c r="AS182" i="20"/>
  <c r="AG182" i="20"/>
  <c r="AI182" i="20" s="1"/>
  <c r="BF182" i="20" s="1"/>
  <c r="AV182" i="20"/>
  <c r="BL182" i="20" s="1"/>
  <c r="R180" i="20"/>
  <c r="T180" i="20" s="1"/>
  <c r="AS180" i="20"/>
  <c r="AG180" i="20"/>
  <c r="AI180" i="20" s="1"/>
  <c r="BF180" i="20" s="1"/>
  <c r="AV180" i="20"/>
  <c r="BL180" i="20" s="1"/>
  <c r="R164" i="20"/>
  <c r="T164" i="20" s="1"/>
  <c r="AS164" i="20"/>
  <c r="AG124" i="20"/>
  <c r="AI124" i="20" s="1"/>
  <c r="BF124" i="20" s="1"/>
  <c r="AV124" i="20"/>
  <c r="BL124" i="20" s="1"/>
  <c r="R124" i="20"/>
  <c r="T124" i="20" s="1"/>
  <c r="AS124" i="20"/>
  <c r="BI204" i="20"/>
  <c r="AG145" i="20"/>
  <c r="AI145" i="20" s="1"/>
  <c r="BF145" i="20" s="1"/>
  <c r="AV145" i="20"/>
  <c r="BL145" i="20" s="1"/>
  <c r="R145" i="20"/>
  <c r="T145" i="20" s="1"/>
  <c r="AS145" i="20"/>
  <c r="AG129" i="20"/>
  <c r="AI129" i="20" s="1"/>
  <c r="BF129" i="20" s="1"/>
  <c r="AV129" i="20"/>
  <c r="BL129" i="20" s="1"/>
  <c r="R121" i="20"/>
  <c r="T121" i="20" s="1"/>
  <c r="AS121" i="20"/>
  <c r="AG121" i="20"/>
  <c r="AI121" i="20" s="1"/>
  <c r="BF121" i="20" s="1"/>
  <c r="AV121" i="20"/>
  <c r="BL121" i="20" s="1"/>
  <c r="AG170" i="20"/>
  <c r="AI170" i="20" s="1"/>
  <c r="BF170" i="20" s="1"/>
  <c r="AV170" i="20"/>
  <c r="BL170" i="20" s="1"/>
  <c r="AG154" i="20"/>
  <c r="AI154" i="20" s="1"/>
  <c r="BF154" i="20" s="1"/>
  <c r="AV154" i="20"/>
  <c r="BL154" i="20" s="1"/>
  <c r="R138" i="20"/>
  <c r="T138" i="20" s="1"/>
  <c r="AS138" i="20"/>
  <c r="AG138" i="20"/>
  <c r="AI138" i="20" s="1"/>
  <c r="BF138" i="20" s="1"/>
  <c r="AV138" i="20"/>
  <c r="BL138" i="20" s="1"/>
  <c r="R114" i="20"/>
  <c r="T114" i="20" s="1"/>
  <c r="AS114" i="20"/>
  <c r="R175" i="20"/>
  <c r="T175" i="20" s="1"/>
  <c r="AS175" i="20"/>
  <c r="AG135" i="20"/>
  <c r="AI135" i="20" s="1"/>
  <c r="AV135" i="20"/>
  <c r="BL135" i="20" s="1"/>
  <c r="R135" i="20"/>
  <c r="T135" i="20" s="1"/>
  <c r="AS135" i="20"/>
  <c r="R111" i="20"/>
  <c r="T111" i="20" s="1"/>
  <c r="AS111" i="20"/>
  <c r="AG111" i="20"/>
  <c r="AI111" i="20" s="1"/>
  <c r="BF111" i="20" s="1"/>
  <c r="AV111" i="20"/>
  <c r="BL111" i="20" s="1"/>
  <c r="AG160" i="20"/>
  <c r="AI160" i="20" s="1"/>
  <c r="AV160" i="20"/>
  <c r="BL160" i="20" s="1"/>
  <c r="R160" i="20"/>
  <c r="T160" i="20" s="1"/>
  <c r="AS160" i="20"/>
  <c r="AG153" i="20"/>
  <c r="AI153" i="20" s="1"/>
  <c r="BF153" i="20" s="1"/>
  <c r="AV153" i="20"/>
  <c r="BL153" i="20" s="1"/>
  <c r="AG190" i="20"/>
  <c r="AI190" i="20" s="1"/>
  <c r="AV190" i="20"/>
  <c r="BL190" i="20" s="1"/>
  <c r="R190" i="20"/>
  <c r="T190" i="20" s="1"/>
  <c r="AS190" i="20"/>
  <c r="R169" i="20"/>
  <c r="T169" i="20" s="1"/>
  <c r="AS169" i="20"/>
  <c r="BK181" i="20"/>
  <c r="R195" i="20"/>
  <c r="T195" i="20" s="1"/>
  <c r="AS195" i="20"/>
  <c r="AG192" i="20"/>
  <c r="AI192" i="20" s="1"/>
  <c r="BF192" i="20" s="1"/>
  <c r="AV192" i="20"/>
  <c r="BL192" i="20" s="1"/>
  <c r="R144" i="20"/>
  <c r="T144" i="20" s="1"/>
  <c r="AS144" i="20"/>
  <c r="AG128" i="20"/>
  <c r="AI128" i="20" s="1"/>
  <c r="BF128" i="20" s="1"/>
  <c r="AV128" i="20"/>
  <c r="BL128" i="20" s="1"/>
  <c r="AG207" i="20"/>
  <c r="AI207" i="20" s="1"/>
  <c r="BF207" i="20" s="1"/>
  <c r="AV207" i="20"/>
  <c r="BL207" i="20" s="1"/>
  <c r="AG205" i="20"/>
  <c r="AI205" i="20" s="1"/>
  <c r="BF205" i="20" s="1"/>
  <c r="AV205" i="20"/>
  <c r="BL205" i="20" s="1"/>
  <c r="R205" i="20"/>
  <c r="T205" i="20" s="1"/>
  <c r="AS205" i="20"/>
  <c r="AG197" i="20"/>
  <c r="AI197" i="20" s="1"/>
  <c r="BF197" i="20" s="1"/>
  <c r="AV197" i="20"/>
  <c r="BL197" i="20" s="1"/>
  <c r="AG147" i="20"/>
  <c r="AI147" i="20" s="1"/>
  <c r="BF147" i="20" s="1"/>
  <c r="AV147" i="20"/>
  <c r="BL147" i="20" s="1"/>
  <c r="AG131" i="20"/>
  <c r="AI131" i="20" s="1"/>
  <c r="BF131" i="20" s="1"/>
  <c r="AV131" i="20"/>
  <c r="BL131" i="20" s="1"/>
  <c r="R123" i="20"/>
  <c r="T123" i="20" s="1"/>
  <c r="AS123" i="20"/>
  <c r="R201" i="20"/>
  <c r="T201" i="20" s="1"/>
  <c r="AS201" i="20"/>
  <c r="R127" i="20"/>
  <c r="T127" i="20" s="1"/>
  <c r="AS127" i="20"/>
  <c r="AG127" i="20"/>
  <c r="AI127" i="20" s="1"/>
  <c r="BF127" i="20" s="1"/>
  <c r="AV127" i="20"/>
  <c r="BL127" i="20" s="1"/>
  <c r="R120" i="20"/>
  <c r="T120" i="20" s="1"/>
  <c r="AS120" i="20"/>
  <c r="AG137" i="20"/>
  <c r="AI137" i="20" s="1"/>
  <c r="AV137" i="20"/>
  <c r="BL137" i="20" s="1"/>
  <c r="R137" i="20"/>
  <c r="T137" i="20" s="1"/>
  <c r="AS137" i="20"/>
  <c r="R162" i="20"/>
  <c r="T162" i="20" s="1"/>
  <c r="AS162" i="20"/>
  <c r="R130" i="20"/>
  <c r="T130" i="20" s="1"/>
  <c r="AS130" i="20"/>
  <c r="R122" i="20"/>
  <c r="T122" i="20" s="1"/>
  <c r="AS122" i="20"/>
  <c r="AG122" i="20"/>
  <c r="AI122" i="20" s="1"/>
  <c r="BF122" i="20" s="1"/>
  <c r="AV122" i="20"/>
  <c r="BL122" i="20" s="1"/>
  <c r="R194" i="20"/>
  <c r="T194" i="20" s="1"/>
  <c r="AS194" i="20"/>
  <c r="AG186" i="20"/>
  <c r="AI186" i="20" s="1"/>
  <c r="AV186" i="20"/>
  <c r="BL186" i="20" s="1"/>
  <c r="AG177" i="20"/>
  <c r="AI177" i="20" s="1"/>
  <c r="AV177" i="20"/>
  <c r="BL177" i="20" s="1"/>
  <c r="R200" i="20"/>
  <c r="T200" i="20" s="1"/>
  <c r="AS200" i="20"/>
  <c r="R209" i="20"/>
  <c r="T209" i="20" s="1"/>
  <c r="AS209" i="20"/>
  <c r="R119" i="20"/>
  <c r="T119" i="20" s="1"/>
  <c r="AS119" i="20"/>
  <c r="AG149" i="20"/>
  <c r="AI149" i="20" s="1"/>
  <c r="AV149" i="20"/>
  <c r="BL149" i="20" s="1"/>
  <c r="R126" i="20"/>
  <c r="T126" i="20" s="1"/>
  <c r="AS126" i="20"/>
  <c r="R110" i="20"/>
  <c r="T110" i="20" s="1"/>
  <c r="AS110" i="20"/>
  <c r="AG184" i="20"/>
  <c r="AI184" i="20" s="1"/>
  <c r="BF184" i="20" s="1"/>
  <c r="AV184" i="20"/>
  <c r="BL184" i="20" s="1"/>
  <c r="R187" i="20"/>
  <c r="T187" i="20" s="1"/>
  <c r="AS187" i="20"/>
  <c r="AG187" i="20"/>
  <c r="AI187" i="20" s="1"/>
  <c r="BF187" i="20" s="1"/>
  <c r="AV187" i="20"/>
  <c r="BL187" i="20" s="1"/>
  <c r="R165" i="20"/>
  <c r="T165" i="20" s="1"/>
  <c r="AS165" i="20"/>
  <c r="BK155" i="20"/>
  <c r="AG140" i="20"/>
  <c r="AI140" i="20" s="1"/>
  <c r="BF140" i="20" s="1"/>
  <c r="AV140" i="20"/>
  <c r="BL140" i="20" s="1"/>
  <c r="R157" i="20"/>
  <c r="T157" i="20" s="1"/>
  <c r="AS157" i="20"/>
  <c r="AG141" i="20"/>
  <c r="AI141" i="20" s="1"/>
  <c r="BF141" i="20" s="1"/>
  <c r="AV141" i="20"/>
  <c r="BL141" i="20" s="1"/>
  <c r="BI118" i="20"/>
  <c r="AG168" i="20"/>
  <c r="AI168" i="20" s="1"/>
  <c r="BF168" i="20" s="1"/>
  <c r="AV168" i="20"/>
  <c r="BL168" i="20" s="1"/>
  <c r="AG163" i="20"/>
  <c r="AI163" i="20" s="1"/>
  <c r="BF163" i="20" s="1"/>
  <c r="AV163" i="20"/>
  <c r="BL163" i="20" s="1"/>
  <c r="BJ155" i="20"/>
  <c r="R188" i="20"/>
  <c r="T188" i="20" s="1"/>
  <c r="AS188" i="20"/>
  <c r="R115" i="20"/>
  <c r="T115" i="20" s="1"/>
  <c r="AS115" i="20"/>
  <c r="R117" i="20"/>
  <c r="T117" i="20" s="1"/>
  <c r="AS117" i="20"/>
  <c r="R150" i="20"/>
  <c r="T150" i="20" s="1"/>
  <c r="AS150" i="20"/>
  <c r="R134" i="20"/>
  <c r="T134" i="20" s="1"/>
  <c r="AS134" i="20"/>
  <c r="R161" i="20"/>
  <c r="T161" i="20" s="1"/>
  <c r="AS161" i="20"/>
  <c r="R208" i="20"/>
  <c r="T208" i="20" s="1"/>
  <c r="AS208" i="20"/>
  <c r="AG164" i="20"/>
  <c r="AI164" i="20" s="1"/>
  <c r="AV164" i="20"/>
  <c r="BL164" i="20" s="1"/>
  <c r="R185" i="20"/>
  <c r="T185" i="20" s="1"/>
  <c r="AS185" i="20"/>
  <c r="AG189" i="20"/>
  <c r="AI189" i="20" s="1"/>
  <c r="BF189" i="20" s="1"/>
  <c r="AV189" i="20"/>
  <c r="BL189" i="20" s="1"/>
  <c r="R189" i="20"/>
  <c r="T189" i="20" s="1"/>
  <c r="AS189" i="20"/>
  <c r="R158" i="20"/>
  <c r="T158" i="20" s="1"/>
  <c r="AS158" i="20"/>
  <c r="R142" i="20"/>
  <c r="T142" i="20" s="1"/>
  <c r="AS142" i="20"/>
  <c r="R112" i="20"/>
  <c r="T112" i="20" s="1"/>
  <c r="AS112" i="20"/>
  <c r="AG112" i="20"/>
  <c r="AI112" i="20" s="1"/>
  <c r="AV112" i="20"/>
  <c r="BL112" i="20" s="1"/>
  <c r="R129" i="20"/>
  <c r="T129" i="20" s="1"/>
  <c r="AS129" i="20"/>
  <c r="R170" i="20"/>
  <c r="T170" i="20" s="1"/>
  <c r="AS170" i="20"/>
  <c r="R154" i="20"/>
  <c r="T154" i="20" s="1"/>
  <c r="AS154" i="20"/>
  <c r="AG114" i="20"/>
  <c r="AI114" i="20" s="1"/>
  <c r="BF114" i="20" s="1"/>
  <c r="AV114" i="20"/>
  <c r="BL114" i="20" s="1"/>
  <c r="AG175" i="20"/>
  <c r="AI175" i="20" s="1"/>
  <c r="BF175" i="20" s="1"/>
  <c r="AV175" i="20"/>
  <c r="BL175" i="20" s="1"/>
  <c r="R153" i="20"/>
  <c r="T153" i="20" s="1"/>
  <c r="AS153" i="20"/>
  <c r="AG169" i="20"/>
  <c r="AI169" i="20" s="1"/>
  <c r="BF169" i="20" s="1"/>
  <c r="AV169" i="20"/>
  <c r="BL169" i="20" s="1"/>
  <c r="AG195" i="20"/>
  <c r="AI195" i="20" s="1"/>
  <c r="BF195" i="20" s="1"/>
  <c r="AV195" i="20"/>
  <c r="BL195" i="20" s="1"/>
  <c r="R192" i="20"/>
  <c r="T192" i="20" s="1"/>
  <c r="AS192" i="20"/>
  <c r="R168" i="20"/>
  <c r="T168" i="20" s="1"/>
  <c r="AS168" i="20"/>
  <c r="AG144" i="20"/>
  <c r="AI144" i="20" s="1"/>
  <c r="BF144" i="20" s="1"/>
  <c r="AV144" i="20"/>
  <c r="BL144" i="20" s="1"/>
  <c r="R128" i="20"/>
  <c r="T128" i="20" s="1"/>
  <c r="AS128" i="20"/>
  <c r="BI171" i="20"/>
  <c r="BB171" i="20"/>
  <c r="BD171" i="20" s="1"/>
  <c r="BH171" i="20" s="1"/>
  <c r="R203" i="20"/>
  <c r="T203" i="20" s="1"/>
  <c r="AS203" i="20"/>
  <c r="R207" i="20"/>
  <c r="T207" i="20" s="1"/>
  <c r="AS207" i="20"/>
  <c r="R197" i="20"/>
  <c r="T197" i="20" s="1"/>
  <c r="AS197" i="20"/>
  <c r="R147" i="20"/>
  <c r="T147" i="20" s="1"/>
  <c r="AS147" i="20"/>
  <c r="R131" i="20"/>
  <c r="T131" i="20" s="1"/>
  <c r="AS131" i="20"/>
  <c r="AG123" i="20"/>
  <c r="AI123" i="20" s="1"/>
  <c r="AV123" i="20"/>
  <c r="BL123" i="20" s="1"/>
  <c r="R148" i="20"/>
  <c r="T148" i="20" s="1"/>
  <c r="AS148" i="20"/>
  <c r="AG148" i="20"/>
  <c r="AV148" i="20"/>
  <c r="BL148" i="20" s="1"/>
  <c r="R136" i="20"/>
  <c r="T136" i="20" s="1"/>
  <c r="AS136" i="20"/>
  <c r="R178" i="20"/>
  <c r="T178" i="20" s="1"/>
  <c r="AS178" i="20"/>
  <c r="R146" i="20"/>
  <c r="T146" i="20" s="1"/>
  <c r="AS146" i="20"/>
  <c r="R198" i="20"/>
  <c r="T198" i="20" s="1"/>
  <c r="AS198" i="20"/>
  <c r="AG132" i="20"/>
  <c r="AV132" i="20"/>
  <c r="BL132" i="20" s="1"/>
  <c r="R132" i="20"/>
  <c r="T132" i="20" s="1"/>
  <c r="AS132" i="20"/>
  <c r="R186" i="20"/>
  <c r="T186" i="20" s="1"/>
  <c r="AS186" i="20"/>
  <c r="R177" i="20"/>
  <c r="T177" i="20" s="1"/>
  <c r="AS177" i="20"/>
  <c r="AG209" i="20"/>
  <c r="AI209" i="20" s="1"/>
  <c r="BF209" i="20" s="1"/>
  <c r="AV209" i="20"/>
  <c r="BL209" i="20" s="1"/>
  <c r="R149" i="20"/>
  <c r="T149" i="20" s="1"/>
  <c r="AS149" i="20"/>
  <c r="R133" i="20"/>
  <c r="T133" i="20" s="1"/>
  <c r="AS133" i="20"/>
  <c r="AG133" i="20"/>
  <c r="AI133" i="20" s="1"/>
  <c r="BF133" i="20" s="1"/>
  <c r="AV133" i="20"/>
  <c r="BL133" i="20" s="1"/>
  <c r="R125" i="20"/>
  <c r="T125" i="20" s="1"/>
  <c r="AS125" i="20"/>
  <c r="AG125" i="20"/>
  <c r="AI125" i="20" s="1"/>
  <c r="BF125" i="20" s="1"/>
  <c r="AV125" i="20"/>
  <c r="BL125" i="20" s="1"/>
  <c r="AG126" i="20"/>
  <c r="AI126" i="20" s="1"/>
  <c r="BF126" i="20" s="1"/>
  <c r="AV126" i="20"/>
  <c r="BL126" i="20" s="1"/>
  <c r="AG110" i="20"/>
  <c r="AI110" i="20" s="1"/>
  <c r="BF110" i="20" s="1"/>
  <c r="AV110" i="20"/>
  <c r="BL110" i="20" s="1"/>
  <c r="R184" i="20"/>
  <c r="T184" i="20" s="1"/>
  <c r="AS184" i="20"/>
  <c r="R176" i="20"/>
  <c r="T176" i="20" s="1"/>
  <c r="AS176" i="20"/>
  <c r="R113" i="20"/>
  <c r="T113" i="20" s="1"/>
  <c r="AS113" i="20"/>
  <c r="AG113" i="20"/>
  <c r="AI113" i="20" s="1"/>
  <c r="BF113" i="20" s="1"/>
  <c r="AV113" i="20"/>
  <c r="BL113" i="20" s="1"/>
  <c r="R140" i="20"/>
  <c r="T140" i="20" s="1"/>
  <c r="AS140" i="20"/>
  <c r="AG157" i="20"/>
  <c r="AI157" i="20" s="1"/>
  <c r="BF157" i="20" s="1"/>
  <c r="AV157" i="20"/>
  <c r="BL157" i="20" s="1"/>
  <c r="R141" i="20"/>
  <c r="T141" i="20" s="1"/>
  <c r="AS141" i="20"/>
  <c r="AG174" i="20"/>
  <c r="AI174" i="20" s="1"/>
  <c r="BF174" i="20" s="1"/>
  <c r="AV174" i="20"/>
  <c r="BL174" i="20" s="1"/>
  <c r="R174" i="20"/>
  <c r="T174" i="20" s="1"/>
  <c r="AS174" i="20"/>
  <c r="AG202" i="20"/>
  <c r="AI202" i="20" s="1"/>
  <c r="BF202" i="20" s="1"/>
  <c r="AV202" i="20"/>
  <c r="BL202" i="20" s="1"/>
  <c r="R202" i="20"/>
  <c r="T202" i="20" s="1"/>
  <c r="AS202" i="20"/>
  <c r="R163" i="20"/>
  <c r="T163" i="20" s="1"/>
  <c r="AS163" i="20"/>
  <c r="BB155" i="20"/>
  <c r="BD155" i="20" s="1"/>
  <c r="BH155" i="20" s="1"/>
  <c r="AV84" i="20"/>
  <c r="BL84" i="20" s="1"/>
  <c r="AV40" i="20"/>
  <c r="BL40" i="20" s="1"/>
  <c r="AO85" i="20"/>
  <c r="AP85" i="20" s="1"/>
  <c r="AR85" i="20" s="1"/>
  <c r="Q85" i="20"/>
  <c r="AS85" i="20" s="1"/>
  <c r="S85" i="20"/>
  <c r="X85" i="20"/>
  <c r="Y85" i="20" s="1"/>
  <c r="Z85" i="20" s="1"/>
  <c r="AD85" i="20"/>
  <c r="U85" i="20"/>
  <c r="V85" i="20" s="1"/>
  <c r="W85" i="20" s="1"/>
  <c r="AO66" i="20"/>
  <c r="AP66" i="20" s="1"/>
  <c r="AJ66" i="20"/>
  <c r="AK66" i="20" s="1"/>
  <c r="AN66" i="20" s="1"/>
  <c r="Q66" i="20"/>
  <c r="AS66" i="20" s="1"/>
  <c r="U66" i="20"/>
  <c r="V66" i="20" s="1"/>
  <c r="W66" i="20" s="1"/>
  <c r="AH66" i="20"/>
  <c r="AD66" i="20"/>
  <c r="AH85" i="20"/>
  <c r="X66" i="20"/>
  <c r="Y66" i="20" s="1"/>
  <c r="Z66" i="20" s="1"/>
  <c r="AA85" i="20"/>
  <c r="AB85" i="20" s="1"/>
  <c r="AQ69" i="20"/>
  <c r="AO69" i="20"/>
  <c r="AP69" i="20" s="1"/>
  <c r="Q69" i="20"/>
  <c r="AD69" i="20"/>
  <c r="AO90" i="20"/>
  <c r="AP90" i="20" s="1"/>
  <c r="AR90" i="20" s="1"/>
  <c r="Q90" i="20"/>
  <c r="AA90" i="20"/>
  <c r="AB90" i="20" s="1"/>
  <c r="AD90" i="20"/>
  <c r="X90" i="20"/>
  <c r="Y90" i="20" s="1"/>
  <c r="Z90" i="20" s="1"/>
  <c r="AH90" i="20"/>
  <c r="AQ74" i="20"/>
  <c r="Q74" i="20"/>
  <c r="AA74" i="20"/>
  <c r="AB74" i="20" s="1"/>
  <c r="U74" i="20"/>
  <c r="V74" i="20" s="1"/>
  <c r="W74" i="20" s="1"/>
  <c r="S74" i="20"/>
  <c r="AH74" i="20"/>
  <c r="AM50" i="20"/>
  <c r="AJ50" i="20"/>
  <c r="AK50" i="20" s="1"/>
  <c r="AA50" i="20"/>
  <c r="AB50" i="20" s="1"/>
  <c r="AF50" i="20"/>
  <c r="U50" i="20"/>
  <c r="V50" i="20" s="1"/>
  <c r="W50" i="20" s="1"/>
  <c r="AM38" i="20"/>
  <c r="AJ38" i="20"/>
  <c r="AK38" i="20" s="1"/>
  <c r="AQ81" i="20"/>
  <c r="AO81" i="20"/>
  <c r="AP81" i="20" s="1"/>
  <c r="AF81" i="20"/>
  <c r="AG81" i="20" s="1"/>
  <c r="X81" i="20"/>
  <c r="Y81" i="20" s="1"/>
  <c r="Z81" i="20" s="1"/>
  <c r="AQ65" i="20"/>
  <c r="AF65" i="20"/>
  <c r="X65" i="20"/>
  <c r="Y65" i="20" s="1"/>
  <c r="Z65" i="20" s="1"/>
  <c r="AQ70" i="20"/>
  <c r="AO70" i="20"/>
  <c r="AP70" i="20" s="1"/>
  <c r="AF70" i="20"/>
  <c r="AG70" i="20" s="1"/>
  <c r="AA70" i="20"/>
  <c r="AB70" i="20" s="1"/>
  <c r="S70" i="20"/>
  <c r="AH70" i="20"/>
  <c r="AO45" i="20"/>
  <c r="AP45" i="20" s="1"/>
  <c r="AA45" i="20"/>
  <c r="AB45" i="20" s="1"/>
  <c r="S45" i="20"/>
  <c r="AM54" i="20"/>
  <c r="AO54" i="20"/>
  <c r="AP54" i="20" s="1"/>
  <c r="AR54" i="20" s="1"/>
  <c r="AJ54" i="20"/>
  <c r="AK54" i="20" s="1"/>
  <c r="AF54" i="20"/>
  <c r="AG54" i="20" s="1"/>
  <c r="AA54" i="20"/>
  <c r="AB54" i="20" s="1"/>
  <c r="U54" i="20"/>
  <c r="V54" i="20" s="1"/>
  <c r="W54" i="20" s="1"/>
  <c r="X54" i="20"/>
  <c r="Y54" i="20" s="1"/>
  <c r="Z54" i="20" s="1"/>
  <c r="S54" i="20"/>
  <c r="AH65" i="20"/>
  <c r="S65" i="20"/>
  <c r="AD65" i="20"/>
  <c r="S34" i="20"/>
  <c r="AQ34" i="20"/>
  <c r="U34" i="20"/>
  <c r="V34" i="20" s="1"/>
  <c r="W34" i="20" s="1"/>
  <c r="X34" i="20"/>
  <c r="Y34" i="20" s="1"/>
  <c r="Z34" i="20" s="1"/>
  <c r="AJ81" i="20"/>
  <c r="AK81" i="20" s="1"/>
  <c r="AJ77" i="20"/>
  <c r="AK77" i="20" s="1"/>
  <c r="AN77" i="20" s="1"/>
  <c r="AJ74" i="20"/>
  <c r="AK74" i="20" s="1"/>
  <c r="AN74" i="20" s="1"/>
  <c r="AO82" i="20"/>
  <c r="AP82" i="20" s="1"/>
  <c r="AO50" i="20"/>
  <c r="AP50" i="20" s="1"/>
  <c r="AR50" i="20" s="1"/>
  <c r="AD61" i="20"/>
  <c r="AH61" i="20"/>
  <c r="S61" i="20"/>
  <c r="AJ73" i="20"/>
  <c r="AJ69" i="20"/>
  <c r="AK69" i="20" s="1"/>
  <c r="AO74" i="20"/>
  <c r="AP74" i="20" s="1"/>
  <c r="AO58" i="20"/>
  <c r="AP58" i="20" s="1"/>
  <c r="R22" i="20"/>
  <c r="T22" i="20" s="1"/>
  <c r="BI22" i="20" s="1"/>
  <c r="AQ33" i="20"/>
  <c r="AM33" i="20"/>
  <c r="X33" i="20"/>
  <c r="Y33" i="20" s="1"/>
  <c r="Z33" i="20" s="1"/>
  <c r="S33" i="20"/>
  <c r="S21" i="20"/>
  <c r="S13" i="20"/>
  <c r="S25" i="20"/>
  <c r="AM13" i="20"/>
  <c r="AM18" i="20"/>
  <c r="AM17" i="20"/>
  <c r="AM21" i="20"/>
  <c r="U109" i="20"/>
  <c r="V109" i="20" s="1"/>
  <c r="W109" i="20" s="1"/>
  <c r="X18" i="20"/>
  <c r="Y18" i="20" s="1"/>
  <c r="Z18" i="20" s="1"/>
  <c r="U21" i="20"/>
  <c r="V21" i="20" s="1"/>
  <c r="W21" i="20" s="1"/>
  <c r="X21" i="20"/>
  <c r="Y21" i="20" s="1"/>
  <c r="Z21" i="20" s="1"/>
  <c r="AH109" i="20"/>
  <c r="AA109" i="20"/>
  <c r="AB109" i="20" s="1"/>
  <c r="AE109" i="20" s="1"/>
  <c r="Q109" i="20"/>
  <c r="AQ31" i="20"/>
  <c r="AM31" i="20"/>
  <c r="AK109" i="20"/>
  <c r="AO109" i="20"/>
  <c r="AP109" i="20" s="1"/>
  <c r="AM109" i="20"/>
  <c r="AQ109" i="20"/>
  <c r="R9" i="20"/>
  <c r="T9" i="20" s="1"/>
  <c r="BI9" i="20" s="1"/>
  <c r="AS9" i="20"/>
  <c r="Q25" i="20"/>
  <c r="AS25" i="20" s="1"/>
  <c r="S106" i="20"/>
  <c r="AO106" i="20"/>
  <c r="AP106" i="20" s="1"/>
  <c r="AR106" i="20" s="1"/>
  <c r="Q106" i="20"/>
  <c r="AS106" i="20" s="1"/>
  <c r="AH106" i="20"/>
  <c r="Q14" i="20"/>
  <c r="AS14" i="20" s="1"/>
  <c r="AQ14" i="20"/>
  <c r="AA14" i="20"/>
  <c r="AB14" i="20" s="1"/>
  <c r="AE14" i="20" s="1"/>
  <c r="Q10" i="20"/>
  <c r="AS10" i="20" s="1"/>
  <c r="AQ10" i="20"/>
  <c r="AA10" i="20"/>
  <c r="AB10" i="20" s="1"/>
  <c r="AE10" i="20" s="1"/>
  <c r="AF29" i="20"/>
  <c r="AG29" i="20" s="1"/>
  <c r="AF106" i="20"/>
  <c r="AV106" i="20" s="1"/>
  <c r="BL106" i="20" s="1"/>
  <c r="AQ21" i="20"/>
  <c r="Q21" i="20"/>
  <c r="AS21" i="20" s="1"/>
  <c r="AA21" i="20"/>
  <c r="AB21" i="20" s="1"/>
  <c r="AE21" i="20" s="1"/>
  <c r="AF25" i="20"/>
  <c r="AF26" i="20"/>
  <c r="AJ33" i="20"/>
  <c r="AJ14" i="20"/>
  <c r="AK14" i="20" s="1"/>
  <c r="X25" i="20"/>
  <c r="Y25" i="20" s="1"/>
  <c r="Z25" i="20" s="1"/>
  <c r="U25" i="20"/>
  <c r="V25" i="20" s="1"/>
  <c r="W25" i="20" s="1"/>
  <c r="AH25" i="20"/>
  <c r="AQ25" i="20"/>
  <c r="AQ17" i="20"/>
  <c r="Q17" i="20"/>
  <c r="AS17" i="20" s="1"/>
  <c r="AA17" i="20"/>
  <c r="AB17" i="20" s="1"/>
  <c r="AE17" i="20" s="1"/>
  <c r="U17" i="20"/>
  <c r="V17" i="20" s="1"/>
  <c r="W17" i="20" s="1"/>
  <c r="AQ18" i="20"/>
  <c r="AA18" i="20"/>
  <c r="AB18" i="20" s="1"/>
  <c r="AE18" i="20" s="1"/>
  <c r="Q18" i="20"/>
  <c r="AS18" i="20" s="1"/>
  <c r="AA30" i="20"/>
  <c r="AB30" i="20" s="1"/>
  <c r="AF31" i="20"/>
  <c r="AG31" i="20" s="1"/>
  <c r="AA33" i="20"/>
  <c r="AB33" i="20" s="1"/>
  <c r="AE33" i="20" s="1"/>
  <c r="AA13" i="20"/>
  <c r="AB13" i="20" s="1"/>
  <c r="AE13" i="20" s="1"/>
  <c r="AQ13" i="20"/>
  <c r="Q13" i="20"/>
  <c r="AS13" i="20" s="1"/>
  <c r="AJ30" i="20"/>
  <c r="AK30" i="20" s="1"/>
  <c r="AO29" i="20"/>
  <c r="AP29" i="20" s="1"/>
  <c r="AR29" i="20" s="1"/>
  <c r="AO25" i="20"/>
  <c r="AP25" i="20" s="1"/>
  <c r="AO18" i="20"/>
  <c r="AP18" i="20" s="1"/>
  <c r="AA106" i="20"/>
  <c r="AB106" i="20" s="1"/>
  <c r="AO31" i="20"/>
  <c r="AP31" i="20" s="1"/>
  <c r="AJ10" i="20"/>
  <c r="AK10" i="20" s="1"/>
  <c r="R71" i="20"/>
  <c r="T71" i="20" s="1"/>
  <c r="BI71" i="20" s="1"/>
  <c r="AG100" i="20"/>
  <c r="R107" i="20"/>
  <c r="T87" i="20"/>
  <c r="BI87" i="20" s="1"/>
  <c r="AV55" i="20"/>
  <c r="BL55" i="20" s="1"/>
  <c r="AV76" i="20"/>
  <c r="BL76" i="20" s="1"/>
  <c r="AG76" i="20"/>
  <c r="AG27" i="20"/>
  <c r="AV27" i="20"/>
  <c r="BL27" i="20" s="1"/>
  <c r="AG92" i="20"/>
  <c r="AV92" i="20"/>
  <c r="BL92" i="20" s="1"/>
  <c r="AV108" i="20"/>
  <c r="BL108" i="20" s="1"/>
  <c r="AG108" i="20"/>
  <c r="AV75" i="20"/>
  <c r="BL75" i="20" s="1"/>
  <c r="AV68" i="20"/>
  <c r="BL68" i="20" s="1"/>
  <c r="AG68" i="20"/>
  <c r="AI68" i="20" s="1"/>
  <c r="S14" i="20"/>
  <c r="AD29" i="20"/>
  <c r="AH38" i="20"/>
  <c r="U38" i="20"/>
  <c r="V38" i="20" s="1"/>
  <c r="W38" i="20" s="1"/>
  <c r="AD38" i="20"/>
  <c r="S38" i="20"/>
  <c r="AG104" i="20"/>
  <c r="AV104" i="20"/>
  <c r="BL104" i="20" s="1"/>
  <c r="AV60" i="20"/>
  <c r="BL60" i="20" s="1"/>
  <c r="AG60" i="20"/>
  <c r="R79" i="20"/>
  <c r="T79" i="20" s="1"/>
  <c r="BI79" i="20" s="1"/>
  <c r="AV9" i="20"/>
  <c r="BL9" i="20" s="1"/>
  <c r="X38" i="20"/>
  <c r="Y38" i="20" s="1"/>
  <c r="Z38" i="20" s="1"/>
  <c r="X14" i="20"/>
  <c r="Y14" i="20" s="1"/>
  <c r="Z14" i="20" s="1"/>
  <c r="AH14" i="20"/>
  <c r="U14" i="20"/>
  <c r="V14" i="20" s="1"/>
  <c r="W14" i="20" s="1"/>
  <c r="AH29" i="20"/>
  <c r="U29" i="20"/>
  <c r="V29" i="20" s="1"/>
  <c r="W29" i="20" s="1"/>
  <c r="AG99" i="20"/>
  <c r="AV99" i="20"/>
  <c r="BL99" i="20" s="1"/>
  <c r="AG91" i="20"/>
  <c r="AV91" i="20"/>
  <c r="BL91" i="20" s="1"/>
  <c r="AG59" i="20"/>
  <c r="AI59" i="20" s="1"/>
  <c r="BF59" i="20" s="1"/>
  <c r="AV59" i="20"/>
  <c r="BL59" i="20" s="1"/>
  <c r="AG67" i="20"/>
  <c r="AI67" i="20" s="1"/>
  <c r="AV67" i="20"/>
  <c r="BL67" i="20" s="1"/>
  <c r="AG95" i="20"/>
  <c r="AI95" i="20" s="1"/>
  <c r="BF95" i="20" s="1"/>
  <c r="AV95" i="20"/>
  <c r="BL95" i="20" s="1"/>
  <c r="AG79" i="20"/>
  <c r="AV79" i="20"/>
  <c r="BL79" i="20" s="1"/>
  <c r="AG103" i="20"/>
  <c r="AI103" i="20" s="1"/>
  <c r="BF103" i="20" s="1"/>
  <c r="AV103" i="20"/>
  <c r="BL103" i="20" s="1"/>
  <c r="AK16" i="20"/>
  <c r="AG51" i="20"/>
  <c r="AI51" i="20" s="1"/>
  <c r="BF51" i="20" s="1"/>
  <c r="AV51" i="20"/>
  <c r="BL51" i="20" s="1"/>
  <c r="K133" i="2"/>
  <c r="M133" i="2" s="1"/>
  <c r="D86" i="2"/>
  <c r="E33" i="1"/>
  <c r="B296" i="2"/>
  <c r="B297" i="2" s="1"/>
  <c r="F4" i="17" s="1"/>
  <c r="E34" i="1"/>
  <c r="B168" i="2"/>
  <c r="E41" i="1" s="1"/>
  <c r="B172" i="2"/>
  <c r="L173" i="2" s="1"/>
  <c r="L174" i="2"/>
  <c r="K173" i="2"/>
  <c r="K168" i="2"/>
  <c r="K167" i="2"/>
  <c r="K195" i="2"/>
  <c r="E52" i="1"/>
  <c r="B137" i="2"/>
  <c r="D61" i="16" s="1"/>
  <c r="B280" i="2"/>
  <c r="F5" i="17" s="1"/>
  <c r="F7" i="17"/>
  <c r="B306" i="2"/>
  <c r="B308" i="2" s="1"/>
  <c r="E68" i="1" s="1"/>
  <c r="H167" i="2"/>
  <c r="E45" i="1"/>
  <c r="N103" i="2"/>
  <c r="N102" i="2"/>
  <c r="P102" i="2"/>
  <c r="BK42" i="21" l="1"/>
  <c r="BE42" i="21" s="1"/>
  <c r="R23" i="20"/>
  <c r="BF67" i="20"/>
  <c r="BF68" i="20"/>
  <c r="BE67" i="20"/>
  <c r="BE59" i="20"/>
  <c r="AI10" i="20"/>
  <c r="AE48" i="20"/>
  <c r="BE48" i="20" s="1"/>
  <c r="AN28" i="20"/>
  <c r="BK73" i="21"/>
  <c r="BE73" i="21" s="1"/>
  <c r="AV61" i="20"/>
  <c r="BL61" i="20" s="1"/>
  <c r="BK40" i="21"/>
  <c r="BE40" i="21" s="1"/>
  <c r="BK87" i="21"/>
  <c r="BE87" i="21" s="1"/>
  <c r="BK90" i="21"/>
  <c r="BE90" i="21" s="1"/>
  <c r="BK82" i="21"/>
  <c r="BE82" i="21" s="1"/>
  <c r="AE43" i="20"/>
  <c r="B318" i="2"/>
  <c r="AE35" i="20"/>
  <c r="BE35" i="20" s="1"/>
  <c r="AV35" i="20"/>
  <c r="BL35" i="20" s="1"/>
  <c r="AV32" i="20"/>
  <c r="BL32" i="20" s="1"/>
  <c r="R48" i="20"/>
  <c r="T48" i="20" s="1"/>
  <c r="BI48" i="20" s="1"/>
  <c r="AR36" i="20"/>
  <c r="BF36" i="20" s="1"/>
  <c r="AG35" i="20"/>
  <c r="AI35" i="20" s="1"/>
  <c r="BE159" i="20"/>
  <c r="R35" i="20"/>
  <c r="T35" i="20" s="1"/>
  <c r="BI35" i="20" s="1"/>
  <c r="AE32" i="20"/>
  <c r="BJ32" i="20" s="1"/>
  <c r="R32" i="20"/>
  <c r="T32" i="20" s="1"/>
  <c r="BI32" i="20" s="1"/>
  <c r="AN23" i="20"/>
  <c r="AN43" i="20"/>
  <c r="AN15" i="20"/>
  <c r="BE15" i="20" s="1"/>
  <c r="AR28" i="20"/>
  <c r="AE73" i="20"/>
  <c r="AI43" i="20"/>
  <c r="BK43" i="20" s="1"/>
  <c r="R43" i="20"/>
  <c r="T43" i="20" s="1"/>
  <c r="BI43" i="20" s="1"/>
  <c r="AR15" i="20"/>
  <c r="AR24" i="20"/>
  <c r="BF24" i="20" s="1"/>
  <c r="AN47" i="20"/>
  <c r="BE47" i="20" s="1"/>
  <c r="AR11" i="20"/>
  <c r="BF11" i="20" s="1"/>
  <c r="R24" i="20"/>
  <c r="T24" i="20" s="1"/>
  <c r="BI24" i="20" s="1"/>
  <c r="AV109" i="20"/>
  <c r="BL109" i="20" s="1"/>
  <c r="AI48" i="20"/>
  <c r="BF48" i="20" s="1"/>
  <c r="R11" i="20"/>
  <c r="T11" i="20" s="1"/>
  <c r="BI11" i="20" s="1"/>
  <c r="AV43" i="20"/>
  <c r="BL43" i="20" s="1"/>
  <c r="AR47" i="20"/>
  <c r="AV47" i="20"/>
  <c r="BL47" i="20" s="1"/>
  <c r="AI17" i="20"/>
  <c r="BK17" i="20" s="1"/>
  <c r="AN88" i="20"/>
  <c r="R47" i="20"/>
  <c r="T47" i="20" s="1"/>
  <c r="BI47" i="20" s="1"/>
  <c r="AR62" i="20"/>
  <c r="AV105" i="20"/>
  <c r="BL105" i="20" s="1"/>
  <c r="AI47" i="20"/>
  <c r="AV48" i="20"/>
  <c r="BL48" i="20" s="1"/>
  <c r="AI15" i="20"/>
  <c r="AN11" i="20"/>
  <c r="BE11" i="20" s="1"/>
  <c r="BE151" i="20"/>
  <c r="AI105" i="20"/>
  <c r="BK105" i="20" s="1"/>
  <c r="AV36" i="20"/>
  <c r="BL36" i="20" s="1"/>
  <c r="BK173" i="20"/>
  <c r="AV39" i="20"/>
  <c r="BL39" i="20" s="1"/>
  <c r="AG90" i="20"/>
  <c r="AI90" i="20" s="1"/>
  <c r="BF90" i="20" s="1"/>
  <c r="AV11" i="20"/>
  <c r="BL11" i="20" s="1"/>
  <c r="AV15" i="20"/>
  <c r="BL15" i="20" s="1"/>
  <c r="AI23" i="20"/>
  <c r="BK23" i="20" s="1"/>
  <c r="R77" i="20"/>
  <c r="T77" i="20" s="1"/>
  <c r="BI77" i="20" s="1"/>
  <c r="R15" i="20"/>
  <c r="T15" i="20" s="1"/>
  <c r="BE24" i="20"/>
  <c r="AG39" i="20"/>
  <c r="AI39" i="20" s="1"/>
  <c r="BK39" i="20" s="1"/>
  <c r="R20" i="20"/>
  <c r="T20" i="20" s="1"/>
  <c r="BI20" i="20" s="1"/>
  <c r="AR14" i="20"/>
  <c r="BK151" i="20"/>
  <c r="AN16" i="20"/>
  <c r="BE16" i="20" s="1"/>
  <c r="AI49" i="20"/>
  <c r="AI31" i="20"/>
  <c r="BK31" i="20" s="1"/>
  <c r="AI19" i="20"/>
  <c r="AE62" i="20"/>
  <c r="BE62" i="20" s="1"/>
  <c r="BE172" i="20"/>
  <c r="AE77" i="20"/>
  <c r="BE77" i="20" s="1"/>
  <c r="AR16" i="20"/>
  <c r="AE36" i="20"/>
  <c r="BF32" i="20"/>
  <c r="AE37" i="20"/>
  <c r="AI88" i="20"/>
  <c r="BK88" i="20" s="1"/>
  <c r="BE160" i="20"/>
  <c r="AE39" i="20"/>
  <c r="BE39" i="20" s="1"/>
  <c r="AE28" i="20"/>
  <c r="AV16" i="20"/>
  <c r="BL16" i="20" s="1"/>
  <c r="R89" i="20"/>
  <c r="T89" i="20" s="1"/>
  <c r="BI89" i="20" s="1"/>
  <c r="BK191" i="20"/>
  <c r="AI16" i="20"/>
  <c r="BK16" i="20" s="1"/>
  <c r="R16" i="20"/>
  <c r="T16" i="20" s="1"/>
  <c r="BI16" i="20" s="1"/>
  <c r="BE71" i="20"/>
  <c r="BE76" i="20"/>
  <c r="BF20" i="20"/>
  <c r="BB191" i="20"/>
  <c r="BD191" i="20" s="1"/>
  <c r="BH191" i="20" s="1"/>
  <c r="AR44" i="20"/>
  <c r="AE107" i="20"/>
  <c r="BF96" i="20"/>
  <c r="R70" i="20"/>
  <c r="T70" i="20" s="1"/>
  <c r="BI70" i="20" s="1"/>
  <c r="AI33" i="20"/>
  <c r="BK33" i="20" s="1"/>
  <c r="AV23" i="20"/>
  <c r="BL23" i="20" s="1"/>
  <c r="AR52" i="20"/>
  <c r="BF52" i="20" s="1"/>
  <c r="AV19" i="20"/>
  <c r="BL19" i="20" s="1"/>
  <c r="AE93" i="20"/>
  <c r="BE93" i="20" s="1"/>
  <c r="AI28" i="20"/>
  <c r="BK28" i="20" s="1"/>
  <c r="BK179" i="20"/>
  <c r="AE86" i="20"/>
  <c r="BE86" i="20" s="1"/>
  <c r="T23" i="20"/>
  <c r="BI23" i="20" s="1"/>
  <c r="AV28" i="20"/>
  <c r="BL28" i="20" s="1"/>
  <c r="R62" i="20"/>
  <c r="T62" i="20" s="1"/>
  <c r="BI62" i="20" s="1"/>
  <c r="BJ80" i="20"/>
  <c r="AR39" i="20"/>
  <c r="AV86" i="20"/>
  <c r="BL86" i="20" s="1"/>
  <c r="R28" i="20"/>
  <c r="T28" i="20" s="1"/>
  <c r="BI28" i="20" s="1"/>
  <c r="BF80" i="20"/>
  <c r="BE20" i="20"/>
  <c r="AE12" i="20"/>
  <c r="AI13" i="20"/>
  <c r="BK13" i="20" s="1"/>
  <c r="BJ152" i="20"/>
  <c r="BL25" i="21"/>
  <c r="BF25" i="21" s="1"/>
  <c r="BK59" i="21"/>
  <c r="BE59" i="21" s="1"/>
  <c r="BL30" i="21"/>
  <c r="BF30" i="21" s="1"/>
  <c r="AV88" i="20"/>
  <c r="BL88" i="20" s="1"/>
  <c r="AE70" i="20"/>
  <c r="BE70" i="20" s="1"/>
  <c r="BL83" i="21"/>
  <c r="BF83" i="21" s="1"/>
  <c r="R52" i="20"/>
  <c r="T52" i="20" s="1"/>
  <c r="BI52" i="20" s="1"/>
  <c r="BF152" i="20"/>
  <c r="AI73" i="20"/>
  <c r="BF73" i="20" s="1"/>
  <c r="AE102" i="20"/>
  <c r="BE102" i="20" s="1"/>
  <c r="BJ96" i="20"/>
  <c r="AR19" i="20"/>
  <c r="AV13" i="20"/>
  <c r="BL13" i="20" s="1"/>
  <c r="AV94" i="20"/>
  <c r="BL94" i="20" s="1"/>
  <c r="BF206" i="20"/>
  <c r="AG98" i="20"/>
  <c r="AI98" i="20" s="1"/>
  <c r="BF98" i="20" s="1"/>
  <c r="AN10" i="20"/>
  <c r="BE10" i="20" s="1"/>
  <c r="BF9" i="20"/>
  <c r="AE78" i="20"/>
  <c r="BE78" i="20" s="1"/>
  <c r="AI86" i="20"/>
  <c r="BF86" i="20" s="1"/>
  <c r="AN19" i="20"/>
  <c r="BE19" i="20" s="1"/>
  <c r="R73" i="20"/>
  <c r="T73" i="20" s="1"/>
  <c r="BI73" i="20" s="1"/>
  <c r="AN101" i="20"/>
  <c r="AE52" i="20"/>
  <c r="AN69" i="20"/>
  <c r="BF83" i="20"/>
  <c r="BE206" i="20"/>
  <c r="AI107" i="20"/>
  <c r="BF107" i="20" s="1"/>
  <c r="AE82" i="20"/>
  <c r="BE82" i="20" s="1"/>
  <c r="BJ167" i="20"/>
  <c r="AG89" i="20"/>
  <c r="AI89" i="20" s="1"/>
  <c r="BK89" i="20" s="1"/>
  <c r="AV102" i="20"/>
  <c r="BL102" i="20" s="1"/>
  <c r="AE74" i="20"/>
  <c r="BE74" i="20" s="1"/>
  <c r="R19" i="20"/>
  <c r="T19" i="20" s="1"/>
  <c r="BI19" i="20" s="1"/>
  <c r="R12" i="20"/>
  <c r="T12" i="20" s="1"/>
  <c r="BI12" i="20" s="1"/>
  <c r="AV62" i="20"/>
  <c r="BL62" i="20" s="1"/>
  <c r="R93" i="20"/>
  <c r="T93" i="20" s="1"/>
  <c r="BI93" i="20" s="1"/>
  <c r="AV20" i="20"/>
  <c r="BL20" i="20" s="1"/>
  <c r="R39" i="20"/>
  <c r="T39" i="20" s="1"/>
  <c r="BI39" i="20" s="1"/>
  <c r="AR10" i="20"/>
  <c r="BF10" i="20" s="1"/>
  <c r="R46" i="20"/>
  <c r="T46" i="20" s="1"/>
  <c r="BI46" i="20" s="1"/>
  <c r="BF159" i="20"/>
  <c r="R78" i="20"/>
  <c r="T78" i="20" s="1"/>
  <c r="BI78" i="20" s="1"/>
  <c r="R81" i="20"/>
  <c r="T81" i="20" s="1"/>
  <c r="BI81" i="20" s="1"/>
  <c r="AV12" i="20"/>
  <c r="BL12" i="20" s="1"/>
  <c r="AE72" i="20"/>
  <c r="BE72" i="20" s="1"/>
  <c r="AI62" i="20"/>
  <c r="BK62" i="20" s="1"/>
  <c r="BK64" i="20"/>
  <c r="BB139" i="20"/>
  <c r="BD139" i="20" s="1"/>
  <c r="BH139" i="20" s="1"/>
  <c r="AN26" i="20"/>
  <c r="AN86" i="20"/>
  <c r="BK38" i="21"/>
  <c r="BE38" i="21" s="1"/>
  <c r="BL19" i="21"/>
  <c r="BF19" i="21" s="1"/>
  <c r="BK46" i="21"/>
  <c r="BE46" i="21" s="1"/>
  <c r="BK48" i="21"/>
  <c r="BE48" i="21" s="1"/>
  <c r="BL10" i="21"/>
  <c r="BF10" i="21" s="1"/>
  <c r="BK91" i="21"/>
  <c r="BE91" i="21" s="1"/>
  <c r="BK92" i="21"/>
  <c r="BE92" i="21" s="1"/>
  <c r="BK108" i="21"/>
  <c r="BE108" i="21" s="1"/>
  <c r="BK78" i="21"/>
  <c r="BE78" i="21" s="1"/>
  <c r="BK64" i="21"/>
  <c r="BE64" i="21" s="1"/>
  <c r="BK61" i="21"/>
  <c r="BE61" i="21" s="1"/>
  <c r="BK96" i="21"/>
  <c r="BE96" i="21" s="1"/>
  <c r="BK41" i="21"/>
  <c r="BE41" i="21" s="1"/>
  <c r="BK54" i="21"/>
  <c r="BE54" i="21" s="1"/>
  <c r="BL42" i="21"/>
  <c r="BF42" i="21" s="1"/>
  <c r="BL11" i="21"/>
  <c r="BF11" i="21" s="1"/>
  <c r="BJ179" i="20"/>
  <c r="BL37" i="21"/>
  <c r="BF37" i="21" s="1"/>
  <c r="AR97" i="20"/>
  <c r="AE23" i="20"/>
  <c r="AE41" i="20"/>
  <c r="BE41" i="20" s="1"/>
  <c r="AV82" i="20"/>
  <c r="BL82" i="20" s="1"/>
  <c r="AR102" i="20"/>
  <c r="AN98" i="20"/>
  <c r="AI93" i="20"/>
  <c r="BF93" i="20" s="1"/>
  <c r="AE97" i="20"/>
  <c r="BE97" i="20" s="1"/>
  <c r="BB96" i="20"/>
  <c r="BD96" i="20" s="1"/>
  <c r="BH96" i="20" s="1"/>
  <c r="AG97" i="20"/>
  <c r="AI97" i="20" s="1"/>
  <c r="BF97" i="20" s="1"/>
  <c r="AI104" i="20"/>
  <c r="BF104" i="20" s="1"/>
  <c r="AN14" i="20"/>
  <c r="BE14" i="20" s="1"/>
  <c r="AN36" i="20"/>
  <c r="BJ64" i="20"/>
  <c r="AN81" i="20"/>
  <c r="BF167" i="20"/>
  <c r="AI44" i="20"/>
  <c r="R86" i="20"/>
  <c r="T86" i="20" s="1"/>
  <c r="BI86" i="20" s="1"/>
  <c r="AR89" i="20"/>
  <c r="AE104" i="20"/>
  <c r="BE104" i="20" s="1"/>
  <c r="AR86" i="20"/>
  <c r="AE105" i="20"/>
  <c r="AI69" i="20"/>
  <c r="BK69" i="20" s="1"/>
  <c r="AN44" i="20"/>
  <c r="BJ63" i="20"/>
  <c r="AV93" i="20"/>
  <c r="BL93" i="20" s="1"/>
  <c r="R105" i="20"/>
  <c r="T105" i="20" s="1"/>
  <c r="BI105" i="20" s="1"/>
  <c r="AE106" i="20"/>
  <c r="BE106" i="20" s="1"/>
  <c r="AN30" i="20"/>
  <c r="AG101" i="20"/>
  <c r="AI101" i="20" s="1"/>
  <c r="BK101" i="20" s="1"/>
  <c r="AN13" i="20"/>
  <c r="BE13" i="20" s="1"/>
  <c r="R36" i="20"/>
  <c r="T36" i="20" s="1"/>
  <c r="BI36" i="20" s="1"/>
  <c r="AR82" i="20"/>
  <c r="AE65" i="20"/>
  <c r="BE65" i="20" s="1"/>
  <c r="AG85" i="20"/>
  <c r="AI85" i="20" s="1"/>
  <c r="BF85" i="20" s="1"/>
  <c r="R102" i="20"/>
  <c r="T102" i="20" s="1"/>
  <c r="BI102" i="20" s="1"/>
  <c r="AR66" i="20"/>
  <c r="BJ139" i="20"/>
  <c r="BK139" i="20"/>
  <c r="BF12" i="20"/>
  <c r="R101" i="20"/>
  <c r="T101" i="20" s="1"/>
  <c r="BI101" i="20" s="1"/>
  <c r="BJ196" i="20"/>
  <c r="AE98" i="20"/>
  <c r="BE98" i="20" s="1"/>
  <c r="AE94" i="20"/>
  <c r="BE94" i="20" s="1"/>
  <c r="AE44" i="20"/>
  <c r="BB167" i="20"/>
  <c r="BD167" i="20" s="1"/>
  <c r="BH167" i="20" s="1"/>
  <c r="AI77" i="20"/>
  <c r="BK77" i="20" s="1"/>
  <c r="AN12" i="20"/>
  <c r="AR104" i="20"/>
  <c r="T107" i="20"/>
  <c r="BI107" i="20" s="1"/>
  <c r="AV52" i="20"/>
  <c r="BL52" i="20" s="1"/>
  <c r="R94" i="20"/>
  <c r="T94" i="20" s="1"/>
  <c r="BI94" i="20" s="1"/>
  <c r="AE69" i="20"/>
  <c r="BE69" i="20" s="1"/>
  <c r="BJ151" i="20"/>
  <c r="BL85" i="21"/>
  <c r="BF85" i="21" s="1"/>
  <c r="BL90" i="21"/>
  <c r="BF90" i="21" s="1"/>
  <c r="AI42" i="20"/>
  <c r="BK42" i="20" s="1"/>
  <c r="AI78" i="20"/>
  <c r="BF78" i="20" s="1"/>
  <c r="AE101" i="20"/>
  <c r="BE101" i="20" s="1"/>
  <c r="AV78" i="20"/>
  <c r="BL78" i="20" s="1"/>
  <c r="R65" i="20"/>
  <c r="T65" i="20" s="1"/>
  <c r="BI65" i="20" s="1"/>
  <c r="AI66" i="20"/>
  <c r="R98" i="20"/>
  <c r="T98" i="20" s="1"/>
  <c r="BI98" i="20" s="1"/>
  <c r="BB179" i="20"/>
  <c r="BD179" i="20" s="1"/>
  <c r="BH179" i="20" s="1"/>
  <c r="AR61" i="20"/>
  <c r="R44" i="20"/>
  <c r="T44" i="20" s="1"/>
  <c r="BI44" i="20" s="1"/>
  <c r="AV44" i="20"/>
  <c r="BL44" i="20" s="1"/>
  <c r="BB152" i="20"/>
  <c r="BD152" i="20" s="1"/>
  <c r="BH152" i="20" s="1"/>
  <c r="BB181" i="20"/>
  <c r="BD181" i="20" s="1"/>
  <c r="BH181" i="20" s="1"/>
  <c r="BJ159" i="20"/>
  <c r="BB206" i="20"/>
  <c r="BD206" i="20" s="1"/>
  <c r="BH206" i="20" s="1"/>
  <c r="BB159" i="20"/>
  <c r="BD159" i="20" s="1"/>
  <c r="BH159" i="20" s="1"/>
  <c r="BJ181" i="20"/>
  <c r="BL97" i="21"/>
  <c r="BF97" i="21" s="1"/>
  <c r="BK9" i="21"/>
  <c r="BE9" i="21" s="1"/>
  <c r="BJ191" i="20"/>
  <c r="BK70" i="21"/>
  <c r="BE70" i="21" s="1"/>
  <c r="BL101" i="21"/>
  <c r="BF101" i="21" s="1"/>
  <c r="BB172" i="20"/>
  <c r="BD172" i="20" s="1"/>
  <c r="BH172" i="20" s="1"/>
  <c r="BL35" i="21"/>
  <c r="BF35" i="21" s="1"/>
  <c r="BJ172" i="20"/>
  <c r="AE42" i="20"/>
  <c r="BE42" i="20" s="1"/>
  <c r="AE53" i="20"/>
  <c r="AR72" i="20"/>
  <c r="AN52" i="20"/>
  <c r="BE173" i="20"/>
  <c r="BJ173" i="20"/>
  <c r="BB173" i="20"/>
  <c r="BD173" i="20" s="1"/>
  <c r="BH173" i="20" s="1"/>
  <c r="BE196" i="20"/>
  <c r="BK63" i="20"/>
  <c r="AV107" i="20"/>
  <c r="BL107" i="20" s="1"/>
  <c r="BB64" i="20"/>
  <c r="BD64" i="20" s="1"/>
  <c r="BH64" i="20" s="1"/>
  <c r="R97" i="20"/>
  <c r="T97" i="20" s="1"/>
  <c r="BI97" i="20" s="1"/>
  <c r="R82" i="20"/>
  <c r="T82" i="20" s="1"/>
  <c r="BI82" i="20" s="1"/>
  <c r="AE66" i="20"/>
  <c r="BE66" i="20" s="1"/>
  <c r="BJ206" i="20"/>
  <c r="BF112" i="20"/>
  <c r="BF164" i="20"/>
  <c r="BB151" i="20"/>
  <c r="BD151" i="20" s="1"/>
  <c r="BH151" i="20" s="1"/>
  <c r="BF190" i="20"/>
  <c r="BB196" i="20"/>
  <c r="BD196" i="20" s="1"/>
  <c r="BH196" i="20" s="1"/>
  <c r="BE124" i="20"/>
  <c r="BE68" i="20"/>
  <c r="BE176" i="20"/>
  <c r="BE148" i="20"/>
  <c r="BE170" i="20"/>
  <c r="BE164" i="20"/>
  <c r="BE149" i="20"/>
  <c r="BE194" i="20"/>
  <c r="BE130" i="20"/>
  <c r="BE195" i="20"/>
  <c r="BL67" i="21"/>
  <c r="BF67" i="21" s="1"/>
  <c r="BE200" i="20"/>
  <c r="BE166" i="20"/>
  <c r="AR88" i="20"/>
  <c r="BE89" i="20"/>
  <c r="AS104" i="20"/>
  <c r="R104" i="20"/>
  <c r="T104" i="20" s="1"/>
  <c r="BI104" i="20" s="1"/>
  <c r="AN107" i="20"/>
  <c r="BL55" i="21"/>
  <c r="BF55" i="21" s="1"/>
  <c r="AR23" i="20"/>
  <c r="AR65" i="20"/>
  <c r="AE88" i="20"/>
  <c r="BE88" i="20" s="1"/>
  <c r="BB80" i="20"/>
  <c r="BD80" i="20" s="1"/>
  <c r="BH80" i="20" s="1"/>
  <c r="R72" i="20"/>
  <c r="T72" i="20" s="1"/>
  <c r="BI72" i="20" s="1"/>
  <c r="BK36" i="21"/>
  <c r="BE36" i="21" s="1"/>
  <c r="BK81" i="21"/>
  <c r="BE81" i="21" s="1"/>
  <c r="AI37" i="20"/>
  <c r="BK37" i="20" s="1"/>
  <c r="AI18" i="20"/>
  <c r="BK18" i="20" s="1"/>
  <c r="BE63" i="20"/>
  <c r="BE27" i="20"/>
  <c r="BE55" i="20"/>
  <c r="BE81" i="20"/>
  <c r="AV74" i="20"/>
  <c r="BL74" i="20" s="1"/>
  <c r="BF71" i="20"/>
  <c r="AS88" i="20"/>
  <c r="R88" i="20"/>
  <c r="T88" i="20" s="1"/>
  <c r="BI88" i="20" s="1"/>
  <c r="AG72" i="20"/>
  <c r="AI72" i="20" s="1"/>
  <c r="BF72" i="20" s="1"/>
  <c r="AV72" i="20"/>
  <c r="BL72" i="20" s="1"/>
  <c r="R26" i="20"/>
  <c r="T26" i="20" s="1"/>
  <c r="BI26" i="20" s="1"/>
  <c r="AV31" i="20"/>
  <c r="BL31" i="20" s="1"/>
  <c r="R49" i="20"/>
  <c r="T49" i="20" s="1"/>
  <c r="BI49" i="20" s="1"/>
  <c r="AE30" i="20"/>
  <c r="BK37" i="21"/>
  <c r="BE37" i="21" s="1"/>
  <c r="BK18" i="21"/>
  <c r="BE18" i="21" s="1"/>
  <c r="BK20" i="21"/>
  <c r="BE20" i="21" s="1"/>
  <c r="BL76" i="21"/>
  <c r="BF76" i="21" s="1"/>
  <c r="BK74" i="21"/>
  <c r="BE74" i="21" s="1"/>
  <c r="AN29" i="20"/>
  <c r="AR26" i="20"/>
  <c r="BL82" i="21"/>
  <c r="BF82" i="21" s="1"/>
  <c r="BL106" i="21"/>
  <c r="BF106" i="21" s="1"/>
  <c r="BL47" i="21"/>
  <c r="BF47" i="21" s="1"/>
  <c r="AR30" i="20"/>
  <c r="AN25" i="20"/>
  <c r="BE25" i="20" s="1"/>
  <c r="R33" i="20"/>
  <c r="T33" i="20" s="1"/>
  <c r="BI33" i="20" s="1"/>
  <c r="AE54" i="20"/>
  <c r="AE45" i="20"/>
  <c r="BE45" i="20" s="1"/>
  <c r="AV34" i="20"/>
  <c r="BL34" i="20" s="1"/>
  <c r="R53" i="20"/>
  <c r="T53" i="20" s="1"/>
  <c r="BI53" i="20" s="1"/>
  <c r="R42" i="20"/>
  <c r="T42" i="20" s="1"/>
  <c r="BI42" i="20" s="1"/>
  <c r="BL99" i="21"/>
  <c r="BF99" i="21" s="1"/>
  <c r="BL59" i="21"/>
  <c r="BF59" i="21" s="1"/>
  <c r="AE49" i="20"/>
  <c r="BE49" i="20" s="1"/>
  <c r="AR109" i="20"/>
  <c r="AN31" i="20"/>
  <c r="BE31" i="20" s="1"/>
  <c r="BL81" i="21"/>
  <c r="BF81" i="21" s="1"/>
  <c r="AR17" i="20"/>
  <c r="BF17" i="20" s="1"/>
  <c r="AR21" i="20"/>
  <c r="AN17" i="20"/>
  <c r="AV53" i="20"/>
  <c r="BL53" i="20" s="1"/>
  <c r="R30" i="20"/>
  <c r="T30" i="20" s="1"/>
  <c r="BI30" i="20" s="1"/>
  <c r="BK176" i="20"/>
  <c r="BL36" i="21"/>
  <c r="BF36" i="21" s="1"/>
  <c r="BK44" i="21"/>
  <c r="BE44" i="21" s="1"/>
  <c r="AI21" i="20"/>
  <c r="BK21" i="20" s="1"/>
  <c r="AS31" i="20"/>
  <c r="R31" i="20"/>
  <c r="T31" i="20" s="1"/>
  <c r="BI31" i="20" s="1"/>
  <c r="AV21" i="20"/>
  <c r="BL21" i="20" s="1"/>
  <c r="AR13" i="20"/>
  <c r="BF13" i="20" s="1"/>
  <c r="BJ55" i="20"/>
  <c r="AR33" i="20"/>
  <c r="BJ203" i="20"/>
  <c r="BK165" i="20"/>
  <c r="BJ185" i="20"/>
  <c r="BK208" i="20"/>
  <c r="BK85" i="21"/>
  <c r="BE85" i="21" s="1"/>
  <c r="BL105" i="21"/>
  <c r="BF105" i="21" s="1"/>
  <c r="BE40" i="20"/>
  <c r="BE22" i="20"/>
  <c r="BJ66" i="21"/>
  <c r="BL109" i="21"/>
  <c r="BF109" i="21" s="1"/>
  <c r="AI41" i="20"/>
  <c r="BK41" i="20" s="1"/>
  <c r="BB63" i="20"/>
  <c r="BD63" i="20" s="1"/>
  <c r="BH63" i="20" s="1"/>
  <c r="AE26" i="20"/>
  <c r="BK55" i="20"/>
  <c r="BI63" i="20"/>
  <c r="R29" i="20"/>
  <c r="T29" i="20" s="1"/>
  <c r="BI29" i="20" s="1"/>
  <c r="AV70" i="20"/>
  <c r="BL70" i="20" s="1"/>
  <c r="R37" i="20"/>
  <c r="T37" i="20" s="1"/>
  <c r="BI37" i="20" s="1"/>
  <c r="AV17" i="20"/>
  <c r="BL17" i="20" s="1"/>
  <c r="R85" i="20"/>
  <c r="T85" i="20" s="1"/>
  <c r="BI85" i="20" s="1"/>
  <c r="AE61" i="20"/>
  <c r="BE61" i="20" s="1"/>
  <c r="BK166" i="20"/>
  <c r="BL89" i="21"/>
  <c r="BF89" i="21" s="1"/>
  <c r="BL93" i="21"/>
  <c r="BF93" i="21" s="1"/>
  <c r="BL45" i="21"/>
  <c r="BF45" i="21" s="1"/>
  <c r="BL62" i="21"/>
  <c r="BF62" i="21" s="1"/>
  <c r="AE34" i="20"/>
  <c r="AE46" i="20"/>
  <c r="BE46" i="20" s="1"/>
  <c r="AR49" i="20"/>
  <c r="AV37" i="20"/>
  <c r="BL37" i="20" s="1"/>
  <c r="AI58" i="20"/>
  <c r="AI30" i="20"/>
  <c r="BK30" i="20" s="1"/>
  <c r="BK84" i="20"/>
  <c r="AV29" i="20"/>
  <c r="BL29" i="20" s="1"/>
  <c r="BK87" i="20"/>
  <c r="BK52" i="20"/>
  <c r="AE50" i="20"/>
  <c r="BK134" i="20"/>
  <c r="BB22" i="21"/>
  <c r="BD22" i="21" s="1"/>
  <c r="BH22" i="21" s="1"/>
  <c r="BL43" i="21"/>
  <c r="BF43" i="21" s="1"/>
  <c r="AR42" i="20"/>
  <c r="AR41" i="20"/>
  <c r="BL56" i="21"/>
  <c r="BF56" i="21" s="1"/>
  <c r="BB58" i="21"/>
  <c r="BD58" i="21" s="1"/>
  <c r="BH58" i="21" s="1"/>
  <c r="BL63" i="21"/>
  <c r="BF63" i="21" s="1"/>
  <c r="BJ74" i="21"/>
  <c r="AN37" i="20"/>
  <c r="BF40" i="20"/>
  <c r="AV18" i="20"/>
  <c r="BL18" i="20" s="1"/>
  <c r="BF22" i="20"/>
  <c r="AI53" i="20"/>
  <c r="BK53" i="20" s="1"/>
  <c r="R50" i="20"/>
  <c r="T50" i="20" s="1"/>
  <c r="BI50" i="20" s="1"/>
  <c r="AN18" i="20"/>
  <c r="BE18" i="20" s="1"/>
  <c r="R41" i="20"/>
  <c r="T41" i="20" s="1"/>
  <c r="BI41" i="20" s="1"/>
  <c r="R61" i="20"/>
  <c r="T61" i="20" s="1"/>
  <c r="BI61" i="20" s="1"/>
  <c r="R66" i="20"/>
  <c r="T66" i="20" s="1"/>
  <c r="BI66" i="20" s="1"/>
  <c r="AR34" i="20"/>
  <c r="BF34" i="20" s="1"/>
  <c r="BK118" i="20"/>
  <c r="BJ208" i="20"/>
  <c r="BK130" i="20"/>
  <c r="BK161" i="20"/>
  <c r="BK25" i="21"/>
  <c r="BE25" i="21" s="1"/>
  <c r="BK39" i="21"/>
  <c r="BE39" i="21" s="1"/>
  <c r="BK68" i="21"/>
  <c r="BE68" i="21" s="1"/>
  <c r="BL15" i="21"/>
  <c r="BF15" i="21" s="1"/>
  <c r="AE57" i="20"/>
  <c r="BE57" i="20" s="1"/>
  <c r="R10" i="20"/>
  <c r="T10" i="20" s="1"/>
  <c r="AV46" i="20"/>
  <c r="BL46" i="20" s="1"/>
  <c r="AI54" i="20"/>
  <c r="BF54" i="20" s="1"/>
  <c r="R57" i="20"/>
  <c r="T57" i="20" s="1"/>
  <c r="BI57" i="20" s="1"/>
  <c r="R54" i="20"/>
  <c r="T54" i="20" s="1"/>
  <c r="BI54" i="20" s="1"/>
  <c r="BJ56" i="20"/>
  <c r="AV41" i="20"/>
  <c r="BL41" i="20" s="1"/>
  <c r="BJ162" i="20"/>
  <c r="BK201" i="20"/>
  <c r="BB118" i="20"/>
  <c r="BD118" i="20" s="1"/>
  <c r="BH118" i="20" s="1"/>
  <c r="BJ165" i="20"/>
  <c r="BJ120" i="20"/>
  <c r="BK120" i="20"/>
  <c r="BB204" i="20"/>
  <c r="BD204" i="20" s="1"/>
  <c r="BH204" i="20" s="1"/>
  <c r="BL86" i="21"/>
  <c r="BF86" i="21" s="1"/>
  <c r="BB74" i="21"/>
  <c r="BD74" i="21" s="1"/>
  <c r="BH74" i="21" s="1"/>
  <c r="BL65" i="21"/>
  <c r="BF65" i="21" s="1"/>
  <c r="BL41" i="21"/>
  <c r="BF41" i="21" s="1"/>
  <c r="BK43" i="21"/>
  <c r="BE43" i="21" s="1"/>
  <c r="BJ45" i="21"/>
  <c r="BL20" i="21"/>
  <c r="BF20" i="21" s="1"/>
  <c r="BL24" i="21"/>
  <c r="BF24" i="21" s="1"/>
  <c r="BJ83" i="20"/>
  <c r="AG61" i="20"/>
  <c r="AI61" i="20" s="1"/>
  <c r="R25" i="20"/>
  <c r="T25" i="20" s="1"/>
  <c r="BI25" i="20" s="1"/>
  <c r="AI38" i="20"/>
  <c r="BF38" i="20" s="1"/>
  <c r="AV38" i="20"/>
  <c r="BL38" i="20" s="1"/>
  <c r="AI45" i="20"/>
  <c r="BK45" i="20" s="1"/>
  <c r="AE58" i="20"/>
  <c r="BE58" i="20" s="1"/>
  <c r="BF178" i="20"/>
  <c r="BK178" i="20"/>
  <c r="R13" i="20"/>
  <c r="T13" i="20" s="1"/>
  <c r="BI13" i="20" s="1"/>
  <c r="BB83" i="20"/>
  <c r="BD83" i="20" s="1"/>
  <c r="BH83" i="20" s="1"/>
  <c r="AV45" i="20"/>
  <c r="BL45" i="20" s="1"/>
  <c r="R34" i="20"/>
  <c r="T34" i="20" s="1"/>
  <c r="BI34" i="20" s="1"/>
  <c r="AR45" i="20"/>
  <c r="AN34" i="20"/>
  <c r="BJ146" i="20"/>
  <c r="BJ150" i="20"/>
  <c r="BK136" i="20"/>
  <c r="BJ166" i="20"/>
  <c r="BJ62" i="21"/>
  <c r="BL96" i="21"/>
  <c r="BF96" i="21" s="1"/>
  <c r="BL104" i="21"/>
  <c r="BF104" i="21" s="1"/>
  <c r="BJ42" i="21"/>
  <c r="BJ47" i="21"/>
  <c r="BL17" i="21"/>
  <c r="BF17" i="21" s="1"/>
  <c r="BK56" i="21"/>
  <c r="BE56" i="21" s="1"/>
  <c r="BK80" i="21"/>
  <c r="BE80" i="21" s="1"/>
  <c r="BL32" i="21"/>
  <c r="BF32" i="21" s="1"/>
  <c r="BK58" i="21"/>
  <c r="BE58" i="21" s="1"/>
  <c r="BB53" i="21"/>
  <c r="BD53" i="21" s="1"/>
  <c r="BH53" i="21" s="1"/>
  <c r="AV42" i="20"/>
  <c r="BL42" i="20" s="1"/>
  <c r="AS45" i="20"/>
  <c r="R45" i="20"/>
  <c r="T45" i="20" s="1"/>
  <c r="BI45" i="20" s="1"/>
  <c r="AR46" i="20"/>
  <c r="BJ106" i="21"/>
  <c r="AN53" i="20"/>
  <c r="AS58" i="20"/>
  <c r="R58" i="20"/>
  <c r="T58" i="20" s="1"/>
  <c r="BI58" i="20" s="1"/>
  <c r="AN21" i="20"/>
  <c r="BE21" i="20" s="1"/>
  <c r="AI29" i="20"/>
  <c r="BF29" i="20" s="1"/>
  <c r="AV81" i="20"/>
  <c r="BL81" i="20" s="1"/>
  <c r="BK75" i="20"/>
  <c r="BB56" i="20"/>
  <c r="BD56" i="20" s="1"/>
  <c r="BH56" i="20" s="1"/>
  <c r="AV57" i="20"/>
  <c r="BL57" i="20" s="1"/>
  <c r="AR58" i="20"/>
  <c r="BK204" i="20"/>
  <c r="BK188" i="20"/>
  <c r="BJ161" i="20"/>
  <c r="BK150" i="20"/>
  <c r="BJ188" i="20"/>
  <c r="BK146" i="20"/>
  <c r="BK203" i="20"/>
  <c r="BJ134" i="20"/>
  <c r="AR57" i="20"/>
  <c r="BL73" i="21"/>
  <c r="BF73" i="21" s="1"/>
  <c r="BL49" i="21"/>
  <c r="BF49" i="21" s="1"/>
  <c r="BL103" i="21"/>
  <c r="BF103" i="21" s="1"/>
  <c r="BL54" i="21"/>
  <c r="BF54" i="21" s="1"/>
  <c r="BL39" i="21"/>
  <c r="BF39" i="21" s="1"/>
  <c r="BL34" i="21"/>
  <c r="BF34" i="21" s="1"/>
  <c r="BL21" i="21"/>
  <c r="BF21" i="21" s="1"/>
  <c r="AV58" i="20"/>
  <c r="BL58" i="20" s="1"/>
  <c r="BJ44" i="21"/>
  <c r="AI57" i="20"/>
  <c r="BK57" i="20" s="1"/>
  <c r="R21" i="20"/>
  <c r="T21" i="20" s="1"/>
  <c r="AV10" i="20"/>
  <c r="BL10" i="20" s="1"/>
  <c r="AG106" i="20"/>
  <c r="AI106" i="20" s="1"/>
  <c r="BF106" i="20" s="1"/>
  <c r="AN38" i="20"/>
  <c r="BJ71" i="20"/>
  <c r="BJ14" i="21"/>
  <c r="BJ43" i="21"/>
  <c r="BL78" i="21"/>
  <c r="BF78" i="21" s="1"/>
  <c r="BL108" i="21"/>
  <c r="BF108" i="21" s="1"/>
  <c r="BL75" i="21"/>
  <c r="BF75" i="21" s="1"/>
  <c r="BL38" i="21"/>
  <c r="BF38" i="21" s="1"/>
  <c r="BL71" i="21"/>
  <c r="BF71" i="21" s="1"/>
  <c r="BB109" i="21"/>
  <c r="BD109" i="21" s="1"/>
  <c r="BH109" i="21" s="1"/>
  <c r="BK57" i="21"/>
  <c r="BE57" i="21" s="1"/>
  <c r="BK26" i="21"/>
  <c r="BE26" i="21" s="1"/>
  <c r="BK52" i="21"/>
  <c r="BE52" i="21" s="1"/>
  <c r="BK60" i="21"/>
  <c r="BE60" i="21" s="1"/>
  <c r="BK100" i="21"/>
  <c r="BE100" i="21" s="1"/>
  <c r="BJ10" i="21"/>
  <c r="BL88" i="21"/>
  <c r="BF88" i="21" s="1"/>
  <c r="BK29" i="21"/>
  <c r="BE29" i="21" s="1"/>
  <c r="BL13" i="21"/>
  <c r="BF13" i="21" s="1"/>
  <c r="BL33" i="21"/>
  <c r="BF33" i="21" s="1"/>
  <c r="BL27" i="21"/>
  <c r="BF27" i="21" s="1"/>
  <c r="BK79" i="21"/>
  <c r="BE79" i="21" s="1"/>
  <c r="BK95" i="21"/>
  <c r="BE95" i="21" s="1"/>
  <c r="BK98" i="21"/>
  <c r="BE98" i="21" s="1"/>
  <c r="BK106" i="21"/>
  <c r="BE106" i="21" s="1"/>
  <c r="BK65" i="21"/>
  <c r="BE65" i="21" s="1"/>
  <c r="BJ67" i="21"/>
  <c r="BJ84" i="21"/>
  <c r="BJ53" i="21"/>
  <c r="BL92" i="21"/>
  <c r="BF92" i="21" s="1"/>
  <c r="BB76" i="21"/>
  <c r="BD76" i="21" s="1"/>
  <c r="BH76" i="21" s="1"/>
  <c r="BL51" i="21"/>
  <c r="BF51" i="21" s="1"/>
  <c r="BL100" i="21"/>
  <c r="BF100" i="21" s="1"/>
  <c r="BB101" i="21"/>
  <c r="BD101" i="21" s="1"/>
  <c r="BH101" i="21" s="1"/>
  <c r="BK53" i="21"/>
  <c r="BE53" i="21" s="1"/>
  <c r="BJ102" i="21"/>
  <c r="BB67" i="21"/>
  <c r="BD67" i="21" s="1"/>
  <c r="BH67" i="21" s="1"/>
  <c r="BJ142" i="20"/>
  <c r="BB45" i="21"/>
  <c r="BD45" i="21" s="1"/>
  <c r="BH45" i="21" s="1"/>
  <c r="BB55" i="21"/>
  <c r="BD55" i="21" s="1"/>
  <c r="BH55" i="21" s="1"/>
  <c r="BL40" i="21"/>
  <c r="BF40" i="21" s="1"/>
  <c r="BL48" i="21"/>
  <c r="BF48" i="21" s="1"/>
  <c r="BL79" i="21"/>
  <c r="BF79" i="21" s="1"/>
  <c r="BL50" i="21"/>
  <c r="BF50" i="21" s="1"/>
  <c r="BL69" i="21"/>
  <c r="BF69" i="21" s="1"/>
  <c r="BL77" i="21"/>
  <c r="BF77" i="21" s="1"/>
  <c r="BJ21" i="21"/>
  <c r="BB66" i="21"/>
  <c r="BD66" i="21" s="1"/>
  <c r="BH66" i="21" s="1"/>
  <c r="BJ76" i="21"/>
  <c r="BL80" i="21"/>
  <c r="BF80" i="21" s="1"/>
  <c r="BL52" i="21"/>
  <c r="BF52" i="21" s="1"/>
  <c r="BJ63" i="21"/>
  <c r="BJ109" i="21"/>
  <c r="BL23" i="21"/>
  <c r="BF23" i="21" s="1"/>
  <c r="BL18" i="21"/>
  <c r="BF18" i="21" s="1"/>
  <c r="BK45" i="21"/>
  <c r="BE45" i="21" s="1"/>
  <c r="BL60" i="21"/>
  <c r="BF60" i="21" s="1"/>
  <c r="BL95" i="21"/>
  <c r="BF95" i="21" s="1"/>
  <c r="BK88" i="21"/>
  <c r="BE88" i="21" s="1"/>
  <c r="BK104" i="21"/>
  <c r="BE104" i="21" s="1"/>
  <c r="BK84" i="21"/>
  <c r="BE84" i="21" s="1"/>
  <c r="BK28" i="21"/>
  <c r="BE28" i="21" s="1"/>
  <c r="BK107" i="21"/>
  <c r="BE107" i="21" s="1"/>
  <c r="BK35" i="21"/>
  <c r="BE35" i="21" s="1"/>
  <c r="BK94" i="21"/>
  <c r="BE94" i="21" s="1"/>
  <c r="BK49" i="21"/>
  <c r="BE49" i="21" s="1"/>
  <c r="BK66" i="21"/>
  <c r="BE66" i="21" s="1"/>
  <c r="BJ55" i="21"/>
  <c r="BJ130" i="20"/>
  <c r="BJ136" i="20"/>
  <c r="BB47" i="21"/>
  <c r="BD47" i="21" s="1"/>
  <c r="BH47" i="21" s="1"/>
  <c r="BJ16" i="21"/>
  <c r="BB83" i="21"/>
  <c r="BD83" i="21" s="1"/>
  <c r="BH83" i="21" s="1"/>
  <c r="BB70" i="21"/>
  <c r="BD70" i="21" s="1"/>
  <c r="BH70" i="21" s="1"/>
  <c r="BJ70" i="21"/>
  <c r="BB63" i="21"/>
  <c r="BD63" i="21" s="1"/>
  <c r="BH63" i="21" s="1"/>
  <c r="BJ32" i="21"/>
  <c r="BJ17" i="21"/>
  <c r="BJ9" i="21"/>
  <c r="BJ83" i="21"/>
  <c r="BL87" i="21"/>
  <c r="BF87" i="21" s="1"/>
  <c r="BJ90" i="21"/>
  <c r="BB30" i="21"/>
  <c r="BD30" i="21" s="1"/>
  <c r="BH30" i="21" s="1"/>
  <c r="BB90" i="21"/>
  <c r="BD90" i="21" s="1"/>
  <c r="BH90" i="21" s="1"/>
  <c r="BB62" i="21"/>
  <c r="BD62" i="21" s="1"/>
  <c r="BH62" i="21" s="1"/>
  <c r="BK67" i="21"/>
  <c r="BE67" i="21" s="1"/>
  <c r="BB14" i="21"/>
  <c r="BD14" i="21" s="1"/>
  <c r="BH14" i="21" s="1"/>
  <c r="BB57" i="21"/>
  <c r="BD57" i="21" s="1"/>
  <c r="BH57" i="21" s="1"/>
  <c r="BI109" i="21"/>
  <c r="BJ57" i="21"/>
  <c r="BB44" i="21"/>
  <c r="BD44" i="21" s="1"/>
  <c r="BH44" i="21" s="1"/>
  <c r="BB106" i="21"/>
  <c r="BD106" i="21" s="1"/>
  <c r="BH106" i="21" s="1"/>
  <c r="BJ18" i="21"/>
  <c r="BI101" i="21"/>
  <c r="BJ58" i="21"/>
  <c r="BB15" i="21"/>
  <c r="BD15" i="21" s="1"/>
  <c r="BH15" i="21" s="1"/>
  <c r="BJ101" i="21"/>
  <c r="BJ34" i="21"/>
  <c r="BB9" i="21"/>
  <c r="BD9" i="21" s="1"/>
  <c r="BH9" i="21" s="1"/>
  <c r="BJ56" i="21"/>
  <c r="BJ11" i="21"/>
  <c r="BJ82" i="21"/>
  <c r="BJ81" i="21"/>
  <c r="BJ93" i="21"/>
  <c r="BJ15" i="21"/>
  <c r="BJ99" i="21"/>
  <c r="BJ72" i="21"/>
  <c r="BJ24" i="21"/>
  <c r="BK102" i="21"/>
  <c r="BE102" i="21" s="1"/>
  <c r="BL14" i="21"/>
  <c r="BF14" i="21" s="1"/>
  <c r="BL46" i="21"/>
  <c r="BF46" i="21" s="1"/>
  <c r="AV49" i="20"/>
  <c r="BL49" i="20" s="1"/>
  <c r="AN54" i="20"/>
  <c r="AR70" i="20"/>
  <c r="AN50" i="20"/>
  <c r="AR69" i="20"/>
  <c r="BJ118" i="20"/>
  <c r="BF137" i="20"/>
  <c r="BJ137" i="20"/>
  <c r="BF160" i="20"/>
  <c r="BJ160" i="20"/>
  <c r="BF135" i="20"/>
  <c r="BJ135" i="20"/>
  <c r="BF115" i="20"/>
  <c r="BJ115" i="20"/>
  <c r="BF199" i="20"/>
  <c r="BJ199" i="20"/>
  <c r="BF123" i="20"/>
  <c r="BJ123" i="20"/>
  <c r="BF149" i="20"/>
  <c r="BJ149" i="20"/>
  <c r="BF177" i="20"/>
  <c r="BJ177" i="20"/>
  <c r="BF186" i="20"/>
  <c r="BJ186" i="20"/>
  <c r="AE38" i="20"/>
  <c r="AR25" i="20"/>
  <c r="AR31" i="20"/>
  <c r="AI109" i="20"/>
  <c r="BF109" i="20" s="1"/>
  <c r="AI70" i="20"/>
  <c r="BF70" i="20" s="1"/>
  <c r="AR81" i="20"/>
  <c r="AI74" i="20"/>
  <c r="AE90" i="20"/>
  <c r="BE90" i="20" s="1"/>
  <c r="AI102" i="20"/>
  <c r="BF102" i="20" s="1"/>
  <c r="BK56" i="20"/>
  <c r="BF183" i="20"/>
  <c r="BJ183" i="20"/>
  <c r="AI94" i="20"/>
  <c r="BF94" i="20" s="1"/>
  <c r="AI92" i="20"/>
  <c r="BF92" i="20" s="1"/>
  <c r="AI27" i="20"/>
  <c r="BB27" i="20" s="1"/>
  <c r="BD27" i="20" s="1"/>
  <c r="BH27" i="20" s="1"/>
  <c r="AI81" i="20"/>
  <c r="BF81" i="20" s="1"/>
  <c r="BK95" i="20"/>
  <c r="BJ67" i="20"/>
  <c r="AE29" i="20"/>
  <c r="AR18" i="20"/>
  <c r="AN109" i="20"/>
  <c r="BE109" i="20" s="1"/>
  <c r="AR74" i="20"/>
  <c r="AE85" i="20"/>
  <c r="BE85" i="20" s="1"/>
  <c r="AI132" i="20"/>
  <c r="BF132" i="20" s="1"/>
  <c r="AI148" i="20"/>
  <c r="BF148" i="20" s="1"/>
  <c r="AI108" i="20"/>
  <c r="BF108" i="20" s="1"/>
  <c r="AI99" i="20"/>
  <c r="BF99" i="20" s="1"/>
  <c r="AI100" i="20"/>
  <c r="BF100" i="20" s="1"/>
  <c r="AI46" i="20"/>
  <c r="AI79" i="20"/>
  <c r="BF79" i="20" s="1"/>
  <c r="BB183" i="20"/>
  <c r="BD183" i="20" s="1"/>
  <c r="BH183" i="20" s="1"/>
  <c r="BJ204" i="20"/>
  <c r="AI76" i="20"/>
  <c r="BF76" i="20" s="1"/>
  <c r="AI60" i="20"/>
  <c r="BF60" i="20" s="1"/>
  <c r="AI82" i="20"/>
  <c r="BF82" i="20" s="1"/>
  <c r="AI91" i="20"/>
  <c r="BF91" i="20" s="1"/>
  <c r="BK12" i="21"/>
  <c r="BE12" i="21" s="1"/>
  <c r="BK32" i="21"/>
  <c r="BE32" i="21" s="1"/>
  <c r="BK17" i="21"/>
  <c r="BE17" i="21" s="1"/>
  <c r="BK99" i="21"/>
  <c r="BE99" i="21" s="1"/>
  <c r="BK34" i="21"/>
  <c r="BE34" i="21" s="1"/>
  <c r="BK72" i="21"/>
  <c r="BE72" i="21" s="1"/>
  <c r="BK10" i="21"/>
  <c r="BE10" i="21" s="1"/>
  <c r="BL26" i="21"/>
  <c r="BF26" i="21" s="1"/>
  <c r="BL12" i="21"/>
  <c r="BF12" i="21" s="1"/>
  <c r="BL64" i="21"/>
  <c r="BF64" i="21" s="1"/>
  <c r="BL107" i="21"/>
  <c r="BF107" i="21" s="1"/>
  <c r="BK16" i="21"/>
  <c r="BE16" i="21" s="1"/>
  <c r="BK19" i="21"/>
  <c r="BE19" i="21" s="1"/>
  <c r="BK13" i="21"/>
  <c r="BE13" i="21" s="1"/>
  <c r="BK33" i="21"/>
  <c r="BE33" i="21" s="1"/>
  <c r="BK103" i="21"/>
  <c r="BE103" i="21" s="1"/>
  <c r="BK71" i="21"/>
  <c r="BE71" i="21" s="1"/>
  <c r="BK50" i="21"/>
  <c r="BE50" i="21" s="1"/>
  <c r="BK31" i="21"/>
  <c r="BE31" i="21" s="1"/>
  <c r="BK51" i="21"/>
  <c r="BE51" i="21" s="1"/>
  <c r="BK27" i="21"/>
  <c r="BE27" i="21" s="1"/>
  <c r="BL29" i="21"/>
  <c r="BF29" i="21" s="1"/>
  <c r="BL16" i="21"/>
  <c r="BF16" i="21" s="1"/>
  <c r="BL28" i="21"/>
  <c r="BF28" i="21" s="1"/>
  <c r="BL91" i="21"/>
  <c r="BF91" i="21" s="1"/>
  <c r="BL61" i="21"/>
  <c r="BF61" i="21" s="1"/>
  <c r="BJ22" i="21"/>
  <c r="BL22" i="21"/>
  <c r="BF22" i="21" s="1"/>
  <c r="BB102" i="21"/>
  <c r="BD102" i="21" s="1"/>
  <c r="BH102" i="21" s="1"/>
  <c r="BB94" i="21"/>
  <c r="BD94" i="21" s="1"/>
  <c r="BH94" i="21" s="1"/>
  <c r="BJ20" i="21"/>
  <c r="BJ35" i="21"/>
  <c r="BB84" i="21"/>
  <c r="BD84" i="21" s="1"/>
  <c r="BH84" i="21" s="1"/>
  <c r="BB93" i="21"/>
  <c r="BD93" i="21" s="1"/>
  <c r="BH93" i="21" s="1"/>
  <c r="BJ28" i="21"/>
  <c r="BJ27" i="21"/>
  <c r="BB97" i="21"/>
  <c r="BD97" i="21" s="1"/>
  <c r="BH97" i="21" s="1"/>
  <c r="BB81" i="21"/>
  <c r="BD81" i="21" s="1"/>
  <c r="BH81" i="21" s="1"/>
  <c r="BB24" i="21"/>
  <c r="BD24" i="21" s="1"/>
  <c r="BH24" i="21" s="1"/>
  <c r="BB89" i="21"/>
  <c r="BD89" i="21" s="1"/>
  <c r="BH89" i="21" s="1"/>
  <c r="BB98" i="21"/>
  <c r="BD98" i="21" s="1"/>
  <c r="BH98" i="21" s="1"/>
  <c r="BB68" i="21"/>
  <c r="BD68" i="21" s="1"/>
  <c r="BH68" i="21" s="1"/>
  <c r="BB105" i="21"/>
  <c r="BD105" i="21" s="1"/>
  <c r="BH105" i="21" s="1"/>
  <c r="BB11" i="21"/>
  <c r="BD11" i="21" s="1"/>
  <c r="BH11" i="21" s="1"/>
  <c r="BJ59" i="21"/>
  <c r="BJ85" i="21"/>
  <c r="BJ68" i="21"/>
  <c r="BJ98" i="21"/>
  <c r="BB21" i="21"/>
  <c r="BD21" i="21" s="1"/>
  <c r="BH21" i="21" s="1"/>
  <c r="BJ25" i="21"/>
  <c r="BJ12" i="21"/>
  <c r="BJ89" i="21"/>
  <c r="BJ94" i="21"/>
  <c r="BJ71" i="21"/>
  <c r="BJ37" i="21"/>
  <c r="BJ30" i="21"/>
  <c r="AN23" i="21"/>
  <c r="BJ23" i="21" s="1"/>
  <c r="BJ26" i="21"/>
  <c r="BJ107" i="21"/>
  <c r="BJ105" i="21"/>
  <c r="BB46" i="21"/>
  <c r="BD46" i="21" s="1"/>
  <c r="BH46" i="21" s="1"/>
  <c r="BB49" i="21"/>
  <c r="BD49" i="21" s="1"/>
  <c r="BH49" i="21" s="1"/>
  <c r="BJ31" i="21"/>
  <c r="BJ13" i="21"/>
  <c r="BJ91" i="21"/>
  <c r="BB52" i="21"/>
  <c r="BD52" i="21" s="1"/>
  <c r="BH52" i="21" s="1"/>
  <c r="BJ29" i="21"/>
  <c r="BJ97" i="21"/>
  <c r="BB82" i="21"/>
  <c r="BD82" i="21" s="1"/>
  <c r="BH82" i="21" s="1"/>
  <c r="BB72" i="21"/>
  <c r="BD72" i="21" s="1"/>
  <c r="BH72" i="21" s="1"/>
  <c r="BJ41" i="21"/>
  <c r="BB41" i="21"/>
  <c r="BD41" i="21" s="1"/>
  <c r="BH41" i="21" s="1"/>
  <c r="BI43" i="21"/>
  <c r="BB43" i="21"/>
  <c r="BD43" i="21" s="1"/>
  <c r="BH43" i="21" s="1"/>
  <c r="BJ33" i="21"/>
  <c r="BJ19" i="21"/>
  <c r="BB50" i="21"/>
  <c r="BD50" i="21" s="1"/>
  <c r="BH50" i="21" s="1"/>
  <c r="BJ87" i="21"/>
  <c r="BB54" i="21"/>
  <c r="BD54" i="21" s="1"/>
  <c r="BH54" i="21" s="1"/>
  <c r="BB59" i="21"/>
  <c r="BD59" i="21" s="1"/>
  <c r="BB56" i="21"/>
  <c r="BD56" i="21" s="1"/>
  <c r="BH56" i="21" s="1"/>
  <c r="BJ40" i="21"/>
  <c r="BB40" i="21"/>
  <c r="BD40" i="21" s="1"/>
  <c r="BH40" i="21" s="1"/>
  <c r="BB48" i="21"/>
  <c r="BD48" i="21" s="1"/>
  <c r="BH48" i="21" s="1"/>
  <c r="BJ92" i="21"/>
  <c r="BJ108" i="21"/>
  <c r="BJ73" i="21"/>
  <c r="BJ77" i="21"/>
  <c r="BI75" i="21"/>
  <c r="BB75" i="21"/>
  <c r="BD75" i="21" s="1"/>
  <c r="BH75" i="21" s="1"/>
  <c r="BJ60" i="21"/>
  <c r="BI60" i="21"/>
  <c r="BB60" i="21"/>
  <c r="BD60" i="21" s="1"/>
  <c r="BH60" i="21" s="1"/>
  <c r="BI33" i="21"/>
  <c r="BB33" i="21"/>
  <c r="BD33" i="21" s="1"/>
  <c r="BH33" i="21" s="1"/>
  <c r="BJ104" i="21"/>
  <c r="BJ79" i="21"/>
  <c r="BJ80" i="21"/>
  <c r="BJ36" i="21"/>
  <c r="BI39" i="21"/>
  <c r="BB39" i="21"/>
  <c r="BD39" i="21" s="1"/>
  <c r="BH39" i="21" s="1"/>
  <c r="BI37" i="21"/>
  <c r="BB37" i="21"/>
  <c r="BD37" i="21" s="1"/>
  <c r="BH37" i="21" s="1"/>
  <c r="BJ95" i="21"/>
  <c r="BI78" i="21"/>
  <c r="BB78" i="21"/>
  <c r="BD78" i="21" s="1"/>
  <c r="BH78" i="21" s="1"/>
  <c r="BI26" i="21"/>
  <c r="BB26" i="21"/>
  <c r="BD26" i="21" s="1"/>
  <c r="BH26" i="21" s="1"/>
  <c r="BI28" i="21"/>
  <c r="BB28" i="21"/>
  <c r="BD28" i="21" s="1"/>
  <c r="BH28" i="21" s="1"/>
  <c r="BJ64" i="21"/>
  <c r="BI64" i="21"/>
  <c r="BB64" i="21"/>
  <c r="BD64" i="21" s="1"/>
  <c r="BH64" i="21" s="1"/>
  <c r="BI73" i="21"/>
  <c r="BB73" i="21"/>
  <c r="BD73" i="21" s="1"/>
  <c r="BH73" i="21" s="1"/>
  <c r="BI88" i="21"/>
  <c r="BB88" i="21"/>
  <c r="BD88" i="21" s="1"/>
  <c r="BH88" i="21" s="1"/>
  <c r="BI87" i="21"/>
  <c r="BB87" i="21"/>
  <c r="BD87" i="21" s="1"/>
  <c r="BH87" i="21" s="1"/>
  <c r="BB42" i="21"/>
  <c r="BD42" i="21" s="1"/>
  <c r="BH42" i="21" s="1"/>
  <c r="BI25" i="21"/>
  <c r="BB25" i="21"/>
  <c r="BD25" i="21" s="1"/>
  <c r="BH25" i="21" s="1"/>
  <c r="BJ75" i="21"/>
  <c r="BJ48" i="21"/>
  <c r="BJ96" i="21"/>
  <c r="BI79" i="21"/>
  <c r="BB79" i="21"/>
  <c r="BD79" i="21" s="1"/>
  <c r="BH79" i="21" s="1"/>
  <c r="BI77" i="21"/>
  <c r="BB77" i="21"/>
  <c r="BD77" i="21" s="1"/>
  <c r="BH77" i="21" s="1"/>
  <c r="BI19" i="21"/>
  <c r="BB19" i="21"/>
  <c r="BD19" i="21" s="1"/>
  <c r="BI95" i="21"/>
  <c r="BB95" i="21"/>
  <c r="BD95" i="21" s="1"/>
  <c r="BH95" i="21" s="1"/>
  <c r="BJ78" i="21"/>
  <c r="BJ38" i="21"/>
  <c r="BI34" i="21"/>
  <c r="BB34" i="21"/>
  <c r="BD34" i="21" s="1"/>
  <c r="BH34" i="21" s="1"/>
  <c r="BI10" i="21"/>
  <c r="BB10" i="21"/>
  <c r="BD10" i="21" s="1"/>
  <c r="BH10" i="21" s="1"/>
  <c r="BI108" i="21"/>
  <c r="BB108" i="21"/>
  <c r="BD108" i="21" s="1"/>
  <c r="BH108" i="21" s="1"/>
  <c r="BB36" i="21"/>
  <c r="BD36" i="21" s="1"/>
  <c r="BH36" i="21" s="1"/>
  <c r="BI17" i="21"/>
  <c r="BB17" i="21"/>
  <c r="BD17" i="21" s="1"/>
  <c r="BH17" i="21" s="1"/>
  <c r="BI18" i="21"/>
  <c r="BB18" i="21"/>
  <c r="BD18" i="21" s="1"/>
  <c r="BH18" i="21" s="1"/>
  <c r="BI20" i="21"/>
  <c r="BB20" i="21"/>
  <c r="BD20" i="21" s="1"/>
  <c r="BH20" i="21" s="1"/>
  <c r="BJ39" i="21"/>
  <c r="BI86" i="21"/>
  <c r="BB86" i="21"/>
  <c r="BD86" i="21" s="1"/>
  <c r="BH86" i="21" s="1"/>
  <c r="BJ69" i="21"/>
  <c r="BI69" i="21"/>
  <c r="BB69" i="21"/>
  <c r="BD69" i="21" s="1"/>
  <c r="BH69" i="21" s="1"/>
  <c r="BI16" i="21"/>
  <c r="BB16" i="21"/>
  <c r="BD16" i="21" s="1"/>
  <c r="BH16" i="21" s="1"/>
  <c r="BI96" i="21"/>
  <c r="BB96" i="21"/>
  <c r="BD96" i="21" s="1"/>
  <c r="BH96" i="21" s="1"/>
  <c r="BJ49" i="21"/>
  <c r="BI13" i="21"/>
  <c r="BB13" i="21"/>
  <c r="BD13" i="21" s="1"/>
  <c r="BH13" i="21" s="1"/>
  <c r="BI103" i="21"/>
  <c r="BB103" i="21"/>
  <c r="BD103" i="21" s="1"/>
  <c r="BH103" i="21" s="1"/>
  <c r="BI29" i="21"/>
  <c r="BB29" i="21"/>
  <c r="BD29" i="21" s="1"/>
  <c r="BH29" i="21" s="1"/>
  <c r="BB35" i="21"/>
  <c r="BD35" i="21" s="1"/>
  <c r="BH35" i="21" s="1"/>
  <c r="BI85" i="21"/>
  <c r="BB85" i="21"/>
  <c r="BD85" i="21" s="1"/>
  <c r="BH85" i="21" s="1"/>
  <c r="BI100" i="21"/>
  <c r="BB100" i="21"/>
  <c r="BD100" i="21" s="1"/>
  <c r="BH100" i="21" s="1"/>
  <c r="BI27" i="21"/>
  <c r="BB27" i="21"/>
  <c r="BD27" i="21" s="1"/>
  <c r="BH27" i="21" s="1"/>
  <c r="BJ61" i="21"/>
  <c r="BI61" i="21"/>
  <c r="BB61" i="21"/>
  <c r="BD61" i="21" s="1"/>
  <c r="BH61" i="21" s="1"/>
  <c r="BI91" i="21"/>
  <c r="BB91" i="21"/>
  <c r="BD91" i="21" s="1"/>
  <c r="BH91" i="21" s="1"/>
  <c r="BI107" i="21"/>
  <c r="BB107" i="21"/>
  <c r="BD107" i="21" s="1"/>
  <c r="BH107" i="21" s="1"/>
  <c r="BJ86" i="21"/>
  <c r="BI31" i="21"/>
  <c r="BB31" i="21"/>
  <c r="BD31" i="21" s="1"/>
  <c r="BH31" i="21" s="1"/>
  <c r="BI12" i="21"/>
  <c r="BB12" i="21"/>
  <c r="BD12" i="21" s="1"/>
  <c r="BH12" i="21" s="1"/>
  <c r="BI104" i="21"/>
  <c r="BB104" i="21"/>
  <c r="BD104" i="21" s="1"/>
  <c r="BH104" i="21" s="1"/>
  <c r="BI80" i="21"/>
  <c r="BB80" i="21"/>
  <c r="BD80" i="21" s="1"/>
  <c r="BH80" i="21" s="1"/>
  <c r="BJ54" i="21"/>
  <c r="BJ65" i="21"/>
  <c r="BI65" i="21"/>
  <c r="BB65" i="21"/>
  <c r="BD65" i="21" s="1"/>
  <c r="BH65" i="21" s="1"/>
  <c r="BJ52" i="21"/>
  <c r="BI23" i="21"/>
  <c r="BJ103" i="21"/>
  <c r="BB38" i="21"/>
  <c r="BD38" i="21" s="1"/>
  <c r="BH38" i="21" s="1"/>
  <c r="BJ50" i="21"/>
  <c r="BI32" i="21"/>
  <c r="BB32" i="21"/>
  <c r="BD32" i="21" s="1"/>
  <c r="BH32" i="21" s="1"/>
  <c r="BJ51" i="21"/>
  <c r="BI92" i="21"/>
  <c r="BB92" i="21"/>
  <c r="BD92" i="21" s="1"/>
  <c r="BH92" i="21" s="1"/>
  <c r="BJ100" i="21"/>
  <c r="BJ88" i="21"/>
  <c r="BJ46" i="21"/>
  <c r="BI99" i="21"/>
  <c r="BB99" i="21"/>
  <c r="BD99" i="21" s="1"/>
  <c r="BH99" i="21" s="1"/>
  <c r="BI71" i="21"/>
  <c r="BB71" i="21"/>
  <c r="BD71" i="21" s="1"/>
  <c r="BH71" i="21" s="1"/>
  <c r="BB51" i="21"/>
  <c r="BD51" i="21" s="1"/>
  <c r="BH51" i="21" s="1"/>
  <c r="BK202" i="20"/>
  <c r="BJ202" i="20"/>
  <c r="BI150" i="20"/>
  <c r="BB150" i="20"/>
  <c r="BD150" i="20" s="1"/>
  <c r="BH150" i="20" s="1"/>
  <c r="BK207" i="20"/>
  <c r="BK129" i="20"/>
  <c r="BJ129" i="20"/>
  <c r="BK113" i="20"/>
  <c r="BK169" i="20"/>
  <c r="BK112" i="20"/>
  <c r="BJ112" i="20"/>
  <c r="BJ163" i="20"/>
  <c r="BI163" i="20"/>
  <c r="BB163" i="20"/>
  <c r="BD163" i="20" s="1"/>
  <c r="BH163" i="20" s="1"/>
  <c r="BK194" i="20"/>
  <c r="BI202" i="20"/>
  <c r="BB202" i="20"/>
  <c r="BD202" i="20" s="1"/>
  <c r="BH202" i="20" s="1"/>
  <c r="BJ141" i="20"/>
  <c r="BI141" i="20"/>
  <c r="BB141" i="20"/>
  <c r="BD141" i="20" s="1"/>
  <c r="BH141" i="20" s="1"/>
  <c r="BK157" i="20"/>
  <c r="BK198" i="20"/>
  <c r="BJ187" i="20"/>
  <c r="BI176" i="20"/>
  <c r="BB176" i="20"/>
  <c r="BD176" i="20" s="1"/>
  <c r="BH176" i="20" s="1"/>
  <c r="BJ184" i="20"/>
  <c r="BI184" i="20"/>
  <c r="BB184" i="20"/>
  <c r="BD184" i="20" s="1"/>
  <c r="BH184" i="20" s="1"/>
  <c r="BK110" i="20"/>
  <c r="BJ125" i="20"/>
  <c r="BK125" i="20"/>
  <c r="BI125" i="20"/>
  <c r="BB125" i="20"/>
  <c r="BD125" i="20" s="1"/>
  <c r="BH125" i="20" s="1"/>
  <c r="BK133" i="20"/>
  <c r="BI133" i="20"/>
  <c r="BB133" i="20"/>
  <c r="BD133" i="20" s="1"/>
  <c r="BH133" i="20" s="1"/>
  <c r="BK119" i="20"/>
  <c r="BK209" i="20"/>
  <c r="BI177" i="20"/>
  <c r="BB177" i="20"/>
  <c r="BD177" i="20" s="1"/>
  <c r="BH177" i="20" s="1"/>
  <c r="BI186" i="20"/>
  <c r="BB186" i="20"/>
  <c r="BD186" i="20" s="1"/>
  <c r="BH186" i="20" s="1"/>
  <c r="BI132" i="20"/>
  <c r="BI198" i="20"/>
  <c r="BB198" i="20"/>
  <c r="BD198" i="20" s="1"/>
  <c r="BH198" i="20" s="1"/>
  <c r="BK162" i="20"/>
  <c r="BJ127" i="20"/>
  <c r="BI148" i="20"/>
  <c r="BK123" i="20"/>
  <c r="BK131" i="20"/>
  <c r="BI131" i="20"/>
  <c r="BB131" i="20"/>
  <c r="BD131" i="20" s="1"/>
  <c r="BH131" i="20" s="1"/>
  <c r="BJ205" i="20"/>
  <c r="BK168" i="20"/>
  <c r="BK135" i="20"/>
  <c r="BK175" i="20"/>
  <c r="BK114" i="20"/>
  <c r="BJ121" i="20"/>
  <c r="BI129" i="20"/>
  <c r="BB129" i="20"/>
  <c r="BD129" i="20" s="1"/>
  <c r="BH129" i="20" s="1"/>
  <c r="BI158" i="20"/>
  <c r="BB158" i="20"/>
  <c r="BD158" i="20" s="1"/>
  <c r="BH158" i="20" s="1"/>
  <c r="BI189" i="20"/>
  <c r="BB189" i="20"/>
  <c r="BD189" i="20" s="1"/>
  <c r="BH189" i="20" s="1"/>
  <c r="BK189" i="20"/>
  <c r="BI185" i="20"/>
  <c r="BB185" i="20"/>
  <c r="BD185" i="20" s="1"/>
  <c r="BH185" i="20" s="1"/>
  <c r="BJ182" i="20"/>
  <c r="BI208" i="20"/>
  <c r="BB208" i="20"/>
  <c r="BD208" i="20" s="1"/>
  <c r="BH208" i="20" s="1"/>
  <c r="BI161" i="20"/>
  <c r="BB161" i="20"/>
  <c r="BD161" i="20" s="1"/>
  <c r="BH161" i="20" s="1"/>
  <c r="BI134" i="20"/>
  <c r="BB134" i="20"/>
  <c r="BD134" i="20" s="1"/>
  <c r="BH134" i="20" s="1"/>
  <c r="BI199" i="20"/>
  <c r="BB199" i="20"/>
  <c r="BD199" i="20" s="1"/>
  <c r="BH199" i="20" s="1"/>
  <c r="BJ174" i="20"/>
  <c r="BI157" i="20"/>
  <c r="BB157" i="20"/>
  <c r="BD157" i="20" s="1"/>
  <c r="BH157" i="20" s="1"/>
  <c r="BK140" i="20"/>
  <c r="BI165" i="20"/>
  <c r="BB165" i="20"/>
  <c r="BD165" i="20" s="1"/>
  <c r="BH165" i="20" s="1"/>
  <c r="BJ110" i="20"/>
  <c r="BI110" i="20"/>
  <c r="BB110" i="20"/>
  <c r="BD110" i="20" s="1"/>
  <c r="BH110" i="20" s="1"/>
  <c r="BI126" i="20"/>
  <c r="BB126" i="20"/>
  <c r="BD126" i="20" s="1"/>
  <c r="BH126" i="20" s="1"/>
  <c r="BJ119" i="20"/>
  <c r="BJ209" i="20"/>
  <c r="BJ194" i="20"/>
  <c r="BJ201" i="20"/>
  <c r="BI201" i="20"/>
  <c r="BB201" i="20"/>
  <c r="BD201" i="20" s="1"/>
  <c r="BH201" i="20" s="1"/>
  <c r="BI123" i="20"/>
  <c r="BB123" i="20"/>
  <c r="BD123" i="20" s="1"/>
  <c r="BH123" i="20" s="1"/>
  <c r="BK147" i="20"/>
  <c r="BJ144" i="20"/>
  <c r="BI144" i="20"/>
  <c r="BB144" i="20"/>
  <c r="BD144" i="20" s="1"/>
  <c r="BH144" i="20" s="1"/>
  <c r="BK192" i="20"/>
  <c r="BK142" i="20"/>
  <c r="BJ153" i="20"/>
  <c r="BJ111" i="20"/>
  <c r="BK111" i="20"/>
  <c r="BI111" i="20"/>
  <c r="BB111" i="20"/>
  <c r="BD111" i="20" s="1"/>
  <c r="BH111" i="20" s="1"/>
  <c r="BI135" i="20"/>
  <c r="BB135" i="20"/>
  <c r="BD135" i="20" s="1"/>
  <c r="BH135" i="20" s="1"/>
  <c r="BI175" i="20"/>
  <c r="BB175" i="20"/>
  <c r="BD175" i="20" s="1"/>
  <c r="BH175" i="20" s="1"/>
  <c r="BJ114" i="20"/>
  <c r="BI114" i="20"/>
  <c r="BB114" i="20"/>
  <c r="BD114" i="20" s="1"/>
  <c r="BH114" i="20" s="1"/>
  <c r="BJ154" i="20"/>
  <c r="BJ170" i="20"/>
  <c r="BJ189" i="20"/>
  <c r="BJ164" i="20"/>
  <c r="BI164" i="20"/>
  <c r="BB164" i="20"/>
  <c r="BD164" i="20" s="1"/>
  <c r="BH164" i="20" s="1"/>
  <c r="BK200" i="20"/>
  <c r="BI174" i="20"/>
  <c r="BB174" i="20"/>
  <c r="BD174" i="20" s="1"/>
  <c r="BH174" i="20" s="1"/>
  <c r="BK174" i="20"/>
  <c r="BK141" i="20"/>
  <c r="BJ140" i="20"/>
  <c r="BI140" i="20"/>
  <c r="BB140" i="20"/>
  <c r="BD140" i="20" s="1"/>
  <c r="BH140" i="20" s="1"/>
  <c r="BJ113" i="20"/>
  <c r="BI113" i="20"/>
  <c r="BB113" i="20"/>
  <c r="BD113" i="20" s="1"/>
  <c r="BH113" i="20" s="1"/>
  <c r="BJ176" i="20"/>
  <c r="BK126" i="20"/>
  <c r="BK149" i="20"/>
  <c r="BI149" i="20"/>
  <c r="BB149" i="20"/>
  <c r="BD149" i="20" s="1"/>
  <c r="BH149" i="20" s="1"/>
  <c r="BJ200" i="20"/>
  <c r="BJ198" i="20"/>
  <c r="BK122" i="20"/>
  <c r="BI146" i="20"/>
  <c r="BB146" i="20"/>
  <c r="BD146" i="20" s="1"/>
  <c r="BH146" i="20" s="1"/>
  <c r="BJ178" i="20"/>
  <c r="BI178" i="20"/>
  <c r="BB178" i="20"/>
  <c r="BD178" i="20" s="1"/>
  <c r="BH178" i="20" s="1"/>
  <c r="BI136" i="20"/>
  <c r="BB136" i="20"/>
  <c r="BD136" i="20" s="1"/>
  <c r="BH136" i="20" s="1"/>
  <c r="BJ131" i="20"/>
  <c r="BJ147" i="20"/>
  <c r="BI147" i="20"/>
  <c r="BB147" i="20"/>
  <c r="BD147" i="20" s="1"/>
  <c r="BH147" i="20" s="1"/>
  <c r="BI197" i="20"/>
  <c r="BB197" i="20"/>
  <c r="BD197" i="20" s="1"/>
  <c r="BH197" i="20" s="1"/>
  <c r="BJ207" i="20"/>
  <c r="BI207" i="20"/>
  <c r="BB207" i="20"/>
  <c r="BD207" i="20" s="1"/>
  <c r="BH207" i="20" s="1"/>
  <c r="BI203" i="20"/>
  <c r="BB203" i="20"/>
  <c r="BD203" i="20" s="1"/>
  <c r="BH203" i="20" s="1"/>
  <c r="BI128" i="20"/>
  <c r="BB128" i="20"/>
  <c r="BD128" i="20" s="1"/>
  <c r="BH128" i="20" s="1"/>
  <c r="BK144" i="20"/>
  <c r="BI168" i="20"/>
  <c r="BB168" i="20"/>
  <c r="BD168" i="20" s="1"/>
  <c r="BH168" i="20" s="1"/>
  <c r="BJ192" i="20"/>
  <c r="BI192" i="20"/>
  <c r="BB192" i="20"/>
  <c r="BD192" i="20" s="1"/>
  <c r="BH192" i="20" s="1"/>
  <c r="BK195" i="20"/>
  <c r="BJ190" i="20"/>
  <c r="BI153" i="20"/>
  <c r="BB153" i="20"/>
  <c r="BD153" i="20" s="1"/>
  <c r="BH153" i="20" s="1"/>
  <c r="BK138" i="20"/>
  <c r="BI154" i="20"/>
  <c r="BB154" i="20"/>
  <c r="BD154" i="20" s="1"/>
  <c r="BH154" i="20" s="1"/>
  <c r="BI170" i="20"/>
  <c r="BB170" i="20"/>
  <c r="BD170" i="20" s="1"/>
  <c r="BH170" i="20" s="1"/>
  <c r="BJ145" i="20"/>
  <c r="BI112" i="20"/>
  <c r="BB112" i="20"/>
  <c r="BD112" i="20" s="1"/>
  <c r="BH112" i="20" s="1"/>
  <c r="BI142" i="20"/>
  <c r="BB142" i="20"/>
  <c r="BD142" i="20" s="1"/>
  <c r="BH142" i="20" s="1"/>
  <c r="BJ124" i="20"/>
  <c r="BK164" i="20"/>
  <c r="BI166" i="20"/>
  <c r="BB166" i="20"/>
  <c r="BD166" i="20" s="1"/>
  <c r="BH166" i="20" s="1"/>
  <c r="BI117" i="20"/>
  <c r="BB117" i="20"/>
  <c r="BD117" i="20" s="1"/>
  <c r="BH117" i="20" s="1"/>
  <c r="BI115" i="20"/>
  <c r="BB115" i="20"/>
  <c r="BD115" i="20" s="1"/>
  <c r="BH115" i="20" s="1"/>
  <c r="BI188" i="20"/>
  <c r="BB188" i="20"/>
  <c r="BD188" i="20" s="1"/>
  <c r="BH188" i="20" s="1"/>
  <c r="BK163" i="20"/>
  <c r="BK158" i="20"/>
  <c r="BJ157" i="20"/>
  <c r="BK187" i="20"/>
  <c r="BI187" i="20"/>
  <c r="BB187" i="20"/>
  <c r="BD187" i="20" s="1"/>
  <c r="BH187" i="20" s="1"/>
  <c r="BK184" i="20"/>
  <c r="BJ126" i="20"/>
  <c r="BJ133" i="20"/>
  <c r="BI119" i="20"/>
  <c r="BB119" i="20"/>
  <c r="BD119" i="20" s="1"/>
  <c r="BH119" i="20" s="1"/>
  <c r="BI209" i="20"/>
  <c r="BB209" i="20"/>
  <c r="BD209" i="20" s="1"/>
  <c r="BI200" i="20"/>
  <c r="BB200" i="20"/>
  <c r="BD200" i="20" s="1"/>
  <c r="BH200" i="20" s="1"/>
  <c r="BK177" i="20"/>
  <c r="BK186" i="20"/>
  <c r="BI194" i="20"/>
  <c r="BB194" i="20"/>
  <c r="BD194" i="20" s="1"/>
  <c r="BH194" i="20" s="1"/>
  <c r="BJ122" i="20"/>
  <c r="BI122" i="20"/>
  <c r="BB122" i="20"/>
  <c r="BD122" i="20" s="1"/>
  <c r="BH122" i="20" s="1"/>
  <c r="BI130" i="20"/>
  <c r="BB130" i="20"/>
  <c r="BD130" i="20" s="1"/>
  <c r="BH130" i="20" s="1"/>
  <c r="BI162" i="20"/>
  <c r="BB162" i="20"/>
  <c r="BD162" i="20" s="1"/>
  <c r="BH162" i="20" s="1"/>
  <c r="BI137" i="20"/>
  <c r="BB137" i="20"/>
  <c r="BD137" i="20" s="1"/>
  <c r="BH137" i="20" s="1"/>
  <c r="BK137" i="20"/>
  <c r="BI120" i="20"/>
  <c r="BB120" i="20"/>
  <c r="BD120" i="20" s="1"/>
  <c r="BH120" i="20" s="1"/>
  <c r="BK127" i="20"/>
  <c r="BI127" i="20"/>
  <c r="BB127" i="20"/>
  <c r="BD127" i="20" s="1"/>
  <c r="BH127" i="20" s="1"/>
  <c r="BJ197" i="20"/>
  <c r="BK197" i="20"/>
  <c r="BI205" i="20"/>
  <c r="BB205" i="20"/>
  <c r="BD205" i="20" s="1"/>
  <c r="BH205" i="20" s="1"/>
  <c r="BK205" i="20"/>
  <c r="BJ128" i="20"/>
  <c r="BK128" i="20"/>
  <c r="BJ168" i="20"/>
  <c r="BJ195" i="20"/>
  <c r="BI195" i="20"/>
  <c r="BB195" i="20"/>
  <c r="BD195" i="20" s="1"/>
  <c r="BH195" i="20" s="1"/>
  <c r="BJ169" i="20"/>
  <c r="BI169" i="20"/>
  <c r="BB169" i="20"/>
  <c r="BD169" i="20" s="1"/>
  <c r="BH169" i="20" s="1"/>
  <c r="BI190" i="20"/>
  <c r="BB190" i="20"/>
  <c r="BD190" i="20" s="1"/>
  <c r="BH190" i="20" s="1"/>
  <c r="BK190" i="20"/>
  <c r="BK153" i="20"/>
  <c r="BI160" i="20"/>
  <c r="BB160" i="20"/>
  <c r="BD160" i="20" s="1"/>
  <c r="BH160" i="20" s="1"/>
  <c r="BK160" i="20"/>
  <c r="BJ175" i="20"/>
  <c r="BK185" i="20"/>
  <c r="BJ138" i="20"/>
  <c r="BI138" i="20"/>
  <c r="BB138" i="20"/>
  <c r="BD138" i="20" s="1"/>
  <c r="BH138" i="20" s="1"/>
  <c r="BK154" i="20"/>
  <c r="BK170" i="20"/>
  <c r="BK121" i="20"/>
  <c r="BI121" i="20"/>
  <c r="BB121" i="20"/>
  <c r="BD121" i="20" s="1"/>
  <c r="BH121" i="20" s="1"/>
  <c r="BK145" i="20"/>
  <c r="BI145" i="20"/>
  <c r="BB145" i="20"/>
  <c r="BD145" i="20" s="1"/>
  <c r="BH145" i="20" s="1"/>
  <c r="BJ158" i="20"/>
  <c r="BI124" i="20"/>
  <c r="BB124" i="20"/>
  <c r="BD124" i="20" s="1"/>
  <c r="BH124" i="20" s="1"/>
  <c r="BK124" i="20"/>
  <c r="BJ180" i="20"/>
  <c r="BK180" i="20"/>
  <c r="BI180" i="20"/>
  <c r="BB180" i="20"/>
  <c r="BD180" i="20" s="1"/>
  <c r="BH180" i="20" s="1"/>
  <c r="BK182" i="20"/>
  <c r="BI182" i="20"/>
  <c r="BB182" i="20"/>
  <c r="BD182" i="20" s="1"/>
  <c r="BH182" i="20" s="1"/>
  <c r="BK117" i="20"/>
  <c r="BJ117" i="20"/>
  <c r="BK115" i="20"/>
  <c r="BK199" i="20"/>
  <c r="AV54" i="20"/>
  <c r="BL54" i="20" s="1"/>
  <c r="BJ22" i="20"/>
  <c r="R17" i="20"/>
  <c r="T17" i="20" s="1"/>
  <c r="BI17" i="20" s="1"/>
  <c r="AV30" i="20"/>
  <c r="BL30" i="20" s="1"/>
  <c r="BJ40" i="20"/>
  <c r="AG50" i="20"/>
  <c r="AI50" i="20" s="1"/>
  <c r="BF50" i="20" s="1"/>
  <c r="AV50" i="20"/>
  <c r="BL50" i="20" s="1"/>
  <c r="AS74" i="20"/>
  <c r="R74" i="20"/>
  <c r="T74" i="20" s="1"/>
  <c r="BI74" i="20" s="1"/>
  <c r="AS90" i="20"/>
  <c r="R90" i="20"/>
  <c r="T90" i="20" s="1"/>
  <c r="BI90" i="20" s="1"/>
  <c r="BJ20" i="20"/>
  <c r="BK71" i="20"/>
  <c r="AG65" i="20"/>
  <c r="AI65" i="20" s="1"/>
  <c r="AV65" i="20"/>
  <c r="BL65" i="20" s="1"/>
  <c r="AS69" i="20"/>
  <c r="R69" i="20"/>
  <c r="T69" i="20" s="1"/>
  <c r="BI69" i="20" s="1"/>
  <c r="AV66" i="20"/>
  <c r="BL66" i="20" s="1"/>
  <c r="BB71" i="20"/>
  <c r="BD71" i="20" s="1"/>
  <c r="BH71" i="20" s="1"/>
  <c r="AV77" i="20"/>
  <c r="BL77" i="20" s="1"/>
  <c r="AK73" i="20"/>
  <c r="AN73" i="20" s="1"/>
  <c r="AV73" i="20"/>
  <c r="BL73" i="20" s="1"/>
  <c r="AV69" i="20"/>
  <c r="BL69" i="20" s="1"/>
  <c r="R18" i="20"/>
  <c r="T18" i="20" s="1"/>
  <c r="BI18" i="20" s="1"/>
  <c r="R14" i="20"/>
  <c r="T14" i="20" s="1"/>
  <c r="BI14" i="20" s="1"/>
  <c r="BB40" i="20"/>
  <c r="BD40" i="20" s="1"/>
  <c r="BH40" i="20" s="1"/>
  <c r="R106" i="20"/>
  <c r="T106" i="20" s="1"/>
  <c r="BI106" i="20" s="1"/>
  <c r="BJ9" i="20"/>
  <c r="AS109" i="20"/>
  <c r="R109" i="20"/>
  <c r="T109" i="20" s="1"/>
  <c r="BJ103" i="20"/>
  <c r="BJ87" i="20"/>
  <c r="AV26" i="20"/>
  <c r="BL26" i="20" s="1"/>
  <c r="AG26" i="20"/>
  <c r="BJ95" i="20"/>
  <c r="BK51" i="20"/>
  <c r="BJ75" i="20"/>
  <c r="BJ68" i="20"/>
  <c r="BJ51" i="20"/>
  <c r="BJ59" i="20"/>
  <c r="BJ84" i="20"/>
  <c r="AK33" i="20"/>
  <c r="AV33" i="20"/>
  <c r="BL33" i="20" s="1"/>
  <c r="AG25" i="20"/>
  <c r="AI25" i="20" s="1"/>
  <c r="AV25" i="20"/>
  <c r="BL25" i="20" s="1"/>
  <c r="BI40" i="20"/>
  <c r="BB84" i="20"/>
  <c r="BD84" i="20" s="1"/>
  <c r="BH84" i="20" s="1"/>
  <c r="BK9" i="20"/>
  <c r="BB55" i="20"/>
  <c r="BD55" i="20" s="1"/>
  <c r="BH55" i="20" s="1"/>
  <c r="BB103" i="20"/>
  <c r="BD103" i="20" s="1"/>
  <c r="BH103" i="20" s="1"/>
  <c r="BB95" i="20"/>
  <c r="BD95" i="20" s="1"/>
  <c r="BH95" i="20" s="1"/>
  <c r="BB68" i="20"/>
  <c r="BD68" i="20" s="1"/>
  <c r="BH68" i="20" s="1"/>
  <c r="BK68" i="20"/>
  <c r="BK103" i="20"/>
  <c r="BI95" i="20"/>
  <c r="BB87" i="20"/>
  <c r="BD87" i="20" s="1"/>
  <c r="BH87" i="20" s="1"/>
  <c r="BB75" i="20"/>
  <c r="BD75" i="20" s="1"/>
  <c r="BH75" i="20" s="1"/>
  <c r="AV14" i="20"/>
  <c r="BL14" i="20" s="1"/>
  <c r="BB67" i="20"/>
  <c r="BD67" i="20" s="1"/>
  <c r="BH67" i="20" s="1"/>
  <c r="BB59" i="20"/>
  <c r="BD59" i="20" s="1"/>
  <c r="BH59" i="20" s="1"/>
  <c r="R38" i="20"/>
  <c r="T38" i="20" s="1"/>
  <c r="BB51" i="20"/>
  <c r="BD51" i="20" s="1"/>
  <c r="BH51" i="20" s="1"/>
  <c r="AG14" i="20"/>
  <c r="AI14" i="20" s="1"/>
  <c r="BK59" i="20"/>
  <c r="BK67" i="20"/>
  <c r="BB9" i="20"/>
  <c r="BD9" i="20" s="1"/>
  <c r="BB22" i="20"/>
  <c r="BD22" i="20" s="1"/>
  <c r="BH22" i="20" s="1"/>
  <c r="BK24" i="20"/>
  <c r="BK11" i="20"/>
  <c r="BK10" i="20"/>
  <c r="BK12" i="20"/>
  <c r="BK20" i="20"/>
  <c r="N13" i="8"/>
  <c r="E43" i="1"/>
  <c r="Q3" i="17"/>
  <c r="K4" i="17"/>
  <c r="BF66" i="20" l="1"/>
  <c r="BE32" i="20"/>
  <c r="BF16" i="20"/>
  <c r="BF15" i="20"/>
  <c r="BE28" i="20"/>
  <c r="BF47" i="20"/>
  <c r="BE43" i="20"/>
  <c r="BE73" i="20"/>
  <c r="BJ35" i="20"/>
  <c r="BB35" i="20"/>
  <c r="BD35" i="20" s="1"/>
  <c r="BH35" i="20" s="1"/>
  <c r="BF35" i="20"/>
  <c r="BK35" i="20"/>
  <c r="BB32" i="20"/>
  <c r="BD32" i="20" s="1"/>
  <c r="BH32" i="20" s="1"/>
  <c r="BE23" i="20"/>
  <c r="BJ15" i="20"/>
  <c r="BF105" i="20"/>
  <c r="BJ105" i="20"/>
  <c r="BK47" i="20"/>
  <c r="BF37" i="20"/>
  <c r="BJ48" i="20"/>
  <c r="BJ43" i="20"/>
  <c r="BF43" i="20"/>
  <c r="BK48" i="20"/>
  <c r="BJ11" i="20"/>
  <c r="BK15" i="20"/>
  <c r="BJ24" i="20"/>
  <c r="BB24" i="20"/>
  <c r="BD24" i="20" s="1"/>
  <c r="BH24" i="20" s="1"/>
  <c r="BB11" i="20"/>
  <c r="BD11" i="20" s="1"/>
  <c r="BH11" i="20" s="1"/>
  <c r="BJ47" i="20"/>
  <c r="BB43" i="20"/>
  <c r="BD43" i="20" s="1"/>
  <c r="BH43" i="20" s="1"/>
  <c r="BB47" i="20"/>
  <c r="BD47" i="20" s="1"/>
  <c r="BH47" i="20" s="1"/>
  <c r="BE44" i="20"/>
  <c r="BF44" i="20"/>
  <c r="BF19" i="20"/>
  <c r="BB48" i="20"/>
  <c r="BD48" i="20" s="1"/>
  <c r="BH48" i="20" s="1"/>
  <c r="BF49" i="20"/>
  <c r="BB15" i="20"/>
  <c r="BD15" i="20" s="1"/>
  <c r="BH15" i="20" s="1"/>
  <c r="BE53" i="20"/>
  <c r="BE52" i="20"/>
  <c r="BF14" i="20"/>
  <c r="BF23" i="20"/>
  <c r="BI15" i="20"/>
  <c r="BE36" i="20"/>
  <c r="BF88" i="20"/>
  <c r="BF31" i="20"/>
  <c r="BK49" i="20"/>
  <c r="BK19" i="20"/>
  <c r="BJ16" i="20"/>
  <c r="BF89" i="20"/>
  <c r="BB16" i="20"/>
  <c r="BD16" i="20" s="1"/>
  <c r="BH16" i="20" s="1"/>
  <c r="BJ37" i="20"/>
  <c r="BF28" i="20"/>
  <c r="BE107" i="20"/>
  <c r="BB20" i="20"/>
  <c r="BD20" i="20" s="1"/>
  <c r="BH20" i="20" s="1"/>
  <c r="BK73" i="20"/>
  <c r="BB28" i="20"/>
  <c r="BD28" i="20" s="1"/>
  <c r="BH28" i="20" s="1"/>
  <c r="BF33" i="20"/>
  <c r="BK107" i="20"/>
  <c r="BK86" i="20"/>
  <c r="BE34" i="20"/>
  <c r="BF42" i="20"/>
  <c r="BJ28" i="20"/>
  <c r="BJ89" i="20"/>
  <c r="BJ77" i="20"/>
  <c r="BF18" i="20"/>
  <c r="BF77" i="20"/>
  <c r="BJ86" i="20"/>
  <c r="BE12" i="20"/>
  <c r="BJ78" i="20"/>
  <c r="BJ10" i="20"/>
  <c r="BB148" i="20"/>
  <c r="BD148" i="20" s="1"/>
  <c r="BH148" i="20" s="1"/>
  <c r="BF101" i="20"/>
  <c r="BK93" i="20"/>
  <c r="BJ93" i="20"/>
  <c r="BE105" i="20"/>
  <c r="BB104" i="20"/>
  <c r="BD104" i="20" s="1"/>
  <c r="BH104" i="20" s="1"/>
  <c r="BB86" i="20"/>
  <c r="BD86" i="20" s="1"/>
  <c r="BH86" i="20" s="1"/>
  <c r="BB62" i="20"/>
  <c r="BD62" i="20" s="1"/>
  <c r="BH62" i="20" s="1"/>
  <c r="BB19" i="20"/>
  <c r="BD19" i="20" s="1"/>
  <c r="BH19" i="20" s="1"/>
  <c r="BJ19" i="20"/>
  <c r="BB93" i="20"/>
  <c r="BD93" i="20" s="1"/>
  <c r="BH93" i="20" s="1"/>
  <c r="BF62" i="20"/>
  <c r="BJ62" i="20"/>
  <c r="BJ17" i="20"/>
  <c r="BJ52" i="20"/>
  <c r="BK98" i="20"/>
  <c r="BK148" i="20"/>
  <c r="BB101" i="20"/>
  <c r="BD101" i="20" s="1"/>
  <c r="BH101" i="20" s="1"/>
  <c r="BK44" i="20"/>
  <c r="BJ101" i="20"/>
  <c r="BE26" i="20"/>
  <c r="BJ107" i="20"/>
  <c r="BJ12" i="20"/>
  <c r="BJ36" i="20"/>
  <c r="BJ44" i="20"/>
  <c r="BE30" i="20"/>
  <c r="BB12" i="20"/>
  <c r="BD12" i="20" s="1"/>
  <c r="BH12" i="20" s="1"/>
  <c r="BB98" i="20"/>
  <c r="BD98" i="20" s="1"/>
  <c r="BH98" i="20" s="1"/>
  <c r="BK104" i="20"/>
  <c r="BB89" i="20"/>
  <c r="BD89" i="20" s="1"/>
  <c r="BH89" i="20" s="1"/>
  <c r="BJ23" i="20"/>
  <c r="BJ104" i="20"/>
  <c r="BJ98" i="20"/>
  <c r="BB105" i="20"/>
  <c r="BD105" i="20" s="1"/>
  <c r="BH105" i="20" s="1"/>
  <c r="BB36" i="20"/>
  <c r="BD36" i="20" s="1"/>
  <c r="BH36" i="20" s="1"/>
  <c r="BB52" i="20"/>
  <c r="BD52" i="20" s="1"/>
  <c r="BH52" i="20" s="1"/>
  <c r="BK78" i="20"/>
  <c r="BJ69" i="20"/>
  <c r="BE17" i="20"/>
  <c r="BB78" i="20"/>
  <c r="BD78" i="20" s="1"/>
  <c r="BH78" i="20" s="1"/>
  <c r="BJ49" i="20"/>
  <c r="BB44" i="20"/>
  <c r="BD44" i="20" s="1"/>
  <c r="BH44" i="20" s="1"/>
  <c r="BJ72" i="20"/>
  <c r="BB72" i="20"/>
  <c r="BD72" i="20" s="1"/>
  <c r="BH72" i="20" s="1"/>
  <c r="BK66" i="20"/>
  <c r="BB107" i="20"/>
  <c r="BD107" i="20" s="1"/>
  <c r="BH107" i="20" s="1"/>
  <c r="BJ88" i="20"/>
  <c r="BB23" i="20"/>
  <c r="BD23" i="20" s="1"/>
  <c r="BH23" i="20" s="1"/>
  <c r="BF65" i="20"/>
  <c r="BJ66" i="20"/>
  <c r="BF46" i="20"/>
  <c r="BF21" i="20"/>
  <c r="BK72" i="20"/>
  <c r="BB88" i="20"/>
  <c r="BD88" i="20" s="1"/>
  <c r="BH88" i="20" s="1"/>
  <c r="BE29" i="20"/>
  <c r="BF30" i="20"/>
  <c r="BF74" i="20"/>
  <c r="BF69" i="20"/>
  <c r="BF58" i="20"/>
  <c r="BF53" i="20"/>
  <c r="BK58" i="20"/>
  <c r="BJ13" i="20"/>
  <c r="BE54" i="20"/>
  <c r="BK38" i="20"/>
  <c r="BK74" i="20"/>
  <c r="BJ31" i="20"/>
  <c r="BB53" i="20"/>
  <c r="BD53" i="20" s="1"/>
  <c r="BH53" i="20" s="1"/>
  <c r="BJ30" i="20"/>
  <c r="BJ53" i="20"/>
  <c r="BJ92" i="20"/>
  <c r="BJ42" i="20"/>
  <c r="BE50" i="20"/>
  <c r="BB42" i="20"/>
  <c r="BD42" i="20" s="1"/>
  <c r="BH42" i="20" s="1"/>
  <c r="BJ58" i="20"/>
  <c r="BF41" i="20"/>
  <c r="BB49" i="20"/>
  <c r="BD49" i="20" s="1"/>
  <c r="BH49" i="20" s="1"/>
  <c r="BJ39" i="20"/>
  <c r="BB45" i="20"/>
  <c r="BD45" i="20" s="1"/>
  <c r="BH45" i="20" s="1"/>
  <c r="BJ41" i="20"/>
  <c r="BJ57" i="20"/>
  <c r="BE37" i="20"/>
  <c r="BK29" i="20"/>
  <c r="BB17" i="20"/>
  <c r="BD17" i="20" s="1"/>
  <c r="BH17" i="20" s="1"/>
  <c r="BB37" i="20"/>
  <c r="BD37" i="20" s="1"/>
  <c r="BH37" i="20" s="1"/>
  <c r="BB76" i="20"/>
  <c r="BD76" i="20" s="1"/>
  <c r="BH76" i="20" s="1"/>
  <c r="BB57" i="20"/>
  <c r="BD57" i="20" s="1"/>
  <c r="BH57" i="20" s="1"/>
  <c r="BJ46" i="20"/>
  <c r="BJ99" i="20"/>
  <c r="BJ45" i="20"/>
  <c r="BJ18" i="20"/>
  <c r="BJ27" i="20"/>
  <c r="BF27" i="20"/>
  <c r="BF25" i="20"/>
  <c r="BE38" i="20"/>
  <c r="BF39" i="20"/>
  <c r="BB30" i="20"/>
  <c r="BD30" i="20" s="1"/>
  <c r="BH30" i="20" s="1"/>
  <c r="BF45" i="20"/>
  <c r="BB31" i="20"/>
  <c r="BD31" i="20" s="1"/>
  <c r="BH31" i="20" s="1"/>
  <c r="BB60" i="20"/>
  <c r="BD60" i="20" s="1"/>
  <c r="BH60" i="20" s="1"/>
  <c r="BB99" i="20"/>
  <c r="BD99" i="20" s="1"/>
  <c r="BH99" i="20" s="1"/>
  <c r="BB92" i="20"/>
  <c r="BD92" i="20" s="1"/>
  <c r="BH92" i="20" s="1"/>
  <c r="BB91" i="20"/>
  <c r="BD91" i="20" s="1"/>
  <c r="BH91" i="20" s="1"/>
  <c r="BK27" i="20"/>
  <c r="BJ76" i="20"/>
  <c r="BJ91" i="20"/>
  <c r="BJ60" i="20"/>
  <c r="BK54" i="20"/>
  <c r="BB10" i="20"/>
  <c r="BD10" i="20" s="1"/>
  <c r="BH10" i="20" s="1"/>
  <c r="BF61" i="20"/>
  <c r="BJ61" i="20"/>
  <c r="BK61" i="20"/>
  <c r="BI10" i="20"/>
  <c r="BB13" i="20"/>
  <c r="BD13" i="20" s="1"/>
  <c r="BH13" i="20" s="1"/>
  <c r="BB100" i="20"/>
  <c r="BD100" i="20" s="1"/>
  <c r="BH100" i="20" s="1"/>
  <c r="BB41" i="20"/>
  <c r="BD41" i="20" s="1"/>
  <c r="BH41" i="20" s="1"/>
  <c r="BJ34" i="20"/>
  <c r="BK132" i="20"/>
  <c r="BJ74" i="20"/>
  <c r="BB46" i="20"/>
  <c r="BD46" i="20" s="1"/>
  <c r="BH46" i="20" s="1"/>
  <c r="BB97" i="20"/>
  <c r="BD97" i="20" s="1"/>
  <c r="BH97" i="20" s="1"/>
  <c r="BB39" i="20"/>
  <c r="BD39" i="20" s="1"/>
  <c r="BH39" i="20" s="1"/>
  <c r="BB58" i="20"/>
  <c r="BD58" i="20" s="1"/>
  <c r="BH58" i="20" s="1"/>
  <c r="BB82" i="20"/>
  <c r="BD82" i="20" s="1"/>
  <c r="BH82" i="20" s="1"/>
  <c r="H4" i="21"/>
  <c r="BB79" i="20"/>
  <c r="BD79" i="20" s="1"/>
  <c r="BH79" i="20" s="1"/>
  <c r="BB94" i="20"/>
  <c r="BD94" i="20" s="1"/>
  <c r="BH94" i="20" s="1"/>
  <c r="BB102" i="20"/>
  <c r="BD102" i="20" s="1"/>
  <c r="BH102" i="20" s="1"/>
  <c r="BB108" i="20"/>
  <c r="BD108" i="20" s="1"/>
  <c r="BH108" i="20" s="1"/>
  <c r="BK100" i="20"/>
  <c r="BK109" i="20"/>
  <c r="BJ97" i="20"/>
  <c r="BJ94" i="20"/>
  <c r="BJ82" i="20"/>
  <c r="BJ79" i="20"/>
  <c r="BJ108" i="20"/>
  <c r="BJ102" i="20"/>
  <c r="BJ106" i="20"/>
  <c r="BB81" i="20"/>
  <c r="BD81" i="20" s="1"/>
  <c r="BH81" i="20" s="1"/>
  <c r="BJ21" i="20"/>
  <c r="BB132" i="20"/>
  <c r="BD132" i="20" s="1"/>
  <c r="BH132" i="20" s="1"/>
  <c r="BF57" i="20"/>
  <c r="BJ90" i="20"/>
  <c r="BH9" i="20"/>
  <c r="B456" i="2" s="1"/>
  <c r="H2" i="20"/>
  <c r="BH209" i="20"/>
  <c r="B457" i="2" s="1"/>
  <c r="H4" i="20"/>
  <c r="BJ54" i="20"/>
  <c r="BK76" i="20"/>
  <c r="BB61" i="20"/>
  <c r="BD61" i="20" s="1"/>
  <c r="BH61" i="20" s="1"/>
  <c r="BK82" i="20"/>
  <c r="BK108" i="20"/>
  <c r="BK60" i="20"/>
  <c r="BK46" i="20"/>
  <c r="BJ148" i="20"/>
  <c r="BK81" i="20"/>
  <c r="BJ100" i="20"/>
  <c r="BK92" i="20"/>
  <c r="BK102" i="20"/>
  <c r="BK94" i="20"/>
  <c r="BK91" i="20"/>
  <c r="AI26" i="20"/>
  <c r="BK106" i="20"/>
  <c r="BK79" i="20"/>
  <c r="BJ132" i="20"/>
  <c r="BK97" i="20"/>
  <c r="BK99" i="20"/>
  <c r="AN33" i="20"/>
  <c r="BE33" i="20" s="1"/>
  <c r="BK23" i="21"/>
  <c r="BE23" i="21" s="1"/>
  <c r="BB23" i="21"/>
  <c r="BD23" i="21" s="1"/>
  <c r="BH23" i="21" s="1"/>
  <c r="BH19" i="21"/>
  <c r="H2" i="21"/>
  <c r="BH59" i="21"/>
  <c r="H3" i="21"/>
  <c r="BB54" i="20"/>
  <c r="BD54" i="20" s="1"/>
  <c r="BH54" i="20" s="1"/>
  <c r="BB34" i="20"/>
  <c r="BD34" i="20" s="1"/>
  <c r="BH34" i="20" s="1"/>
  <c r="BJ81" i="20"/>
  <c r="BB85" i="20"/>
  <c r="BD85" i="20" s="1"/>
  <c r="BH85" i="20" s="1"/>
  <c r="BB21" i="20"/>
  <c r="BD21" i="20" s="1"/>
  <c r="BH21" i="20" s="1"/>
  <c r="BB18" i="20"/>
  <c r="BD18" i="20" s="1"/>
  <c r="BH18" i="20" s="1"/>
  <c r="BB90" i="20"/>
  <c r="BD90" i="20" s="1"/>
  <c r="BH90" i="20" s="1"/>
  <c r="BK90" i="20"/>
  <c r="BB69" i="20"/>
  <c r="BD69" i="20" s="1"/>
  <c r="BH69" i="20" s="1"/>
  <c r="BI21" i="20"/>
  <c r="BJ38" i="20"/>
  <c r="BB65" i="20"/>
  <c r="BD65" i="20" s="1"/>
  <c r="BH65" i="20" s="1"/>
  <c r="BJ65" i="20"/>
  <c r="BK65" i="20"/>
  <c r="BK70" i="20"/>
  <c r="BK50" i="20"/>
  <c r="BJ50" i="20"/>
  <c r="BB74" i="20"/>
  <c r="BD74" i="20" s="1"/>
  <c r="BH74" i="20" s="1"/>
  <c r="BB70" i="20"/>
  <c r="BD70" i="20" s="1"/>
  <c r="BH70" i="20" s="1"/>
  <c r="BJ70" i="20"/>
  <c r="BJ109" i="20"/>
  <c r="BK85" i="20"/>
  <c r="BJ85" i="20"/>
  <c r="BB50" i="20"/>
  <c r="BD50" i="20" s="1"/>
  <c r="BH50" i="20" s="1"/>
  <c r="BB66" i="20"/>
  <c r="BD66" i="20" s="1"/>
  <c r="BH66" i="20" s="1"/>
  <c r="BB73" i="20"/>
  <c r="BD73" i="20" s="1"/>
  <c r="BH73" i="20" s="1"/>
  <c r="BJ73" i="20"/>
  <c r="BB77" i="20"/>
  <c r="BD77" i="20" s="1"/>
  <c r="BH77" i="20" s="1"/>
  <c r="BB106" i="20"/>
  <c r="BD106" i="20" s="1"/>
  <c r="BH106" i="20" s="1"/>
  <c r="BB29" i="20"/>
  <c r="BD29" i="20" s="1"/>
  <c r="BH29" i="20" s="1"/>
  <c r="BI109" i="20"/>
  <c r="BB109" i="20"/>
  <c r="BD109" i="20" s="1"/>
  <c r="BJ14" i="20"/>
  <c r="BK25" i="20"/>
  <c r="BJ25" i="20"/>
  <c r="BB25" i="20"/>
  <c r="BD25" i="20" s="1"/>
  <c r="BH25" i="20" s="1"/>
  <c r="BJ29" i="20"/>
  <c r="BB14" i="20"/>
  <c r="BD14" i="20" s="1"/>
  <c r="BH14" i="20" s="1"/>
  <c r="BB38" i="20"/>
  <c r="BD38" i="20" s="1"/>
  <c r="BH38" i="20" s="1"/>
  <c r="BI38" i="20"/>
  <c r="BK14" i="20"/>
  <c r="D607" i="17"/>
  <c r="D194" i="17"/>
  <c r="C598" i="17"/>
  <c r="D606" i="17"/>
  <c r="C174" i="17"/>
  <c r="D291" i="17"/>
  <c r="D60" i="17"/>
  <c r="C524" i="17"/>
  <c r="C420" i="17"/>
  <c r="C446" i="17"/>
  <c r="C228" i="17"/>
  <c r="D222" i="17"/>
  <c r="D562" i="17"/>
  <c r="C484" i="17"/>
  <c r="D418" i="17"/>
  <c r="D163" i="17"/>
  <c r="D472" i="17"/>
  <c r="D561" i="17"/>
  <c r="D381" i="17"/>
  <c r="C449" i="17"/>
  <c r="C123" i="17"/>
  <c r="C30" i="17"/>
  <c r="D594" i="17"/>
  <c r="C541" i="17"/>
  <c r="C516" i="17"/>
  <c r="C594" i="17"/>
  <c r="C546" i="17"/>
  <c r="C380" i="17"/>
  <c r="D227" i="17"/>
  <c r="D585" i="17"/>
  <c r="C535" i="17"/>
  <c r="C382" i="17"/>
  <c r="D215" i="17"/>
  <c r="D281" i="17"/>
  <c r="D509" i="17"/>
  <c r="D304" i="17"/>
  <c r="C513" i="17"/>
  <c r="D359" i="17"/>
  <c r="C251" i="17"/>
  <c r="D29" i="17"/>
  <c r="C77" i="17"/>
  <c r="D368" i="17"/>
  <c r="C610" i="17"/>
  <c r="D546" i="17"/>
  <c r="C570" i="17"/>
  <c r="D494" i="17"/>
  <c r="D430" i="17"/>
  <c r="C468" i="17"/>
  <c r="D559" i="17"/>
  <c r="D474" i="17"/>
  <c r="D575" i="17"/>
  <c r="C480" i="17"/>
  <c r="C404" i="17"/>
  <c r="C387" i="17"/>
  <c r="D259" i="17"/>
  <c r="D131" i="17"/>
  <c r="C571" i="17"/>
  <c r="D600" i="17"/>
  <c r="C590" i="17"/>
  <c r="D440" i="17"/>
  <c r="C414" i="17"/>
  <c r="C389" i="17"/>
  <c r="C343" i="17"/>
  <c r="D576" i="17"/>
  <c r="C345" i="17"/>
  <c r="C293" i="17"/>
  <c r="C471" i="17"/>
  <c r="D317" i="17"/>
  <c r="C164" i="17"/>
  <c r="C113" i="17"/>
  <c r="D92" i="17"/>
  <c r="D519" i="17"/>
  <c r="D391" i="17"/>
  <c r="D366" i="17"/>
  <c r="D314" i="17"/>
  <c r="C64" i="17"/>
  <c r="D158" i="17"/>
  <c r="D268" i="17"/>
  <c r="C13" i="17"/>
  <c r="C157" i="17"/>
  <c r="C240" i="17"/>
  <c r="D597" i="17"/>
  <c r="D598" i="17"/>
  <c r="D586" i="17"/>
  <c r="D554" i="17"/>
  <c r="D551" i="17"/>
  <c r="C586" i="17"/>
  <c r="C533" i="17"/>
  <c r="D502" i="17"/>
  <c r="D470" i="17"/>
  <c r="D438" i="17"/>
  <c r="C508" i="17"/>
  <c r="C476" i="17"/>
  <c r="C606" i="17"/>
  <c r="D591" i="17"/>
  <c r="C562" i="17"/>
  <c r="D490" i="17"/>
  <c r="D426" i="17"/>
  <c r="D566" i="17"/>
  <c r="D514" i="17"/>
  <c r="C496" i="17"/>
  <c r="C444" i="17"/>
  <c r="C412" i="17"/>
  <c r="C364" i="17"/>
  <c r="C403" i="17"/>
  <c r="C339" i="17"/>
  <c r="D275" i="17"/>
  <c r="D211" i="17"/>
  <c r="D147" i="17"/>
  <c r="C287" i="17"/>
  <c r="C587" i="17"/>
  <c r="D553" i="17"/>
  <c r="D534" i="17"/>
  <c r="D572" i="17"/>
  <c r="C534" i="17"/>
  <c r="C519" i="17"/>
  <c r="D456" i="17"/>
  <c r="C494" i="17"/>
  <c r="C430" i="17"/>
  <c r="C366" i="17"/>
  <c r="C405" i="17"/>
  <c r="D582" i="17"/>
  <c r="C407" i="17"/>
  <c r="D151" i="17"/>
  <c r="D538" i="17"/>
  <c r="D460" i="17"/>
  <c r="C409" i="17"/>
  <c r="D249" i="17"/>
  <c r="D121" i="17"/>
  <c r="C561" i="17"/>
  <c r="C503" i="17"/>
  <c r="D477" i="17"/>
  <c r="D349" i="17"/>
  <c r="D324" i="17"/>
  <c r="C196" i="17"/>
  <c r="D272" i="17"/>
  <c r="C145" i="17"/>
  <c r="C106" i="17"/>
  <c r="D76" i="17"/>
  <c r="C497" i="17"/>
  <c r="C433" i="17"/>
  <c r="D471" i="17"/>
  <c r="D407" i="17"/>
  <c r="D343" i="17"/>
  <c r="D382" i="17"/>
  <c r="C270" i="17"/>
  <c r="C142" i="17"/>
  <c r="C219" i="17"/>
  <c r="C32" i="17"/>
  <c r="D62" i="17"/>
  <c r="D190" i="17"/>
  <c r="D61" i="17"/>
  <c r="C91" i="17"/>
  <c r="D172" i="17"/>
  <c r="D79" i="17"/>
  <c r="C109" i="17"/>
  <c r="C125" i="17"/>
  <c r="C253" i="17"/>
  <c r="C176" i="17"/>
  <c r="D329" i="17"/>
  <c r="D544" i="17"/>
  <c r="C378" i="17"/>
  <c r="C208" i="17"/>
  <c r="D336" i="17"/>
  <c r="D361" i="17"/>
  <c r="D489" i="17"/>
  <c r="D573" i="17"/>
  <c r="D221" i="17"/>
  <c r="C506" i="17"/>
  <c r="D75" i="17"/>
  <c r="C585" i="17"/>
  <c r="C408" i="17"/>
  <c r="D599" i="17"/>
  <c r="D547" i="17"/>
  <c r="C442" i="17"/>
  <c r="C317" i="17"/>
  <c r="D189" i="17"/>
  <c r="C609" i="17"/>
  <c r="D527" i="17"/>
  <c r="C443" i="17"/>
  <c r="D473" i="17"/>
  <c r="D409" i="17"/>
  <c r="D345" i="17"/>
  <c r="D384" i="17"/>
  <c r="D320" i="17"/>
  <c r="C256" i="17"/>
  <c r="C192" i="17"/>
  <c r="C128" i="17"/>
  <c r="C269" i="17"/>
  <c r="C205" i="17"/>
  <c r="C141" i="17"/>
  <c r="C46" i="17"/>
  <c r="C110" i="17"/>
  <c r="C61" i="17"/>
  <c r="D95" i="17"/>
  <c r="D31" i="17"/>
  <c r="D156" i="17"/>
  <c r="D220" i="17"/>
  <c r="C107" i="17"/>
  <c r="C43" i="17"/>
  <c r="D77" i="17"/>
  <c r="D13" i="17"/>
  <c r="D174" i="17"/>
  <c r="D238" i="17"/>
  <c r="D78" i="17"/>
  <c r="D14" i="17"/>
  <c r="C48" i="17"/>
  <c r="C139" i="17"/>
  <c r="C203" i="17"/>
  <c r="C267" i="17"/>
  <c r="C126" i="17"/>
  <c r="C190" i="17"/>
  <c r="C254" i="17"/>
  <c r="D318" i="17"/>
  <c r="D374" i="17"/>
  <c r="D406" i="17"/>
  <c r="D335" i="17"/>
  <c r="D367" i="17"/>
  <c r="D399" i="17"/>
  <c r="D431" i="17"/>
  <c r="D463" i="17"/>
  <c r="D495" i="17"/>
  <c r="C425" i="17"/>
  <c r="C457" i="17"/>
  <c r="C489" i="17"/>
  <c r="D520" i="17"/>
  <c r="D84" i="17"/>
  <c r="D52" i="17"/>
  <c r="D20" i="17"/>
  <c r="C58" i="17"/>
  <c r="C129" i="17"/>
  <c r="C193" i="17"/>
  <c r="C257" i="17"/>
  <c r="C116" i="17"/>
  <c r="C180" i="17"/>
  <c r="C244" i="17"/>
  <c r="C308" i="17"/>
  <c r="D372" i="17"/>
  <c r="D333" i="17"/>
  <c r="D397" i="17"/>
  <c r="D461" i="17"/>
  <c r="C423" i="17"/>
  <c r="C487" i="17"/>
  <c r="C568" i="17"/>
  <c r="C545" i="17"/>
  <c r="D609" i="17"/>
  <c r="C309" i="17"/>
  <c r="D169" i="17"/>
  <c r="D233" i="17"/>
  <c r="D297" i="17"/>
  <c r="C377" i="17"/>
  <c r="C402" i="17"/>
  <c r="D428" i="17"/>
  <c r="C566" i="17"/>
  <c r="C608" i="17"/>
  <c r="C559" i="17"/>
  <c r="D610" i="17"/>
  <c r="D536" i="17"/>
  <c r="D446" i="17"/>
  <c r="D47" i="17"/>
  <c r="D603" i="17"/>
  <c r="D423" i="17"/>
  <c r="D510" i="17"/>
  <c r="C316" i="17"/>
  <c r="C318" i="17"/>
  <c r="C177" i="17"/>
  <c r="C59" i="17"/>
  <c r="D567" i="17"/>
  <c r="D602" i="17"/>
  <c r="C452" i="17"/>
  <c r="C303" i="17"/>
  <c r="C510" i="17"/>
  <c r="C523" i="17"/>
  <c r="D356" i="17"/>
  <c r="D487" i="17"/>
  <c r="D30" i="17"/>
  <c r="C221" i="17"/>
  <c r="D578" i="17"/>
  <c r="C525" i="17"/>
  <c r="C500" i="17"/>
  <c r="C537" i="17"/>
  <c r="D482" i="17"/>
  <c r="C348" i="17"/>
  <c r="D195" i="17"/>
  <c r="D533" i="17"/>
  <c r="D504" i="17"/>
  <c r="C350" i="17"/>
  <c r="C291" i="17"/>
  <c r="D217" i="17"/>
  <c r="D445" i="17"/>
  <c r="C241" i="17"/>
  <c r="C481" i="17"/>
  <c r="D327" i="17"/>
  <c r="C187" i="17"/>
  <c r="D93" i="17"/>
  <c r="C94" i="17"/>
  <c r="D393" i="17"/>
  <c r="C602" i="17"/>
  <c r="D583" i="17"/>
  <c r="C554" i="17"/>
  <c r="D486" i="17"/>
  <c r="D422" i="17"/>
  <c r="C460" i="17"/>
  <c r="C536" i="17"/>
  <c r="D458" i="17"/>
  <c r="C528" i="17"/>
  <c r="C464" i="17"/>
  <c r="C396" i="17"/>
  <c r="C371" i="17"/>
  <c r="D243" i="17"/>
  <c r="D115" i="17"/>
  <c r="C555" i="17"/>
  <c r="C604" i="17"/>
  <c r="C558" i="17"/>
  <c r="D424" i="17"/>
  <c r="C398" i="17"/>
  <c r="C373" i="17"/>
  <c r="D279" i="17"/>
  <c r="C538" i="17"/>
  <c r="D313" i="17"/>
  <c r="C605" i="17"/>
  <c r="C439" i="17"/>
  <c r="D388" i="17"/>
  <c r="C132" i="17"/>
  <c r="C42" i="17"/>
  <c r="D528" i="17"/>
  <c r="D503" i="17"/>
  <c r="D375" i="17"/>
  <c r="D334" i="17"/>
  <c r="D282" i="17"/>
  <c r="C96" i="17"/>
  <c r="D126" i="17"/>
  <c r="D236" i="17"/>
  <c r="C45" i="17"/>
  <c r="C189" i="17"/>
  <c r="C304" i="17"/>
  <c r="D157" i="17"/>
  <c r="C272" i="17"/>
  <c r="D425" i="17"/>
  <c r="C297" i="17"/>
  <c r="D577" i="17"/>
  <c r="C275" i="17"/>
  <c r="C548" i="17"/>
  <c r="C417" i="17"/>
  <c r="D125" i="17"/>
  <c r="C507" i="17"/>
  <c r="D441" i="17"/>
  <c r="D416" i="17"/>
  <c r="C288" i="17"/>
  <c r="C160" i="17"/>
  <c r="C237" i="17"/>
  <c r="C14" i="17"/>
  <c r="C93" i="17"/>
  <c r="D63" i="17"/>
  <c r="D188" i="17"/>
  <c r="C75" i="17"/>
  <c r="D45" i="17"/>
  <c r="D206" i="17"/>
  <c r="D46" i="17"/>
  <c r="C16" i="17"/>
  <c r="C235" i="17"/>
  <c r="C158" i="17"/>
  <c r="C286" i="17"/>
  <c r="D390" i="17"/>
  <c r="D351" i="17"/>
  <c r="D415" i="17"/>
  <c r="D479" i="17"/>
  <c r="C441" i="17"/>
  <c r="C505" i="17"/>
  <c r="D68" i="17"/>
  <c r="C90" i="17"/>
  <c r="C161" i="17"/>
  <c r="D288" i="17"/>
  <c r="C212" i="17"/>
  <c r="D340" i="17"/>
  <c r="D365" i="17"/>
  <c r="D493" i="17"/>
  <c r="C520" i="17"/>
  <c r="C577" i="17"/>
  <c r="D137" i="17"/>
  <c r="D265" i="17"/>
  <c r="C338" i="17"/>
  <c r="D492" i="17"/>
  <c r="D521" i="17"/>
  <c r="D119" i="17"/>
  <c r="D247" i="17"/>
  <c r="C375" i="17"/>
  <c r="C400" i="17"/>
  <c r="C544" i="17"/>
  <c r="C365" i="17"/>
  <c r="C397" i="17"/>
  <c r="C326" i="17"/>
  <c r="C358" i="17"/>
  <c r="C390" i="17"/>
  <c r="C422" i="17"/>
  <c r="C454" i="17"/>
  <c r="C486" i="17"/>
  <c r="C518" i="17"/>
  <c r="D448" i="17"/>
  <c r="D480" i="17"/>
  <c r="D512" i="17"/>
  <c r="C543" i="17"/>
  <c r="C526" i="17"/>
  <c r="D571" i="17"/>
  <c r="D564" i="17"/>
  <c r="C596" i="17"/>
  <c r="D608" i="17"/>
  <c r="C572" i="17"/>
  <c r="D541" i="17"/>
  <c r="C547" i="17"/>
  <c r="C579" i="17"/>
  <c r="D611" i="17"/>
  <c r="C279" i="17"/>
  <c r="C311" i="17"/>
  <c r="D139" i="17"/>
  <c r="D171" i="17"/>
  <c r="D203" i="17"/>
  <c r="D235" i="17"/>
  <c r="D267" i="17"/>
  <c r="D299" i="17"/>
  <c r="C331" i="17"/>
  <c r="C363" i="17"/>
  <c r="C395" i="17"/>
  <c r="C324" i="17"/>
  <c r="C356" i="17"/>
  <c r="C388" i="17"/>
  <c r="D127" i="17"/>
  <c r="D348" i="17"/>
  <c r="D342" i="17"/>
  <c r="C310" i="17"/>
  <c r="C278" i="17"/>
  <c r="C246" i="17"/>
  <c r="C214" i="17"/>
  <c r="C182" i="17"/>
  <c r="C150" i="17"/>
  <c r="C118" i="17"/>
  <c r="D290" i="17"/>
  <c r="C259" i="17"/>
  <c r="C227" i="17"/>
  <c r="C195" i="17"/>
  <c r="C163" i="17"/>
  <c r="C131" i="17"/>
  <c r="C24" i="17"/>
  <c r="C56" i="17"/>
  <c r="C88" i="17"/>
  <c r="D22" i="17"/>
  <c r="D54" i="17"/>
  <c r="D86" i="17"/>
  <c r="D262" i="17"/>
  <c r="D230" i="17"/>
  <c r="D198" i="17"/>
  <c r="D166" i="17"/>
  <c r="D134" i="17"/>
  <c r="D21" i="17"/>
  <c r="D53" i="17"/>
  <c r="D85" i="17"/>
  <c r="C19" i="17"/>
  <c r="C51" i="17"/>
  <c r="C83" i="17"/>
  <c r="D104" i="17"/>
  <c r="D244" i="17"/>
  <c r="D212" i="17"/>
  <c r="D180" i="17"/>
  <c r="D148" i="17"/>
  <c r="D116" i="17"/>
  <c r="D39" i="17"/>
  <c r="D71" i="17"/>
  <c r="D103" i="17"/>
  <c r="C37" i="17"/>
  <c r="C69" i="17"/>
  <c r="C101" i="17"/>
  <c r="C102" i="17"/>
  <c r="C70" i="17"/>
  <c r="C38" i="17"/>
  <c r="C117" i="17"/>
  <c r="C149" i="17"/>
  <c r="C181" i="17"/>
  <c r="C213" i="17"/>
  <c r="C245" i="17"/>
  <c r="D276" i="17"/>
  <c r="D308" i="17"/>
  <c r="C136" i="17"/>
  <c r="C168" i="17"/>
  <c r="C200" i="17"/>
  <c r="C232" i="17"/>
  <c r="C264" i="17"/>
  <c r="C296" i="17"/>
  <c r="D328" i="17"/>
  <c r="D360" i="17"/>
  <c r="D392" i="17"/>
  <c r="D321" i="17"/>
  <c r="D353" i="17"/>
  <c r="D385" i="17"/>
  <c r="D417" i="17"/>
  <c r="D449" i="17"/>
  <c r="D481" i="17"/>
  <c r="D513" i="17"/>
  <c r="C459" i="17"/>
  <c r="D522" i="17"/>
  <c r="D543" i="17"/>
  <c r="C581" i="17"/>
  <c r="C281" i="17"/>
  <c r="D141" i="17"/>
  <c r="D205" i="17"/>
  <c r="D269" i="17"/>
  <c r="C333" i="17"/>
  <c r="C346" i="17"/>
  <c r="C474" i="17"/>
  <c r="D500" i="17"/>
  <c r="D552" i="17"/>
  <c r="D529" i="17"/>
  <c r="C611" i="17"/>
  <c r="C319" i="17"/>
  <c r="C488" i="17"/>
  <c r="C482" i="17"/>
  <c r="D501" i="17"/>
  <c r="C151" i="17"/>
  <c r="D331" i="17"/>
  <c r="D159" i="17"/>
  <c r="D287" i="17"/>
  <c r="C415" i="17"/>
  <c r="C440" i="17"/>
  <c r="C504" i="17"/>
  <c r="D560" i="17"/>
  <c r="C450" i="17"/>
  <c r="D526" i="17"/>
  <c r="C156" i="17"/>
  <c r="C202" i="17"/>
  <c r="D507" i="17"/>
  <c r="D199" i="17"/>
  <c r="D508" i="17"/>
  <c r="D295" i="17"/>
  <c r="C337" i="17"/>
  <c r="C285" i="17"/>
  <c r="C463" i="17"/>
  <c r="D412" i="17"/>
  <c r="C233" i="17"/>
  <c r="D483" i="17"/>
  <c r="D278" i="17"/>
  <c r="D136" i="17"/>
  <c r="D302" i="17"/>
  <c r="D225" i="17"/>
  <c r="D427" i="17"/>
  <c r="D296" i="17"/>
  <c r="C82" i="17"/>
  <c r="C445" i="17"/>
  <c r="D394" i="17"/>
  <c r="C138" i="17"/>
  <c r="C68" i="17"/>
  <c r="D264" i="17"/>
  <c r="C613" i="17"/>
  <c r="D354" i="17"/>
  <c r="D256" i="17"/>
  <c r="C127" i="17"/>
  <c r="C23" i="17"/>
  <c r="D96" i="17"/>
  <c r="D515" i="17"/>
  <c r="D387" i="17"/>
  <c r="D362" i="17"/>
  <c r="C234" i="17"/>
  <c r="D310" i="17"/>
  <c r="C183" i="17"/>
  <c r="D34" i="17"/>
  <c r="D33" i="17"/>
  <c r="D200" i="17"/>
  <c r="C81" i="17"/>
  <c r="C447" i="17"/>
  <c r="D532" i="17"/>
  <c r="C226" i="17"/>
  <c r="D106" i="17"/>
  <c r="D128" i="17"/>
  <c r="C485" i="17"/>
  <c r="D226" i="17"/>
  <c r="D312" i="17"/>
  <c r="C514" i="17"/>
  <c r="D389" i="17"/>
  <c r="C100" i="17"/>
  <c r="D250" i="17"/>
  <c r="D122" i="17"/>
  <c r="C31" i="17"/>
  <c r="D232" i="17"/>
  <c r="D19" i="17"/>
  <c r="C49" i="17"/>
  <c r="C539" i="17"/>
  <c r="D531" i="17"/>
  <c r="C268" i="17"/>
  <c r="D40" i="17"/>
  <c r="D443" i="17"/>
  <c r="C290" i="17"/>
  <c r="C239" i="17"/>
  <c r="D42" i="17"/>
  <c r="D41" i="17"/>
  <c r="D192" i="17"/>
  <c r="C89" i="17"/>
  <c r="D581" i="17"/>
  <c r="D24" i="17"/>
  <c r="C306" i="17"/>
  <c r="D26" i="17"/>
  <c r="D208" i="17"/>
  <c r="D517" i="17"/>
  <c r="C210" i="17"/>
  <c r="D112" i="17"/>
  <c r="C223" i="17"/>
  <c r="C28" i="17"/>
  <c r="C453" i="17"/>
  <c r="C87" i="17"/>
  <c r="D161" i="17"/>
  <c r="D58" i="17"/>
  <c r="D56" i="17"/>
  <c r="C41" i="17"/>
  <c r="D130" i="17"/>
  <c r="D286" i="17"/>
  <c r="D491" i="17"/>
  <c r="D364" i="17"/>
  <c r="C307" i="17"/>
  <c r="D144" i="17"/>
  <c r="D89" i="17"/>
  <c r="D90" i="17"/>
  <c r="C191" i="17"/>
  <c r="C242" i="17"/>
  <c r="D395" i="17"/>
  <c r="D88" i="17"/>
  <c r="C172" i="17"/>
  <c r="C479" i="17"/>
  <c r="C361" i="17"/>
  <c r="C623" i="17"/>
  <c r="D91" i="17"/>
  <c r="D160" i="17"/>
  <c r="C103" i="17"/>
  <c r="D73" i="17"/>
  <c r="D178" i="17"/>
  <c r="D74" i="17"/>
  <c r="C44" i="17"/>
  <c r="C207" i="17"/>
  <c r="C130" i="17"/>
  <c r="C258" i="17"/>
  <c r="D386" i="17"/>
  <c r="D411" i="17"/>
  <c r="C437" i="17"/>
  <c r="D72" i="17"/>
  <c r="C153" i="17"/>
  <c r="C204" i="17"/>
  <c r="D357" i="17"/>
  <c r="C511" i="17"/>
  <c r="D129" i="17"/>
  <c r="C386" i="17"/>
  <c r="C384" i="17"/>
  <c r="C65" i="17"/>
  <c r="D99" i="17"/>
  <c r="D35" i="17"/>
  <c r="D152" i="17"/>
  <c r="D216" i="17"/>
  <c r="D100" i="17"/>
  <c r="C47" i="17"/>
  <c r="D81" i="17"/>
  <c r="D17" i="17"/>
  <c r="D170" i="17"/>
  <c r="D234" i="17"/>
  <c r="D82" i="17"/>
  <c r="D18" i="17"/>
  <c r="C52" i="17"/>
  <c r="C135" i="17"/>
  <c r="C199" i="17"/>
  <c r="C263" i="17"/>
  <c r="C122" i="17"/>
  <c r="C186" i="17"/>
  <c r="C250" i="17"/>
  <c r="C314" i="17"/>
  <c r="D378" i="17"/>
  <c r="D339" i="17"/>
  <c r="D403" i="17"/>
  <c r="D467" i="17"/>
  <c r="C429" i="17"/>
  <c r="C493" i="17"/>
  <c r="D80" i="17"/>
  <c r="D16" i="17"/>
  <c r="C137" i="17"/>
  <c r="C265" i="17"/>
  <c r="C188" i="17"/>
  <c r="D316" i="17"/>
  <c r="D341" i="17"/>
  <c r="D469" i="17"/>
  <c r="C495" i="17"/>
  <c r="C553" i="17"/>
  <c r="D113" i="17"/>
  <c r="D241" i="17"/>
  <c r="C322" i="17"/>
  <c r="C564" i="17"/>
  <c r="C320" i="17"/>
  <c r="C418" i="17"/>
  <c r="C522" i="17"/>
  <c r="C575" i="17"/>
  <c r="D263" i="17"/>
  <c r="C416" i="17"/>
  <c r="C578" i="17"/>
  <c r="C456" i="17"/>
  <c r="C392" i="17"/>
  <c r="C328" i="17"/>
  <c r="C367" i="17"/>
  <c r="D303" i="17"/>
  <c r="D239" i="17"/>
  <c r="D175" i="17"/>
  <c r="D111" i="17"/>
  <c r="C632" i="17"/>
  <c r="C551" i="17"/>
  <c r="C580" i="17"/>
  <c r="C600" i="17"/>
  <c r="D579" i="17"/>
  <c r="C550" i="17"/>
  <c r="D484" i="17"/>
  <c r="D420" i="17"/>
  <c r="C458" i="17"/>
  <c r="C394" i="17"/>
  <c r="C330" i="17"/>
  <c r="C369" i="17"/>
  <c r="C325" i="17"/>
  <c r="D293" i="17"/>
  <c r="D261" i="17"/>
  <c r="D229" i="17"/>
  <c r="D197" i="17"/>
  <c r="D165" i="17"/>
  <c r="D133" i="17"/>
  <c r="C305" i="17"/>
  <c r="C273" i="17"/>
  <c r="D605" i="17"/>
  <c r="C573" i="17"/>
  <c r="D589" i="17"/>
  <c r="D535" i="17"/>
  <c r="C560" i="17"/>
  <c r="C515" i="17"/>
  <c r="C483" i="17"/>
  <c r="C451" i="17"/>
  <c r="D231" i="17"/>
  <c r="D555" i="17"/>
  <c r="C368" i="17"/>
  <c r="D558" i="17"/>
  <c r="C370" i="17"/>
  <c r="C144" i="17"/>
  <c r="D506" i="17"/>
  <c r="C556" i="17"/>
  <c r="D153" i="17"/>
  <c r="D398" i="17"/>
  <c r="C419" i="17"/>
  <c r="D478" i="17"/>
  <c r="D442" i="17"/>
  <c r="C355" i="17"/>
  <c r="D588" i="17"/>
  <c r="C357" i="17"/>
  <c r="C593" i="17"/>
  <c r="C74" i="17"/>
  <c r="C302" i="17"/>
  <c r="D204" i="17"/>
  <c r="D285" i="17"/>
  <c r="C540" i="17"/>
  <c r="D462" i="17"/>
  <c r="D590" i="17"/>
  <c r="C512" i="17"/>
  <c r="C436" i="17"/>
  <c r="C323" i="17"/>
  <c r="C271" i="17"/>
  <c r="D556" i="17"/>
  <c r="C478" i="17"/>
  <c r="D466" i="17"/>
  <c r="C498" i="17"/>
  <c r="D565" i="17"/>
  <c r="C292" i="17"/>
  <c r="D28" i="17"/>
  <c r="D455" i="17"/>
  <c r="C238" i="17"/>
  <c r="D140" i="17"/>
  <c r="C531" i="17"/>
  <c r="C532" i="17"/>
  <c r="D454" i="17"/>
  <c r="D574" i="17"/>
  <c r="A622" i="17"/>
  <c r="C428" i="17"/>
  <c r="D307" i="17"/>
  <c r="C599" i="17"/>
  <c r="D587" i="17"/>
  <c r="C462" i="17"/>
  <c r="C432" i="17"/>
  <c r="C434" i="17"/>
  <c r="D523" i="17"/>
  <c r="C260" i="17"/>
  <c r="D44" i="17"/>
  <c r="D439" i="17"/>
  <c r="C206" i="17"/>
  <c r="D254" i="17"/>
  <c r="D15" i="17"/>
  <c r="C112" i="17"/>
  <c r="C383" i="17"/>
  <c r="C475" i="17"/>
  <c r="D355" i="17"/>
  <c r="D468" i="17"/>
  <c r="C565" i="17"/>
  <c r="D377" i="17"/>
  <c r="C224" i="17"/>
  <c r="C173" i="17"/>
  <c r="C29" i="17"/>
  <c r="D252" i="17"/>
  <c r="D142" i="17"/>
  <c r="C80" i="17"/>
  <c r="D298" i="17"/>
  <c r="D350" i="17"/>
  <c r="D383" i="17"/>
  <c r="D511" i="17"/>
  <c r="D540" i="17"/>
  <c r="C26" i="17"/>
  <c r="C148" i="17"/>
  <c r="D404" i="17"/>
  <c r="C455" i="17"/>
  <c r="C277" i="17"/>
  <c r="C329" i="17"/>
  <c r="D595" i="17"/>
  <c r="D183" i="17"/>
  <c r="C336" i="17"/>
  <c r="C349" i="17"/>
  <c r="C413" i="17"/>
  <c r="C374" i="17"/>
  <c r="C438" i="17"/>
  <c r="C502" i="17"/>
  <c r="D464" i="17"/>
  <c r="C527" i="17"/>
  <c r="C542" i="17"/>
  <c r="D580" i="17"/>
  <c r="D542" i="17"/>
  <c r="D569" i="17"/>
  <c r="C595" i="17"/>
  <c r="C295" i="17"/>
  <c r="D155" i="17"/>
  <c r="D219" i="17"/>
  <c r="D283" i="17"/>
  <c r="C347" i="17"/>
  <c r="C411" i="17"/>
  <c r="C372" i="17"/>
  <c r="D550" i="17"/>
  <c r="D326" i="17"/>
  <c r="C262" i="17"/>
  <c r="C198" i="17"/>
  <c r="C134" i="17"/>
  <c r="D274" i="17"/>
  <c r="C211" i="17"/>
  <c r="C147" i="17"/>
  <c r="C40" i="17"/>
  <c r="C104" i="17"/>
  <c r="D70" i="17"/>
  <c r="D246" i="17"/>
  <c r="D182" i="17"/>
  <c r="D118" i="17"/>
  <c r="D69" i="17"/>
  <c r="C35" i="17"/>
  <c r="C99" i="17"/>
  <c r="D228" i="17"/>
  <c r="D164" i="17"/>
  <c r="D23" i="17"/>
  <c r="D87" i="17"/>
  <c r="C53" i="17"/>
  <c r="C626" i="17"/>
  <c r="C54" i="17"/>
  <c r="C133" i="17"/>
  <c r="C197" i="17"/>
  <c r="C261" i="17"/>
  <c r="C120" i="17"/>
  <c r="C184" i="17"/>
  <c r="C248" i="17"/>
  <c r="C312" i="17"/>
  <c r="D376" i="17"/>
  <c r="D337" i="17"/>
  <c r="D401" i="17"/>
  <c r="D465" i="17"/>
  <c r="C427" i="17"/>
  <c r="C576" i="17"/>
  <c r="D613" i="17"/>
  <c r="D173" i="17"/>
  <c r="D301" i="17"/>
  <c r="C410" i="17"/>
  <c r="C582" i="17"/>
  <c r="C567" i="17"/>
  <c r="C344" i="17"/>
  <c r="D273" i="17"/>
  <c r="D146" i="17"/>
  <c r="D223" i="17"/>
  <c r="C376" i="17"/>
  <c r="C327" i="17"/>
  <c r="D145" i="17"/>
  <c r="C509" i="17"/>
  <c r="D363" i="17"/>
  <c r="C354" i="17"/>
  <c r="D209" i="17"/>
  <c r="D437" i="17"/>
  <c r="D32" i="17"/>
  <c r="D98" i="17"/>
  <c r="C25" i="17"/>
  <c r="C220" i="17"/>
  <c r="D64" i="17"/>
  <c r="C266" i="17"/>
  <c r="D154" i="17"/>
  <c r="C34" i="17"/>
  <c r="C249" i="17"/>
  <c r="C185" i="17"/>
  <c r="D451" i="17"/>
  <c r="C298" i="17"/>
  <c r="C247" i="17"/>
  <c r="D218" i="17"/>
  <c r="D51" i="17"/>
  <c r="C140" i="17"/>
  <c r="C175" i="17"/>
  <c r="D453" i="17"/>
  <c r="D43" i="17"/>
  <c r="D57" i="17"/>
  <c r="D66" i="17"/>
  <c r="D65" i="17"/>
  <c r="D168" i="17"/>
  <c r="D626" i="17"/>
  <c r="D421" i="17"/>
  <c r="C469" i="17"/>
  <c r="C162" i="17"/>
  <c r="D210" i="17"/>
  <c r="D59" i="17"/>
  <c r="C300" i="17"/>
  <c r="C255" i="17"/>
  <c r="C73" i="17"/>
  <c r="D258" i="17"/>
  <c r="C105" i="17"/>
  <c r="C146" i="17"/>
  <c r="D176" i="17"/>
  <c r="C552" i="17"/>
  <c r="C92" i="17"/>
  <c r="C66" i="17"/>
  <c r="D107" i="17"/>
  <c r="D162" i="17"/>
  <c r="C114" i="17"/>
  <c r="C421" i="17"/>
  <c r="D325" i="17"/>
  <c r="C359" i="17"/>
  <c r="D27" i="17"/>
  <c r="C39" i="17"/>
  <c r="D242" i="17"/>
  <c r="C143" i="17"/>
  <c r="C194" i="17"/>
  <c r="D347" i="17"/>
  <c r="C501" i="17"/>
  <c r="D280" i="17"/>
  <c r="D485" i="17"/>
  <c r="D257" i="17"/>
  <c r="C97" i="17"/>
  <c r="D67" i="17"/>
  <c r="D184" i="17"/>
  <c r="C79" i="17"/>
  <c r="D49" i="17"/>
  <c r="D202" i="17"/>
  <c r="D50" i="17"/>
  <c r="C20" i="17"/>
  <c r="C231" i="17"/>
  <c r="C154" i="17"/>
  <c r="C282" i="17"/>
  <c r="D410" i="17"/>
  <c r="D435" i="17"/>
  <c r="C461" i="17"/>
  <c r="D48" i="17"/>
  <c r="C201" i="17"/>
  <c r="C252" i="17"/>
  <c r="D405" i="17"/>
  <c r="C584" i="17"/>
  <c r="D177" i="17"/>
  <c r="D476" i="17"/>
  <c r="C393" i="17"/>
  <c r="D604" i="17"/>
  <c r="C391" i="17"/>
  <c r="D434" i="17"/>
  <c r="C360" i="17"/>
  <c r="C335" i="17"/>
  <c r="D207" i="17"/>
  <c r="C283" i="17"/>
  <c r="D545" i="17"/>
  <c r="D568" i="17"/>
  <c r="D516" i="17"/>
  <c r="C490" i="17"/>
  <c r="C362" i="17"/>
  <c r="C341" i="17"/>
  <c r="D277" i="17"/>
  <c r="D213" i="17"/>
  <c r="D149" i="17"/>
  <c r="C289" i="17"/>
  <c r="C589" i="17"/>
  <c r="D557" i="17"/>
  <c r="D530" i="17"/>
  <c r="C467" i="17"/>
  <c r="D94" i="17"/>
  <c r="D284" i="17"/>
  <c r="D570" i="17"/>
  <c r="D518" i="17"/>
  <c r="C492" i="17"/>
  <c r="C521" i="17"/>
  <c r="D450" i="17"/>
  <c r="C332" i="17"/>
  <c r="D179" i="17"/>
  <c r="C588" i="17"/>
  <c r="D488" i="17"/>
  <c r="C334" i="17"/>
  <c r="C591" i="17"/>
  <c r="D185" i="17"/>
  <c r="D413" i="17"/>
  <c r="C209" i="17"/>
  <c r="C465" i="17"/>
  <c r="D414" i="17"/>
  <c r="C155" i="17"/>
  <c r="C27" i="17"/>
  <c r="C62" i="17"/>
  <c r="D457" i="17"/>
  <c r="D400" i="17"/>
  <c r="C353" i="17"/>
  <c r="D255" i="17"/>
  <c r="D253" i="17"/>
  <c r="D505" i="17"/>
  <c r="D352" i="17"/>
  <c r="D300" i="17"/>
  <c r="C78" i="17"/>
  <c r="D124" i="17"/>
  <c r="D109" i="17"/>
  <c r="D110" i="17"/>
  <c r="C171" i="17"/>
  <c r="C222" i="17"/>
  <c r="D319" i="17"/>
  <c r="D447" i="17"/>
  <c r="C473" i="17"/>
  <c r="D36" i="17"/>
  <c r="C225" i="17"/>
  <c r="C276" i="17"/>
  <c r="D429" i="17"/>
  <c r="D539" i="17"/>
  <c r="D201" i="17"/>
  <c r="C466" i="17"/>
  <c r="C603" i="17"/>
  <c r="D311" i="17"/>
  <c r="C472" i="17"/>
  <c r="C381" i="17"/>
  <c r="C342" i="17"/>
  <c r="C406" i="17"/>
  <c r="C470" i="17"/>
  <c r="D432" i="17"/>
  <c r="D496" i="17"/>
  <c r="C574" i="17"/>
  <c r="D548" i="17"/>
  <c r="C612" i="17"/>
  <c r="D525" i="17"/>
  <c r="C563" i="17"/>
  <c r="C607" i="17"/>
  <c r="D123" i="17"/>
  <c r="D187" i="17"/>
  <c r="D251" i="17"/>
  <c r="C315" i="17"/>
  <c r="C379" i="17"/>
  <c r="C340" i="17"/>
  <c r="D584" i="17"/>
  <c r="D358" i="17"/>
  <c r="C294" i="17"/>
  <c r="C230" i="17"/>
  <c r="C166" i="17"/>
  <c r="D306" i="17"/>
  <c r="C243" i="17"/>
  <c r="C179" i="17"/>
  <c r="C115" i="17"/>
  <c r="C72" i="17"/>
  <c r="D38" i="17"/>
  <c r="D102" i="17"/>
  <c r="D214" i="17"/>
  <c r="D150" i="17"/>
  <c r="D37" i="17"/>
  <c r="D101" i="17"/>
  <c r="C67" i="17"/>
  <c r="D260" i="17"/>
  <c r="D196" i="17"/>
  <c r="D132" i="17"/>
  <c r="D55" i="17"/>
  <c r="C21" i="17"/>
  <c r="C85" i="17"/>
  <c r="C86" i="17"/>
  <c r="C22" i="17"/>
  <c r="C165" i="17"/>
  <c r="C229" i="17"/>
  <c r="D292" i="17"/>
  <c r="C152" i="17"/>
  <c r="C216" i="17"/>
  <c r="C280" i="17"/>
  <c r="D344" i="17"/>
  <c r="D408" i="17"/>
  <c r="D369" i="17"/>
  <c r="D433" i="17"/>
  <c r="D497" i="17"/>
  <c r="C491" i="17"/>
  <c r="C549" i="17"/>
  <c r="C313" i="17"/>
  <c r="D237" i="17"/>
  <c r="C385" i="17"/>
  <c r="D436" i="17"/>
  <c r="D596" i="17"/>
  <c r="D191" i="17"/>
  <c r="C352" i="17"/>
  <c r="C18" i="17"/>
  <c r="C299" i="17"/>
  <c r="C351" i="17"/>
  <c r="D498" i="17"/>
  <c r="C448" i="17"/>
  <c r="D373" i="17"/>
  <c r="D97" i="17"/>
  <c r="D537" i="17"/>
  <c r="D563" i="17"/>
  <c r="D549" i="17"/>
  <c r="C284" i="17"/>
  <c r="D330" i="17"/>
  <c r="D396" i="17"/>
  <c r="C55" i="17"/>
  <c r="C169" i="17"/>
  <c r="D419" i="17"/>
  <c r="C215" i="17"/>
  <c r="C17" i="17"/>
  <c r="C76" i="17"/>
  <c r="D289" i="17"/>
  <c r="C477" i="17"/>
  <c r="D323" i="17"/>
  <c r="C170" i="17"/>
  <c r="C119" i="17"/>
  <c r="C63" i="17"/>
  <c r="C321" i="17"/>
  <c r="D379" i="17"/>
  <c r="D105" i="17"/>
  <c r="C178" i="17"/>
  <c r="C159" i="17"/>
  <c r="C36" i="17"/>
  <c r="D186" i="17"/>
  <c r="C95" i="17"/>
  <c r="D83" i="17"/>
  <c r="D193" i="17"/>
  <c r="C217" i="17"/>
  <c r="D315" i="17"/>
  <c r="C111" i="17"/>
  <c r="C71" i="17"/>
  <c r="D592" i="17"/>
  <c r="D459" i="17"/>
  <c r="D25" i="17"/>
  <c r="C517" i="17"/>
  <c r="C236" i="17"/>
  <c r="C529" i="17"/>
  <c r="D402" i="17"/>
  <c r="C274" i="17"/>
  <c r="D240" i="17"/>
  <c r="D338" i="17"/>
  <c r="D601" i="17"/>
  <c r="D108" i="17"/>
  <c r="C60" i="17"/>
  <c r="D370" i="17"/>
  <c r="C121" i="17"/>
  <c r="C301" i="17"/>
  <c r="C57" i="17"/>
  <c r="D224" i="17"/>
  <c r="D114" i="17"/>
  <c r="C108" i="17"/>
  <c r="D270" i="17"/>
  <c r="D322" i="17"/>
  <c r="D475" i="17"/>
  <c r="C98" i="17"/>
  <c r="D332" i="17"/>
  <c r="C569" i="17"/>
  <c r="D593" i="17"/>
  <c r="C33" i="17"/>
  <c r="D120" i="17"/>
  <c r="D248" i="17"/>
  <c r="C15" i="17"/>
  <c r="D138" i="17"/>
  <c r="D266" i="17"/>
  <c r="C84" i="17"/>
  <c r="C167" i="17"/>
  <c r="D294" i="17"/>
  <c r="C218" i="17"/>
  <c r="D346" i="17"/>
  <c r="D371" i="17"/>
  <c r="D499" i="17"/>
  <c r="D524" i="17"/>
  <c r="C50" i="17"/>
  <c r="C124" i="17"/>
  <c r="D380" i="17"/>
  <c r="C431" i="17"/>
  <c r="C597" i="17"/>
  <c r="D305" i="17"/>
  <c r="D167" i="17"/>
  <c r="D444" i="17"/>
  <c r="D135" i="17"/>
  <c r="D623" i="17"/>
  <c r="C424" i="17"/>
  <c r="C399" i="17"/>
  <c r="D271" i="17"/>
  <c r="D143" i="17"/>
  <c r="C583" i="17"/>
  <c r="D612" i="17"/>
  <c r="C530" i="17"/>
  <c r="D452" i="17"/>
  <c r="C426" i="17"/>
  <c r="C401" i="17"/>
  <c r="D309" i="17"/>
  <c r="D245" i="17"/>
  <c r="D181" i="17"/>
  <c r="D117" i="17"/>
  <c r="C601" i="17"/>
  <c r="C557" i="17"/>
  <c r="C592" i="17"/>
  <c r="C499" i="17"/>
  <c r="C435" i="17"/>
  <c r="O13" i="8"/>
  <c r="B462" i="2" s="1"/>
  <c r="BJ26" i="20" l="1"/>
  <c r="BF26" i="20"/>
  <c r="BB26" i="20"/>
  <c r="BD26" i="20" s="1"/>
  <c r="BH26" i="20" s="1"/>
  <c r="BK26" i="20"/>
  <c r="BH109" i="20"/>
  <c r="B458" i="2" s="1"/>
  <c r="H3" i="20"/>
  <c r="BB33" i="20"/>
  <c r="BD33" i="20" s="1"/>
  <c r="BH33" i="20" s="1"/>
  <c r="BJ33" i="20"/>
  <c r="G622" i="17"/>
  <c r="H622" i="17"/>
  <c r="F622" i="17"/>
  <c r="E622" i="17"/>
  <c r="D622" i="17"/>
  <c r="C622" i="17"/>
  <c r="G4" i="8"/>
  <c r="O14" i="8" s="1"/>
  <c r="E31" i="1" s="1"/>
  <c r="B140" i="2" l="1"/>
  <c r="O6" i="8"/>
  <c r="B463" i="2" s="1"/>
  <c r="B461" i="2" l="1"/>
  <c r="A461" i="2" l="1"/>
  <c r="D71" i="16"/>
  <c r="E70" i="1" l="1"/>
  <c r="D65" i="16"/>
  <c r="C637" i="17" l="1"/>
  <c r="A628" i="17"/>
  <c r="O622" i="17"/>
  <c r="P623" i="17"/>
  <c r="P622" i="17"/>
  <c r="AB622" i="17" s="1"/>
  <c r="O626" i="17"/>
  <c r="AA626" i="17" s="1"/>
  <c r="O623" i="17"/>
  <c r="AA623" i="17" s="1"/>
  <c r="P626" i="17"/>
  <c r="AB626" i="17" s="1"/>
  <c r="N4" i="17"/>
  <c r="P573" i="17" s="1"/>
  <c r="AB573" i="17" s="1"/>
  <c r="B78" i="1"/>
  <c r="N7" i="8"/>
  <c r="O7" i="8" s="1"/>
  <c r="G628" i="17" l="1"/>
  <c r="H628" i="17"/>
  <c r="AA622" i="17"/>
  <c r="E632" i="17" s="1"/>
  <c r="AB623" i="17"/>
  <c r="D628" i="17"/>
  <c r="F628" i="17"/>
  <c r="P628" i="17"/>
  <c r="C628" i="17"/>
  <c r="E628" i="17"/>
  <c r="O628" i="17"/>
  <c r="E636" i="17"/>
  <c r="N27" i="8"/>
  <c r="O27" i="8"/>
  <c r="C78" i="1" s="1"/>
  <c r="O74" i="17"/>
  <c r="AA74" i="17" s="1"/>
  <c r="O121" i="17"/>
  <c r="AA121" i="17" s="1"/>
  <c r="O106" i="17"/>
  <c r="AA106" i="17" s="1"/>
  <c r="O90" i="17"/>
  <c r="AA90" i="17" s="1"/>
  <c r="O17" i="17"/>
  <c r="AA17" i="17" s="1"/>
  <c r="O81" i="17"/>
  <c r="AA81" i="17" s="1"/>
  <c r="O101" i="17"/>
  <c r="AA101" i="17" s="1"/>
  <c r="O58" i="17"/>
  <c r="AA58" i="17" s="1"/>
  <c r="O42" i="17"/>
  <c r="AA42" i="17" s="1"/>
  <c r="O26" i="17"/>
  <c r="AA26" i="17" s="1"/>
  <c r="O49" i="17"/>
  <c r="AA49" i="17" s="1"/>
  <c r="O69" i="17"/>
  <c r="AA69" i="17" s="1"/>
  <c r="O236" i="17"/>
  <c r="AA236" i="17" s="1"/>
  <c r="O300" i="17"/>
  <c r="AA300" i="17" s="1"/>
  <c r="O217" i="17"/>
  <c r="AA217" i="17" s="1"/>
  <c r="O281" i="17"/>
  <c r="AA281" i="17" s="1"/>
  <c r="O140" i="17"/>
  <c r="AA140" i="17" s="1"/>
  <c r="O70" i="17"/>
  <c r="AA70" i="17" s="1"/>
  <c r="O41" i="17"/>
  <c r="AA41" i="17" s="1"/>
  <c r="O105" i="17"/>
  <c r="AA105" i="17" s="1"/>
  <c r="O45" i="17"/>
  <c r="AA45" i="17" s="1"/>
  <c r="O77" i="17"/>
  <c r="AA77" i="17" s="1"/>
  <c r="O173" i="17"/>
  <c r="AA173" i="17" s="1"/>
  <c r="O237" i="17"/>
  <c r="AA237" i="17" s="1"/>
  <c r="O301" i="17"/>
  <c r="AA301" i="17" s="1"/>
  <c r="O160" i="17"/>
  <c r="AA160" i="17" s="1"/>
  <c r="O338" i="17"/>
  <c r="AA338" i="17" s="1"/>
  <c r="O370" i="17"/>
  <c r="AA370" i="17" s="1"/>
  <c r="O402" i="17"/>
  <c r="AA402" i="17" s="1"/>
  <c r="O172" i="17"/>
  <c r="AA172" i="17" s="1"/>
  <c r="O204" i="17"/>
  <c r="AA204" i="17" s="1"/>
  <c r="O153" i="17"/>
  <c r="AA153" i="17" s="1"/>
  <c r="O38" i="17"/>
  <c r="AA38" i="17" s="1"/>
  <c r="O73" i="17"/>
  <c r="AA73" i="17" s="1"/>
  <c r="O141" i="17"/>
  <c r="AA141" i="17" s="1"/>
  <c r="O269" i="17"/>
  <c r="AA269" i="17" s="1"/>
  <c r="O319" i="17"/>
  <c r="AA319" i="17" s="1"/>
  <c r="O383" i="17"/>
  <c r="AA383" i="17" s="1"/>
  <c r="O180" i="17"/>
  <c r="AA180" i="17" s="1"/>
  <c r="O244" i="17"/>
  <c r="AA244" i="17" s="1"/>
  <c r="O308" i="17"/>
  <c r="AA308" i="17" s="1"/>
  <c r="O339" i="17"/>
  <c r="AA339" i="17" s="1"/>
  <c r="O403" i="17"/>
  <c r="AA403" i="17" s="1"/>
  <c r="O366" i="17"/>
  <c r="AA366" i="17" s="1"/>
  <c r="O169" i="17"/>
  <c r="AA169" i="17" s="1"/>
  <c r="O233" i="17"/>
  <c r="AA233" i="17" s="1"/>
  <c r="O132" i="17"/>
  <c r="AA132" i="17" s="1"/>
  <c r="O62" i="17"/>
  <c r="AA62" i="17" s="1"/>
  <c r="O232" i="17"/>
  <c r="AA232" i="17" s="1"/>
  <c r="O296" i="17"/>
  <c r="AA296" i="17" s="1"/>
  <c r="O322" i="17"/>
  <c r="AA322" i="17" s="1"/>
  <c r="O386" i="17"/>
  <c r="AA386" i="17" s="1"/>
  <c r="O438" i="17"/>
  <c r="AA438" i="17" s="1"/>
  <c r="O65" i="17"/>
  <c r="AA65" i="17" s="1"/>
  <c r="O85" i="17"/>
  <c r="AA85" i="17" s="1"/>
  <c r="O117" i="17"/>
  <c r="AA117" i="17" s="1"/>
  <c r="O149" i="17"/>
  <c r="AA149" i="17" s="1"/>
  <c r="O181" i="17"/>
  <c r="AA181" i="17" s="1"/>
  <c r="O213" i="17"/>
  <c r="AA213" i="17" s="1"/>
  <c r="O245" i="17"/>
  <c r="AA245" i="17" s="1"/>
  <c r="O277" i="17"/>
  <c r="AA277" i="17" s="1"/>
  <c r="O309" i="17"/>
  <c r="AA309" i="17" s="1"/>
  <c r="O136" i="17"/>
  <c r="AA136" i="17" s="1"/>
  <c r="O168" i="17"/>
  <c r="AA168" i="17" s="1"/>
  <c r="O184" i="17"/>
  <c r="AA184" i="17" s="1"/>
  <c r="O248" i="17"/>
  <c r="AA248" i="17" s="1"/>
  <c r="O312" i="17"/>
  <c r="AA312" i="17" s="1"/>
  <c r="O327" i="17"/>
  <c r="AA327" i="17" s="1"/>
  <c r="O359" i="17"/>
  <c r="AA359" i="17" s="1"/>
  <c r="O391" i="17"/>
  <c r="AA391" i="17" s="1"/>
  <c r="O407" i="17"/>
  <c r="AA407" i="17" s="1"/>
  <c r="O378" i="17"/>
  <c r="AA378" i="17" s="1"/>
  <c r="O188" i="17"/>
  <c r="AA188" i="17" s="1"/>
  <c r="O252" i="17"/>
  <c r="AA252" i="17" s="1"/>
  <c r="O331" i="17"/>
  <c r="AA331" i="17" s="1"/>
  <c r="O363" i="17"/>
  <c r="AA363" i="17" s="1"/>
  <c r="O395" i="17"/>
  <c r="AA395" i="17" s="1"/>
  <c r="O411" i="17"/>
  <c r="AA411" i="17" s="1"/>
  <c r="O326" i="17"/>
  <c r="AA326" i="17" s="1"/>
  <c r="O358" i="17"/>
  <c r="AA358" i="17" s="1"/>
  <c r="O390" i="17"/>
  <c r="AA390" i="17" s="1"/>
  <c r="O454" i="17"/>
  <c r="AA454" i="17" s="1"/>
  <c r="O249" i="17"/>
  <c r="AA249" i="17" s="1"/>
  <c r="O297" i="17"/>
  <c r="AA297" i="17" s="1"/>
  <c r="O22" i="17"/>
  <c r="AA22" i="17" s="1"/>
  <c r="O86" i="17"/>
  <c r="AA86" i="17" s="1"/>
  <c r="O192" i="17"/>
  <c r="AA192" i="17" s="1"/>
  <c r="O256" i="17"/>
  <c r="AA256" i="17" s="1"/>
  <c r="O415" i="17"/>
  <c r="AA415" i="17" s="1"/>
  <c r="O462" i="17"/>
  <c r="AA462" i="17" s="1"/>
  <c r="O57" i="17"/>
  <c r="AA57" i="17" s="1"/>
  <c r="O289" i="17"/>
  <c r="AA289" i="17" s="1"/>
  <c r="O14" i="17"/>
  <c r="AA14" i="17" s="1"/>
  <c r="O78" i="17"/>
  <c r="AA78" i="17" s="1"/>
  <c r="O93" i="17"/>
  <c r="AA93" i="17" s="1"/>
  <c r="O125" i="17"/>
  <c r="AA125" i="17" s="1"/>
  <c r="O189" i="17"/>
  <c r="AA189" i="17" s="1"/>
  <c r="O253" i="17"/>
  <c r="AA253" i="17" s="1"/>
  <c r="O112" i="17"/>
  <c r="AA112" i="17" s="1"/>
  <c r="O176" i="17"/>
  <c r="AA176" i="17" s="1"/>
  <c r="O208" i="17"/>
  <c r="AA208" i="17" s="1"/>
  <c r="O272" i="17"/>
  <c r="AA272" i="17" s="1"/>
  <c r="O367" i="17"/>
  <c r="AA367" i="17" s="1"/>
  <c r="O330" i="17"/>
  <c r="AA330" i="17" s="1"/>
  <c r="O394" i="17"/>
  <c r="AA394" i="17" s="1"/>
  <c r="O228" i="17"/>
  <c r="AA228" i="17" s="1"/>
  <c r="O292" i="17"/>
  <c r="AA292" i="17" s="1"/>
  <c r="O323" i="17"/>
  <c r="AA323" i="17" s="1"/>
  <c r="O387" i="17"/>
  <c r="AA387" i="17" s="1"/>
  <c r="O350" i="17"/>
  <c r="AA350" i="17" s="1"/>
  <c r="O414" i="17"/>
  <c r="AA414" i="17" s="1"/>
  <c r="O446" i="17"/>
  <c r="AA446" i="17" s="1"/>
  <c r="O423" i="17"/>
  <c r="AA423" i="17" s="1"/>
  <c r="O487" i="17"/>
  <c r="AA487" i="17" s="1"/>
  <c r="O519" i="17"/>
  <c r="AA519" i="17" s="1"/>
  <c r="O528" i="17"/>
  <c r="AA528" i="17" s="1"/>
  <c r="O560" i="17"/>
  <c r="AA560" i="17" s="1"/>
  <c r="O606" i="17"/>
  <c r="AA606" i="17" s="1"/>
  <c r="P17" i="17"/>
  <c r="AB17" i="17" s="1"/>
  <c r="P81" i="17"/>
  <c r="AB81" i="17" s="1"/>
  <c r="P16" i="17"/>
  <c r="AB16" i="17" s="1"/>
  <c r="P80" i="17"/>
  <c r="AB80" i="17" s="1"/>
  <c r="O32" i="17"/>
  <c r="AA32" i="17" s="1"/>
  <c r="O96" i="17"/>
  <c r="AA96" i="17" s="1"/>
  <c r="O31" i="17"/>
  <c r="AA31" i="17" s="1"/>
  <c r="O95" i="17"/>
  <c r="AA95" i="17" s="1"/>
  <c r="O127" i="17"/>
  <c r="AA127" i="17" s="1"/>
  <c r="O191" i="17"/>
  <c r="AA191" i="17" s="1"/>
  <c r="O255" i="17"/>
  <c r="AA255" i="17" s="1"/>
  <c r="O114" i="17"/>
  <c r="AA114" i="17" s="1"/>
  <c r="O178" i="17"/>
  <c r="AA178" i="17" s="1"/>
  <c r="O210" i="17"/>
  <c r="AA210" i="17" s="1"/>
  <c r="O274" i="17"/>
  <c r="AA274" i="17" s="1"/>
  <c r="O369" i="17"/>
  <c r="AA369" i="17" s="1"/>
  <c r="O332" i="17"/>
  <c r="AA332" i="17" s="1"/>
  <c r="O396" i="17"/>
  <c r="AA396" i="17" s="1"/>
  <c r="O428" i="17"/>
  <c r="AA428" i="17" s="1"/>
  <c r="O492" i="17"/>
  <c r="AA492" i="17" s="1"/>
  <c r="O453" i="17"/>
  <c r="AA453" i="17" s="1"/>
  <c r="O517" i="17"/>
  <c r="AA517" i="17" s="1"/>
  <c r="O558" i="17"/>
  <c r="AA558" i="17" s="1"/>
  <c r="O571" i="17"/>
  <c r="AA571" i="17" s="1"/>
  <c r="O268" i="17"/>
  <c r="AA268" i="17" s="1"/>
  <c r="O313" i="17"/>
  <c r="AA313" i="17" s="1"/>
  <c r="O102" i="17"/>
  <c r="AA102" i="17" s="1"/>
  <c r="O109" i="17"/>
  <c r="AA109" i="17" s="1"/>
  <c r="O205" i="17"/>
  <c r="AA205" i="17" s="1"/>
  <c r="O128" i="17"/>
  <c r="AA128" i="17" s="1"/>
  <c r="O351" i="17"/>
  <c r="AA351" i="17" s="1"/>
  <c r="O212" i="17"/>
  <c r="AA212" i="17" s="1"/>
  <c r="O276" i="17"/>
  <c r="AA276" i="17" s="1"/>
  <c r="O371" i="17"/>
  <c r="AA371" i="17" s="1"/>
  <c r="O334" i="17"/>
  <c r="AA334" i="17" s="1"/>
  <c r="O398" i="17"/>
  <c r="AA398" i="17" s="1"/>
  <c r="O137" i="17"/>
  <c r="AA137" i="17" s="1"/>
  <c r="O201" i="17"/>
  <c r="AA201" i="17" s="1"/>
  <c r="O265" i="17"/>
  <c r="AA265" i="17" s="1"/>
  <c r="O305" i="17"/>
  <c r="AA305" i="17" s="1"/>
  <c r="O30" i="17"/>
  <c r="AA30" i="17" s="1"/>
  <c r="O94" i="17"/>
  <c r="AA94" i="17" s="1"/>
  <c r="O200" i="17"/>
  <c r="AA200" i="17" s="1"/>
  <c r="O264" i="17"/>
  <c r="AA264" i="17" s="1"/>
  <c r="O354" i="17"/>
  <c r="AA354" i="17" s="1"/>
  <c r="O156" i="17"/>
  <c r="AA156" i="17" s="1"/>
  <c r="O470" i="17"/>
  <c r="AA470" i="17" s="1"/>
  <c r="O33" i="17"/>
  <c r="AA33" i="17" s="1"/>
  <c r="O97" i="17"/>
  <c r="AA97" i="17" s="1"/>
  <c r="O29" i="17"/>
  <c r="AA29" i="17" s="1"/>
  <c r="O53" i="17"/>
  <c r="AA53" i="17" s="1"/>
  <c r="O133" i="17"/>
  <c r="AA133" i="17" s="1"/>
  <c r="O165" i="17"/>
  <c r="AA165" i="17" s="1"/>
  <c r="O197" i="17"/>
  <c r="AA197" i="17" s="1"/>
  <c r="O229" i="17"/>
  <c r="AA229" i="17" s="1"/>
  <c r="O261" i="17"/>
  <c r="AA261" i="17" s="1"/>
  <c r="O293" i="17"/>
  <c r="AA293" i="17" s="1"/>
  <c r="O120" i="17"/>
  <c r="AA120" i="17" s="1"/>
  <c r="O152" i="17"/>
  <c r="AA152" i="17" s="1"/>
  <c r="O216" i="17"/>
  <c r="AA216" i="17" s="1"/>
  <c r="O280" i="17"/>
  <c r="AA280" i="17" s="1"/>
  <c r="O343" i="17"/>
  <c r="AA343" i="17" s="1"/>
  <c r="O375" i="17"/>
  <c r="AA375" i="17" s="1"/>
  <c r="O346" i="17"/>
  <c r="AA346" i="17" s="1"/>
  <c r="O148" i="17"/>
  <c r="AA148" i="17" s="1"/>
  <c r="O220" i="17"/>
  <c r="AA220" i="17" s="1"/>
  <c r="O284" i="17"/>
  <c r="AA284" i="17" s="1"/>
  <c r="O315" i="17"/>
  <c r="AA315" i="17" s="1"/>
  <c r="O347" i="17"/>
  <c r="AA347" i="17" s="1"/>
  <c r="O379" i="17"/>
  <c r="AA379" i="17" s="1"/>
  <c r="O342" i="17"/>
  <c r="AA342" i="17" s="1"/>
  <c r="O374" i="17"/>
  <c r="AA374" i="17" s="1"/>
  <c r="O406" i="17"/>
  <c r="AA406" i="17" s="1"/>
  <c r="O422" i="17"/>
  <c r="AA422" i="17" s="1"/>
  <c r="O185" i="17"/>
  <c r="AA185" i="17" s="1"/>
  <c r="O124" i="17"/>
  <c r="AA124" i="17" s="1"/>
  <c r="O54" i="17"/>
  <c r="AA54" i="17" s="1"/>
  <c r="O224" i="17"/>
  <c r="AA224" i="17" s="1"/>
  <c r="O288" i="17"/>
  <c r="AA288" i="17" s="1"/>
  <c r="O430" i="17"/>
  <c r="AA430" i="17" s="1"/>
  <c r="O25" i="17"/>
  <c r="AA25" i="17" s="1"/>
  <c r="O89" i="17"/>
  <c r="AA89" i="17" s="1"/>
  <c r="O116" i="17"/>
  <c r="AA116" i="17" s="1"/>
  <c r="O46" i="17"/>
  <c r="AA46" i="17" s="1"/>
  <c r="O61" i="17"/>
  <c r="AA61" i="17" s="1"/>
  <c r="O157" i="17"/>
  <c r="AA157" i="17" s="1"/>
  <c r="O221" i="17"/>
  <c r="AA221" i="17" s="1"/>
  <c r="O285" i="17"/>
  <c r="AA285" i="17" s="1"/>
  <c r="O144" i="17"/>
  <c r="AA144" i="17" s="1"/>
  <c r="O240" i="17"/>
  <c r="AA240" i="17" s="1"/>
  <c r="O304" i="17"/>
  <c r="AA304" i="17" s="1"/>
  <c r="O335" i="17"/>
  <c r="AA335" i="17" s="1"/>
  <c r="O399" i="17"/>
  <c r="AA399" i="17" s="1"/>
  <c r="O362" i="17"/>
  <c r="AA362" i="17" s="1"/>
  <c r="O164" i="17"/>
  <c r="AA164" i="17" s="1"/>
  <c r="O196" i="17"/>
  <c r="AA196" i="17" s="1"/>
  <c r="O260" i="17"/>
  <c r="AA260" i="17" s="1"/>
  <c r="O355" i="17"/>
  <c r="AA355" i="17" s="1"/>
  <c r="O318" i="17"/>
  <c r="AA318" i="17" s="1"/>
  <c r="O382" i="17"/>
  <c r="AA382" i="17" s="1"/>
  <c r="O478" i="17"/>
  <c r="AA478" i="17" s="1"/>
  <c r="O494" i="17"/>
  <c r="AA494" i="17" s="1"/>
  <c r="O455" i="17"/>
  <c r="AA455" i="17" s="1"/>
  <c r="O592" i="17"/>
  <c r="AA592" i="17" s="1"/>
  <c r="O573" i="17"/>
  <c r="AA573" i="17" s="1"/>
  <c r="P49" i="17"/>
  <c r="AB49" i="17" s="1"/>
  <c r="P48" i="17"/>
  <c r="AB48" i="17" s="1"/>
  <c r="O64" i="17"/>
  <c r="AA64" i="17" s="1"/>
  <c r="O63" i="17"/>
  <c r="AA63" i="17" s="1"/>
  <c r="O159" i="17"/>
  <c r="AA159" i="17" s="1"/>
  <c r="O223" i="17"/>
  <c r="AA223" i="17" s="1"/>
  <c r="O287" i="17"/>
  <c r="AA287" i="17" s="1"/>
  <c r="O146" i="17"/>
  <c r="AA146" i="17" s="1"/>
  <c r="O242" i="17"/>
  <c r="AA242" i="17" s="1"/>
  <c r="O306" i="17"/>
  <c r="AA306" i="17" s="1"/>
  <c r="O337" i="17"/>
  <c r="AA337" i="17" s="1"/>
  <c r="O401" i="17"/>
  <c r="AA401" i="17" s="1"/>
  <c r="O364" i="17"/>
  <c r="AA364" i="17" s="1"/>
  <c r="O460" i="17"/>
  <c r="AA460" i="17" s="1"/>
  <c r="O421" i="17"/>
  <c r="AA421" i="17" s="1"/>
  <c r="O485" i="17"/>
  <c r="AA485" i="17" s="1"/>
  <c r="O526" i="17"/>
  <c r="AA526" i="17" s="1"/>
  <c r="O590" i="17"/>
  <c r="AA590" i="17" s="1"/>
  <c r="O604" i="17"/>
  <c r="AA604" i="17" s="1"/>
  <c r="P15" i="17"/>
  <c r="AB15" i="17" s="1"/>
  <c r="P79" i="17"/>
  <c r="AB79" i="17" s="1"/>
  <c r="P14" i="17"/>
  <c r="AB14" i="17" s="1"/>
  <c r="P78" i="17"/>
  <c r="AB78" i="17" s="1"/>
  <c r="O450" i="17"/>
  <c r="AA450" i="17" s="1"/>
  <c r="O514" i="17"/>
  <c r="AA514" i="17" s="1"/>
  <c r="O475" i="17"/>
  <c r="AA475" i="17" s="1"/>
  <c r="O76" i="17"/>
  <c r="AA76" i="17" s="1"/>
  <c r="O43" i="17"/>
  <c r="AA43" i="17" s="1"/>
  <c r="O75" i="17"/>
  <c r="AA75" i="17" s="1"/>
  <c r="O107" i="17"/>
  <c r="AA107" i="17" s="1"/>
  <c r="O139" i="17"/>
  <c r="AA139" i="17" s="1"/>
  <c r="O203" i="17"/>
  <c r="AA203" i="17" s="1"/>
  <c r="O267" i="17"/>
  <c r="AA267" i="17" s="1"/>
  <c r="O158" i="17"/>
  <c r="AA158" i="17" s="1"/>
  <c r="O440" i="17"/>
  <c r="AA440" i="17" s="1"/>
  <c r="O472" i="17"/>
  <c r="AA472" i="17" s="1"/>
  <c r="O504" i="17"/>
  <c r="AA504" i="17" s="1"/>
  <c r="O433" i="17"/>
  <c r="AA433" i="17" s="1"/>
  <c r="O465" i="17"/>
  <c r="AA465" i="17" s="1"/>
  <c r="O497" i="17"/>
  <c r="AA497" i="17" s="1"/>
  <c r="O597" i="17"/>
  <c r="AA597" i="17" s="1"/>
  <c r="P59" i="17"/>
  <c r="AB59" i="17" s="1"/>
  <c r="O431" i="17"/>
  <c r="AA431" i="17" s="1"/>
  <c r="O495" i="17"/>
  <c r="AA495" i="17" s="1"/>
  <c r="O527" i="17"/>
  <c r="AA527" i="17" s="1"/>
  <c r="O536" i="17"/>
  <c r="AA536" i="17" s="1"/>
  <c r="O568" i="17"/>
  <c r="AA568" i="17" s="1"/>
  <c r="O549" i="17"/>
  <c r="AA549" i="17" s="1"/>
  <c r="O595" i="17"/>
  <c r="AA595" i="17" s="1"/>
  <c r="P25" i="17"/>
  <c r="AB25" i="17" s="1"/>
  <c r="P89" i="17"/>
  <c r="AB89" i="17" s="1"/>
  <c r="P24" i="17"/>
  <c r="AB24" i="17" s="1"/>
  <c r="P88" i="17"/>
  <c r="AB88" i="17" s="1"/>
  <c r="O40" i="17"/>
  <c r="AA40" i="17" s="1"/>
  <c r="O104" i="17"/>
  <c r="AA104" i="17" s="1"/>
  <c r="O39" i="17"/>
  <c r="AA39" i="17" s="1"/>
  <c r="O103" i="17"/>
  <c r="AA103" i="17" s="1"/>
  <c r="O135" i="17"/>
  <c r="AA135" i="17" s="1"/>
  <c r="O199" i="17"/>
  <c r="AA199" i="17" s="1"/>
  <c r="O263" i="17"/>
  <c r="AA263" i="17" s="1"/>
  <c r="O122" i="17"/>
  <c r="AA122" i="17" s="1"/>
  <c r="O218" i="17"/>
  <c r="AA218" i="17" s="1"/>
  <c r="O282" i="17"/>
  <c r="AA282" i="17" s="1"/>
  <c r="O314" i="17"/>
  <c r="AA314" i="17" s="1"/>
  <c r="O377" i="17"/>
  <c r="AA377" i="17" s="1"/>
  <c r="O409" i="17"/>
  <c r="AA409" i="17" s="1"/>
  <c r="O340" i="17"/>
  <c r="AA340" i="17" s="1"/>
  <c r="O404" i="17"/>
  <c r="AA404" i="17" s="1"/>
  <c r="O436" i="17"/>
  <c r="AA436" i="17" s="1"/>
  <c r="O500" i="17"/>
  <c r="AA500" i="17" s="1"/>
  <c r="O461" i="17"/>
  <c r="AA461" i="17" s="1"/>
  <c r="O566" i="17"/>
  <c r="AA566" i="17" s="1"/>
  <c r="O579" i="17"/>
  <c r="AA579" i="17" s="1"/>
  <c r="P55" i="17"/>
  <c r="AB55" i="17" s="1"/>
  <c r="P54" i="17"/>
  <c r="AB54" i="17" s="1"/>
  <c r="O426" i="17"/>
  <c r="AA426" i="17" s="1"/>
  <c r="O490" i="17"/>
  <c r="AA490" i="17" s="1"/>
  <c r="O451" i="17"/>
  <c r="AA451" i="17" s="1"/>
  <c r="O588" i="17"/>
  <c r="AA588" i="17" s="1"/>
  <c r="P45" i="17"/>
  <c r="AB45" i="17" s="1"/>
  <c r="P109" i="17"/>
  <c r="AB109" i="17" s="1"/>
  <c r="O50" i="17"/>
  <c r="AA50" i="17" s="1"/>
  <c r="O177" i="17"/>
  <c r="AA177" i="17" s="1"/>
  <c r="O37" i="17"/>
  <c r="AA37" i="17" s="1"/>
  <c r="O84" i="17"/>
  <c r="AA84" i="17" s="1"/>
  <c r="O147" i="17"/>
  <c r="AA147" i="17" s="1"/>
  <c r="O211" i="17"/>
  <c r="AA211" i="17" s="1"/>
  <c r="O275" i="17"/>
  <c r="AA275" i="17" s="1"/>
  <c r="O134" i="17"/>
  <c r="AA134" i="17" s="1"/>
  <c r="O230" i="17"/>
  <c r="AA230" i="17" s="1"/>
  <c r="O294" i="17"/>
  <c r="AA294" i="17" s="1"/>
  <c r="P35" i="17"/>
  <c r="AB35" i="17" s="1"/>
  <c r="P99" i="17"/>
  <c r="AB99" i="17" s="1"/>
  <c r="P34" i="17"/>
  <c r="AB34" i="17" s="1"/>
  <c r="P100" i="17"/>
  <c r="AB100" i="17" s="1"/>
  <c r="O507" i="17"/>
  <c r="AA507" i="17" s="1"/>
  <c r="O561" i="17"/>
  <c r="AA561" i="17" s="1"/>
  <c r="P36" i="17"/>
  <c r="AB36" i="17" s="1"/>
  <c r="O52" i="17"/>
  <c r="AA52" i="17" s="1"/>
  <c r="O27" i="17"/>
  <c r="AA27" i="17" s="1"/>
  <c r="O91" i="17"/>
  <c r="AA91" i="17" s="1"/>
  <c r="O333" i="17"/>
  <c r="AA333" i="17" s="1"/>
  <c r="O397" i="17"/>
  <c r="AA397" i="17" s="1"/>
  <c r="O360" i="17"/>
  <c r="AA360" i="17" s="1"/>
  <c r="O456" i="17"/>
  <c r="AA456" i="17" s="1"/>
  <c r="O481" i="17"/>
  <c r="AA481" i="17" s="1"/>
  <c r="O522" i="17"/>
  <c r="AA522" i="17" s="1"/>
  <c r="O586" i="17"/>
  <c r="AA586" i="17" s="1"/>
  <c r="O600" i="17"/>
  <c r="AA600" i="17" s="1"/>
  <c r="O439" i="17"/>
  <c r="AA439" i="17" s="1"/>
  <c r="O503" i="17"/>
  <c r="AA503" i="17" s="1"/>
  <c r="O535" i="17"/>
  <c r="AA535" i="17" s="1"/>
  <c r="O576" i="17"/>
  <c r="AA576" i="17" s="1"/>
  <c r="O557" i="17"/>
  <c r="AA557" i="17" s="1"/>
  <c r="P33" i="17"/>
  <c r="AB33" i="17" s="1"/>
  <c r="P97" i="17"/>
  <c r="AB97" i="17" s="1"/>
  <c r="P32" i="17"/>
  <c r="AB32" i="17" s="1"/>
  <c r="O48" i="17"/>
  <c r="AA48" i="17" s="1"/>
  <c r="O47" i="17"/>
  <c r="AA47" i="17" s="1"/>
  <c r="O143" i="17"/>
  <c r="AA143" i="17" s="1"/>
  <c r="O207" i="17"/>
  <c r="AA207" i="17" s="1"/>
  <c r="O271" i="17"/>
  <c r="AA271" i="17" s="1"/>
  <c r="O130" i="17"/>
  <c r="AA130" i="17" s="1"/>
  <c r="O226" i="17"/>
  <c r="AA226" i="17" s="1"/>
  <c r="O290" i="17"/>
  <c r="AA290" i="17" s="1"/>
  <c r="O321" i="17"/>
  <c r="AA321" i="17" s="1"/>
  <c r="O385" i="17"/>
  <c r="AA385" i="17" s="1"/>
  <c r="O348" i="17"/>
  <c r="AA348" i="17" s="1"/>
  <c r="O412" i="17"/>
  <c r="AA412" i="17" s="1"/>
  <c r="O444" i="17"/>
  <c r="AA444" i="17" s="1"/>
  <c r="O508" i="17"/>
  <c r="AA508" i="17" s="1"/>
  <c r="O469" i="17"/>
  <c r="AA469" i="17" s="1"/>
  <c r="O574" i="17"/>
  <c r="AA574" i="17" s="1"/>
  <c r="O587" i="17"/>
  <c r="AA587" i="17" s="1"/>
  <c r="O601" i="17"/>
  <c r="AA601" i="17" s="1"/>
  <c r="P63" i="17"/>
  <c r="AB63" i="17" s="1"/>
  <c r="P62" i="17"/>
  <c r="AB62" i="17" s="1"/>
  <c r="O434" i="17"/>
  <c r="AA434" i="17" s="1"/>
  <c r="O498" i="17"/>
  <c r="AA498" i="17" s="1"/>
  <c r="O459" i="17"/>
  <c r="AA459" i="17" s="1"/>
  <c r="O564" i="17"/>
  <c r="AA564" i="17" s="1"/>
  <c r="P47" i="17"/>
  <c r="AB47" i="17" s="1"/>
  <c r="P46" i="17"/>
  <c r="AB46" i="17" s="1"/>
  <c r="O418" i="17"/>
  <c r="AA418" i="17" s="1"/>
  <c r="O482" i="17"/>
  <c r="AA482" i="17" s="1"/>
  <c r="O443" i="17"/>
  <c r="AA443" i="17" s="1"/>
  <c r="O532" i="17"/>
  <c r="AA532" i="17" s="1"/>
  <c r="O36" i="17"/>
  <c r="AA36" i="17" s="1"/>
  <c r="O108" i="17"/>
  <c r="AA108" i="17" s="1"/>
  <c r="O171" i="17"/>
  <c r="AA171" i="17" s="1"/>
  <c r="O235" i="17"/>
  <c r="AA235" i="17" s="1"/>
  <c r="O299" i="17"/>
  <c r="AA299" i="17" s="1"/>
  <c r="O126" i="17"/>
  <c r="AA126" i="17" s="1"/>
  <c r="O538" i="17"/>
  <c r="AA538" i="17" s="1"/>
  <c r="O570" i="17"/>
  <c r="AA570" i="17" s="1"/>
  <c r="O551" i="17"/>
  <c r="AA551" i="17" s="1"/>
  <c r="O583" i="17"/>
  <c r="AA583" i="17" s="1"/>
  <c r="P27" i="17"/>
  <c r="AB27" i="17" s="1"/>
  <c r="P91" i="17"/>
  <c r="AB91" i="17" s="1"/>
  <c r="O502" i="17"/>
  <c r="AA502" i="17" s="1"/>
  <c r="O463" i="17"/>
  <c r="AA463" i="17" s="1"/>
  <c r="O581" i="17"/>
  <c r="AA581" i="17" s="1"/>
  <c r="P57" i="17"/>
  <c r="AB57" i="17" s="1"/>
  <c r="P56" i="17"/>
  <c r="AB56" i="17" s="1"/>
  <c r="O72" i="17"/>
  <c r="AA72" i="17" s="1"/>
  <c r="O71" i="17"/>
  <c r="AA71" i="17" s="1"/>
  <c r="O167" i="17"/>
  <c r="AA167" i="17" s="1"/>
  <c r="O231" i="17"/>
  <c r="AA231" i="17" s="1"/>
  <c r="O295" i="17"/>
  <c r="AA295" i="17" s="1"/>
  <c r="O154" i="17"/>
  <c r="AA154" i="17" s="1"/>
  <c r="O186" i="17"/>
  <c r="AA186" i="17" s="1"/>
  <c r="O250" i="17"/>
  <c r="AA250" i="17" s="1"/>
  <c r="O345" i="17"/>
  <c r="AA345" i="17" s="1"/>
  <c r="O372" i="17"/>
  <c r="AA372" i="17" s="1"/>
  <c r="O468" i="17"/>
  <c r="AA468" i="17" s="1"/>
  <c r="O429" i="17"/>
  <c r="AA429" i="17" s="1"/>
  <c r="O493" i="17"/>
  <c r="AA493" i="17" s="1"/>
  <c r="O525" i="17"/>
  <c r="AA525" i="17" s="1"/>
  <c r="O534" i="17"/>
  <c r="AA534" i="17" s="1"/>
  <c r="O547" i="17"/>
  <c r="AA547" i="17" s="1"/>
  <c r="O612" i="17"/>
  <c r="AA612" i="17" s="1"/>
  <c r="P23" i="17"/>
  <c r="AB23" i="17" s="1"/>
  <c r="P87" i="17"/>
  <c r="AB87" i="17" s="1"/>
  <c r="P22" i="17"/>
  <c r="AB22" i="17" s="1"/>
  <c r="P86" i="17"/>
  <c r="AB86" i="17" s="1"/>
  <c r="O458" i="17"/>
  <c r="AA458" i="17" s="1"/>
  <c r="O419" i="17"/>
  <c r="AA419" i="17" s="1"/>
  <c r="O524" i="17"/>
  <c r="AA524" i="17" s="1"/>
  <c r="O556" i="17"/>
  <c r="AA556" i="17" s="1"/>
  <c r="P13" i="17"/>
  <c r="AB13" i="17" s="1"/>
  <c r="P77" i="17"/>
  <c r="AB77" i="17" s="1"/>
  <c r="O113" i="17"/>
  <c r="AA113" i="17" s="1"/>
  <c r="O241" i="17"/>
  <c r="AA241" i="17" s="1"/>
  <c r="O115" i="17"/>
  <c r="AA115" i="17" s="1"/>
  <c r="O179" i="17"/>
  <c r="AA179" i="17" s="1"/>
  <c r="O243" i="17"/>
  <c r="AA243" i="17" s="1"/>
  <c r="O307" i="17"/>
  <c r="AA307" i="17" s="1"/>
  <c r="O166" i="17"/>
  <c r="AA166" i="17" s="1"/>
  <c r="O198" i="17"/>
  <c r="AA198" i="17" s="1"/>
  <c r="O262" i="17"/>
  <c r="AA262" i="17" s="1"/>
  <c r="O605" i="17"/>
  <c r="AA605" i="17" s="1"/>
  <c r="P67" i="17"/>
  <c r="AB67" i="17" s="1"/>
  <c r="P66" i="17"/>
  <c r="AB66" i="17" s="1"/>
  <c r="P132" i="17"/>
  <c r="AB132" i="17" s="1"/>
  <c r="O593" i="17"/>
  <c r="AA593" i="17" s="1"/>
  <c r="P68" i="17"/>
  <c r="AB68" i="17" s="1"/>
  <c r="O20" i="17"/>
  <c r="AA20" i="17" s="1"/>
  <c r="O59" i="17"/>
  <c r="AA59" i="17" s="1"/>
  <c r="O365" i="17"/>
  <c r="AA365" i="17" s="1"/>
  <c r="O328" i="17"/>
  <c r="AA328" i="17" s="1"/>
  <c r="O392" i="17"/>
  <c r="AA392" i="17" s="1"/>
  <c r="O424" i="17"/>
  <c r="AA424" i="17" s="1"/>
  <c r="O488" i="17"/>
  <c r="AA488" i="17" s="1"/>
  <c r="O417" i="17"/>
  <c r="AA417" i="17" s="1"/>
  <c r="O449" i="17"/>
  <c r="AA449" i="17" s="1"/>
  <c r="O513" i="17"/>
  <c r="AA513" i="17" s="1"/>
  <c r="O554" i="17"/>
  <c r="AA554" i="17" s="1"/>
  <c r="O567" i="17"/>
  <c r="AA567" i="17" s="1"/>
  <c r="O510" i="17"/>
  <c r="AA510" i="17" s="1"/>
  <c r="O471" i="17"/>
  <c r="AA471" i="17" s="1"/>
  <c r="O544" i="17"/>
  <c r="AA544" i="17" s="1"/>
  <c r="O589" i="17"/>
  <c r="AA589" i="17" s="1"/>
  <c r="O603" i="17"/>
  <c r="AA603" i="17" s="1"/>
  <c r="P65" i="17"/>
  <c r="AB65" i="17" s="1"/>
  <c r="P64" i="17"/>
  <c r="AB64" i="17" s="1"/>
  <c r="O16" i="17"/>
  <c r="AA16" i="17" s="1"/>
  <c r="O80" i="17"/>
  <c r="AA80" i="17" s="1"/>
  <c r="O15" i="17"/>
  <c r="AA15" i="17" s="1"/>
  <c r="O79" i="17"/>
  <c r="AA79" i="17" s="1"/>
  <c r="O111" i="17"/>
  <c r="AA111" i="17" s="1"/>
  <c r="O175" i="17"/>
  <c r="AA175" i="17" s="1"/>
  <c r="O239" i="17"/>
  <c r="AA239" i="17" s="1"/>
  <c r="O303" i="17"/>
  <c r="AA303" i="17" s="1"/>
  <c r="O162" i="17"/>
  <c r="AA162" i="17" s="1"/>
  <c r="O194" i="17"/>
  <c r="AA194" i="17" s="1"/>
  <c r="O258" i="17"/>
  <c r="AA258" i="17" s="1"/>
  <c r="O353" i="17"/>
  <c r="AA353" i="17" s="1"/>
  <c r="O316" i="17"/>
  <c r="AA316" i="17" s="1"/>
  <c r="O380" i="17"/>
  <c r="AA380" i="17" s="1"/>
  <c r="O476" i="17"/>
  <c r="AA476" i="17" s="1"/>
  <c r="O437" i="17"/>
  <c r="AA437" i="17" s="1"/>
  <c r="O501" i="17"/>
  <c r="AA501" i="17" s="1"/>
  <c r="O533" i="17"/>
  <c r="AA533" i="17" s="1"/>
  <c r="O542" i="17"/>
  <c r="AA542" i="17" s="1"/>
  <c r="O555" i="17"/>
  <c r="AA555" i="17" s="1"/>
  <c r="P31" i="17"/>
  <c r="AB31" i="17" s="1"/>
  <c r="P95" i="17"/>
  <c r="AB95" i="17" s="1"/>
  <c r="P30" i="17"/>
  <c r="AB30" i="17" s="1"/>
  <c r="P96" i="17"/>
  <c r="AB96" i="17" s="1"/>
  <c r="O466" i="17"/>
  <c r="AA466" i="17" s="1"/>
  <c r="O427" i="17"/>
  <c r="AA427" i="17" s="1"/>
  <c r="O491" i="17"/>
  <c r="AA491" i="17" s="1"/>
  <c r="O523" i="17"/>
  <c r="AA523" i="17" s="1"/>
  <c r="O539" i="17"/>
  <c r="AA539" i="17" s="1"/>
  <c r="O548" i="17"/>
  <c r="AA548" i="17" s="1"/>
  <c r="O580" i="17"/>
  <c r="AA580" i="17" s="1"/>
  <c r="O545" i="17"/>
  <c r="AA545" i="17" s="1"/>
  <c r="O610" i="17"/>
  <c r="AA610" i="17" s="1"/>
  <c r="O607" i="17"/>
  <c r="AA607" i="17" s="1"/>
  <c r="P37" i="17"/>
  <c r="AB37" i="17" s="1"/>
  <c r="P69" i="17"/>
  <c r="AB69" i="17" s="1"/>
  <c r="P101" i="17"/>
  <c r="AB101" i="17" s="1"/>
  <c r="P20" i="17"/>
  <c r="AB20" i="17" s="1"/>
  <c r="P84" i="17"/>
  <c r="AB84" i="17" s="1"/>
  <c r="O34" i="17"/>
  <c r="AA34" i="17" s="1"/>
  <c r="O98" i="17"/>
  <c r="AA98" i="17" s="1"/>
  <c r="O161" i="17"/>
  <c r="AA161" i="17" s="1"/>
  <c r="O225" i="17"/>
  <c r="AA225" i="17" s="1"/>
  <c r="O21" i="17"/>
  <c r="AA21" i="17" s="1"/>
  <c r="O60" i="17"/>
  <c r="AA60" i="17" s="1"/>
  <c r="O19" i="17"/>
  <c r="AA19" i="17" s="1"/>
  <c r="O83" i="17"/>
  <c r="AA83" i="17" s="1"/>
  <c r="O155" i="17"/>
  <c r="AA155" i="17" s="1"/>
  <c r="O219" i="17"/>
  <c r="AA219" i="17" s="1"/>
  <c r="O283" i="17"/>
  <c r="AA283" i="17" s="1"/>
  <c r="O110" i="17"/>
  <c r="AA110" i="17" s="1"/>
  <c r="O142" i="17"/>
  <c r="AA142" i="17" s="1"/>
  <c r="O206" i="17"/>
  <c r="AA206" i="17" s="1"/>
  <c r="O238" i="17"/>
  <c r="AA238" i="17" s="1"/>
  <c r="O270" i="17"/>
  <c r="AA270" i="17" s="1"/>
  <c r="O302" i="17"/>
  <c r="AA302" i="17" s="1"/>
  <c r="O317" i="17"/>
  <c r="AA317" i="17" s="1"/>
  <c r="O381" i="17"/>
  <c r="AA381" i="17" s="1"/>
  <c r="O413" i="17"/>
  <c r="AA413" i="17" s="1"/>
  <c r="O344" i="17"/>
  <c r="AA344" i="17" s="1"/>
  <c r="O408" i="17"/>
  <c r="AA408" i="17" s="1"/>
  <c r="O480" i="17"/>
  <c r="AA480" i="17" s="1"/>
  <c r="O441" i="17"/>
  <c r="AA441" i="17" s="1"/>
  <c r="O505" i="17"/>
  <c r="AA505" i="17" s="1"/>
  <c r="O546" i="17"/>
  <c r="AA546" i="17" s="1"/>
  <c r="O559" i="17"/>
  <c r="AA559" i="17" s="1"/>
  <c r="O613" i="17"/>
  <c r="AA613" i="17" s="1"/>
  <c r="P75" i="17"/>
  <c r="AB75" i="17" s="1"/>
  <c r="P42" i="17"/>
  <c r="AB42" i="17" s="1"/>
  <c r="P74" i="17"/>
  <c r="AB74" i="17" s="1"/>
  <c r="P108" i="17"/>
  <c r="AB108" i="17" s="1"/>
  <c r="O483" i="17"/>
  <c r="AA483" i="17" s="1"/>
  <c r="O602" i="17"/>
  <c r="AA602" i="17" s="1"/>
  <c r="P76" i="17"/>
  <c r="AB76" i="17" s="1"/>
  <c r="O325" i="17"/>
  <c r="AA325" i="17" s="1"/>
  <c r="O389" i="17"/>
  <c r="AA389" i="17" s="1"/>
  <c r="O352" i="17"/>
  <c r="AA352" i="17" s="1"/>
  <c r="O416" i="17"/>
  <c r="AA416" i="17" s="1"/>
  <c r="O479" i="17"/>
  <c r="AA479" i="17" s="1"/>
  <c r="O543" i="17"/>
  <c r="AA543" i="17" s="1"/>
  <c r="O552" i="17"/>
  <c r="AA552" i="17" s="1"/>
  <c r="O598" i="17"/>
  <c r="AA598" i="17" s="1"/>
  <c r="O611" i="17"/>
  <c r="AA611" i="17" s="1"/>
  <c r="P73" i="17"/>
  <c r="AB73" i="17" s="1"/>
  <c r="P72" i="17"/>
  <c r="AB72" i="17" s="1"/>
  <c r="O24" i="17"/>
  <c r="AA24" i="17" s="1"/>
  <c r="O88" i="17"/>
  <c r="AA88" i="17" s="1"/>
  <c r="O23" i="17"/>
  <c r="AA23" i="17" s="1"/>
  <c r="O87" i="17"/>
  <c r="AA87" i="17" s="1"/>
  <c r="O119" i="17"/>
  <c r="AA119" i="17" s="1"/>
  <c r="O183" i="17"/>
  <c r="AA183" i="17" s="1"/>
  <c r="O247" i="17"/>
  <c r="AA247" i="17" s="1"/>
  <c r="O311" i="17"/>
  <c r="AA311" i="17" s="1"/>
  <c r="O170" i="17"/>
  <c r="AA170" i="17" s="1"/>
  <c r="O202" i="17"/>
  <c r="AA202" i="17" s="1"/>
  <c r="O266" i="17"/>
  <c r="AA266" i="17" s="1"/>
  <c r="O361" i="17"/>
  <c r="AA361" i="17" s="1"/>
  <c r="O324" i="17"/>
  <c r="AA324" i="17" s="1"/>
  <c r="O388" i="17"/>
  <c r="AA388" i="17" s="1"/>
  <c r="O420" i="17"/>
  <c r="AA420" i="17" s="1"/>
  <c r="O484" i="17"/>
  <c r="AA484" i="17" s="1"/>
  <c r="O445" i="17"/>
  <c r="AA445" i="17" s="1"/>
  <c r="O509" i="17"/>
  <c r="AA509" i="17" s="1"/>
  <c r="O550" i="17"/>
  <c r="AA550" i="17" s="1"/>
  <c r="O563" i="17"/>
  <c r="AA563" i="17" s="1"/>
  <c r="P39" i="17"/>
  <c r="AB39" i="17" s="1"/>
  <c r="P103" i="17"/>
  <c r="AB103" i="17" s="1"/>
  <c r="P38" i="17"/>
  <c r="AB38" i="17" s="1"/>
  <c r="O474" i="17"/>
  <c r="AA474" i="17" s="1"/>
  <c r="O435" i="17"/>
  <c r="AA435" i="17" s="1"/>
  <c r="O499" i="17"/>
  <c r="AA499" i="17" s="1"/>
  <c r="O531" i="17"/>
  <c r="AA531" i="17" s="1"/>
  <c r="O540" i="17"/>
  <c r="AA540" i="17" s="1"/>
  <c r="O572" i="17"/>
  <c r="AA572" i="17" s="1"/>
  <c r="O553" i="17"/>
  <c r="AA553" i="17" s="1"/>
  <c r="P29" i="17"/>
  <c r="AB29" i="17" s="1"/>
  <c r="P93" i="17"/>
  <c r="AB93" i="17" s="1"/>
  <c r="P28" i="17"/>
  <c r="AB28" i="17" s="1"/>
  <c r="P92" i="17"/>
  <c r="AB92" i="17" s="1"/>
  <c r="O44" i="17"/>
  <c r="AA44" i="17" s="1"/>
  <c r="O82" i="17"/>
  <c r="AA82" i="17" s="1"/>
  <c r="O209" i="17"/>
  <c r="AA209" i="17" s="1"/>
  <c r="O100" i="17"/>
  <c r="AA100" i="17" s="1"/>
  <c r="O35" i="17"/>
  <c r="AA35" i="17" s="1"/>
  <c r="O99" i="17"/>
  <c r="AA99" i="17" s="1"/>
  <c r="O131" i="17"/>
  <c r="AA131" i="17" s="1"/>
  <c r="O195" i="17"/>
  <c r="AA195" i="17" s="1"/>
  <c r="O259" i="17"/>
  <c r="AA259" i="17" s="1"/>
  <c r="O118" i="17"/>
  <c r="AA118" i="17" s="1"/>
  <c r="O214" i="17"/>
  <c r="AA214" i="17" s="1"/>
  <c r="O278" i="17"/>
  <c r="AA278" i="17" s="1"/>
  <c r="O373" i="17"/>
  <c r="AA373" i="17" s="1"/>
  <c r="O336" i="17"/>
  <c r="AA336" i="17" s="1"/>
  <c r="O400" i="17"/>
  <c r="AA400" i="17" s="1"/>
  <c r="O432" i="17"/>
  <c r="AA432" i="17" s="1"/>
  <c r="O496" i="17"/>
  <c r="AA496" i="17" s="1"/>
  <c r="O457" i="17"/>
  <c r="AA457" i="17" s="1"/>
  <c r="O562" i="17"/>
  <c r="AA562" i="17" s="1"/>
  <c r="O575" i="17"/>
  <c r="AA575" i="17" s="1"/>
  <c r="P51" i="17"/>
  <c r="AB51" i="17" s="1"/>
  <c r="P50" i="17"/>
  <c r="AB50" i="17" s="1"/>
  <c r="P116" i="17"/>
  <c r="AB116" i="17" s="1"/>
  <c r="P180" i="17"/>
  <c r="AB180" i="17" s="1"/>
  <c r="P160" i="17"/>
  <c r="AB160" i="17" s="1"/>
  <c r="P224" i="17"/>
  <c r="AB224" i="17" s="1"/>
  <c r="P288" i="17"/>
  <c r="AB288" i="17" s="1"/>
  <c r="P147" i="17"/>
  <c r="AB147" i="17" s="1"/>
  <c r="P211" i="17"/>
  <c r="AB211" i="17" s="1"/>
  <c r="P275" i="17"/>
  <c r="AB275" i="17" s="1"/>
  <c r="P372" i="17"/>
  <c r="AB372" i="17" s="1"/>
  <c r="P365" i="17"/>
  <c r="AB365" i="17" s="1"/>
  <c r="P461" i="17"/>
  <c r="AB461" i="17" s="1"/>
  <c r="P424" i="17"/>
  <c r="AB424" i="17" s="1"/>
  <c r="P488" i="17"/>
  <c r="AB488" i="17" s="1"/>
  <c r="P583" i="17"/>
  <c r="AB583" i="17" s="1"/>
  <c r="P541" i="17"/>
  <c r="AB541" i="17" s="1"/>
  <c r="P603" i="17"/>
  <c r="AB603" i="17" s="1"/>
  <c r="P94" i="17"/>
  <c r="AB94" i="17" s="1"/>
  <c r="P158" i="17"/>
  <c r="AB158" i="17" s="1"/>
  <c r="P222" i="17"/>
  <c r="AB222" i="17" s="1"/>
  <c r="P286" i="17"/>
  <c r="AB286" i="17" s="1"/>
  <c r="P145" i="17"/>
  <c r="AB145" i="17" s="1"/>
  <c r="P209" i="17"/>
  <c r="AB209" i="17" s="1"/>
  <c r="P273" i="17"/>
  <c r="AB273" i="17" s="1"/>
  <c r="P370" i="17"/>
  <c r="AB370" i="17" s="1"/>
  <c r="P363" i="17"/>
  <c r="AB363" i="17" s="1"/>
  <c r="P459" i="17"/>
  <c r="AB459" i="17" s="1"/>
  <c r="P422" i="17"/>
  <c r="AB422" i="17" s="1"/>
  <c r="P486" i="17"/>
  <c r="AB486" i="17" s="1"/>
  <c r="P549" i="17"/>
  <c r="AB549" i="17" s="1"/>
  <c r="P539" i="17"/>
  <c r="AB539" i="17" s="1"/>
  <c r="P601" i="17"/>
  <c r="AB601" i="17" s="1"/>
  <c r="O518" i="17"/>
  <c r="AA518" i="17" s="1"/>
  <c r="O577" i="17"/>
  <c r="AA577" i="17" s="1"/>
  <c r="P21" i="17"/>
  <c r="AB21" i="17" s="1"/>
  <c r="P53" i="17"/>
  <c r="AB53" i="17" s="1"/>
  <c r="P85" i="17"/>
  <c r="AB85" i="17" s="1"/>
  <c r="P52" i="17"/>
  <c r="AB52" i="17" s="1"/>
  <c r="O28" i="17"/>
  <c r="AA28" i="17" s="1"/>
  <c r="O66" i="17"/>
  <c r="AA66" i="17" s="1"/>
  <c r="O129" i="17"/>
  <c r="AA129" i="17" s="1"/>
  <c r="O193" i="17"/>
  <c r="AA193" i="17" s="1"/>
  <c r="O257" i="17"/>
  <c r="AA257" i="17" s="1"/>
  <c r="O92" i="17"/>
  <c r="AA92" i="17" s="1"/>
  <c r="O51" i="17"/>
  <c r="AA51" i="17" s="1"/>
  <c r="O123" i="17"/>
  <c r="AA123" i="17" s="1"/>
  <c r="O187" i="17"/>
  <c r="AA187" i="17" s="1"/>
  <c r="O251" i="17"/>
  <c r="AA251" i="17" s="1"/>
  <c r="O174" i="17"/>
  <c r="AA174" i="17" s="1"/>
  <c r="O190" i="17"/>
  <c r="AA190" i="17" s="1"/>
  <c r="O222" i="17"/>
  <c r="AA222" i="17" s="1"/>
  <c r="O254" i="17"/>
  <c r="AA254" i="17" s="1"/>
  <c r="O286" i="17"/>
  <c r="AA286" i="17" s="1"/>
  <c r="O349" i="17"/>
  <c r="AA349" i="17" s="1"/>
  <c r="O376" i="17"/>
  <c r="AA376" i="17" s="1"/>
  <c r="O448" i="17"/>
  <c r="AA448" i="17" s="1"/>
  <c r="O512" i="17"/>
  <c r="AA512" i="17" s="1"/>
  <c r="O473" i="17"/>
  <c r="AA473" i="17" s="1"/>
  <c r="O529" i="17"/>
  <c r="AA529" i="17" s="1"/>
  <c r="O578" i="17"/>
  <c r="AA578" i="17" s="1"/>
  <c r="O591" i="17"/>
  <c r="AA591" i="17" s="1"/>
  <c r="P43" i="17"/>
  <c r="AB43" i="17" s="1"/>
  <c r="P107" i="17"/>
  <c r="AB107" i="17" s="1"/>
  <c r="P26" i="17"/>
  <c r="AB26" i="17" s="1"/>
  <c r="P58" i="17"/>
  <c r="AB58" i="17" s="1"/>
  <c r="P90" i="17"/>
  <c r="AB90" i="17" s="1"/>
  <c r="P124" i="17"/>
  <c r="AB124" i="17" s="1"/>
  <c r="O515" i="17"/>
  <c r="AA515" i="17" s="1"/>
  <c r="O569" i="17"/>
  <c r="AA569" i="17" s="1"/>
  <c r="P44" i="17"/>
  <c r="AB44" i="17" s="1"/>
  <c r="O357" i="17"/>
  <c r="AA357" i="17" s="1"/>
  <c r="O320" i="17"/>
  <c r="AA320" i="17" s="1"/>
  <c r="O384" i="17"/>
  <c r="AA384" i="17" s="1"/>
  <c r="O537" i="17"/>
  <c r="AA537" i="17" s="1"/>
  <c r="O486" i="17"/>
  <c r="AA486" i="17" s="1"/>
  <c r="O520" i="17"/>
  <c r="AA520" i="17" s="1"/>
  <c r="O447" i="17"/>
  <c r="AA447" i="17" s="1"/>
  <c r="O511" i="17"/>
  <c r="AA511" i="17" s="1"/>
  <c r="O584" i="17"/>
  <c r="AA584" i="17" s="1"/>
  <c r="O565" i="17"/>
  <c r="AA565" i="17" s="1"/>
  <c r="P41" i="17"/>
  <c r="AB41" i="17" s="1"/>
  <c r="P105" i="17"/>
  <c r="AB105" i="17" s="1"/>
  <c r="P40" i="17"/>
  <c r="AB40" i="17" s="1"/>
  <c r="O56" i="17"/>
  <c r="AA56" i="17" s="1"/>
  <c r="O55" i="17"/>
  <c r="AA55" i="17" s="1"/>
  <c r="O151" i="17"/>
  <c r="AA151" i="17" s="1"/>
  <c r="O215" i="17"/>
  <c r="AA215" i="17" s="1"/>
  <c r="O279" i="17"/>
  <c r="AA279" i="17" s="1"/>
  <c r="O138" i="17"/>
  <c r="AA138" i="17" s="1"/>
  <c r="O234" i="17"/>
  <c r="AA234" i="17" s="1"/>
  <c r="O298" i="17"/>
  <c r="AA298" i="17" s="1"/>
  <c r="O329" i="17"/>
  <c r="AA329" i="17" s="1"/>
  <c r="O393" i="17"/>
  <c r="AA393" i="17" s="1"/>
  <c r="O356" i="17"/>
  <c r="AA356" i="17" s="1"/>
  <c r="O452" i="17"/>
  <c r="AA452" i="17" s="1"/>
  <c r="O516" i="17"/>
  <c r="AA516" i="17" s="1"/>
  <c r="O477" i="17"/>
  <c r="AA477" i="17" s="1"/>
  <c r="O541" i="17"/>
  <c r="AA541" i="17" s="1"/>
  <c r="O582" i="17"/>
  <c r="AA582" i="17" s="1"/>
  <c r="O596" i="17"/>
  <c r="AA596" i="17" s="1"/>
  <c r="O609" i="17"/>
  <c r="AA609" i="17" s="1"/>
  <c r="P71" i="17"/>
  <c r="AB71" i="17" s="1"/>
  <c r="P70" i="17"/>
  <c r="AB70" i="17" s="1"/>
  <c r="O410" i="17"/>
  <c r="AA410" i="17" s="1"/>
  <c r="O442" i="17"/>
  <c r="AA442" i="17" s="1"/>
  <c r="O506" i="17"/>
  <c r="AA506" i="17" s="1"/>
  <c r="O467" i="17"/>
  <c r="AA467" i="17" s="1"/>
  <c r="O585" i="17"/>
  <c r="AA585" i="17" s="1"/>
  <c r="O599" i="17"/>
  <c r="AA599" i="17" s="1"/>
  <c r="P61" i="17"/>
  <c r="AB61" i="17" s="1"/>
  <c r="P60" i="17"/>
  <c r="AB60" i="17" s="1"/>
  <c r="O18" i="17"/>
  <c r="AA18" i="17" s="1"/>
  <c r="O145" i="17"/>
  <c r="AA145" i="17" s="1"/>
  <c r="O273" i="17"/>
  <c r="AA273" i="17" s="1"/>
  <c r="O68" i="17"/>
  <c r="AA68" i="17" s="1"/>
  <c r="O67" i="17"/>
  <c r="AA67" i="17" s="1"/>
  <c r="O163" i="17"/>
  <c r="AA163" i="17" s="1"/>
  <c r="O227" i="17"/>
  <c r="AA227" i="17" s="1"/>
  <c r="O291" i="17"/>
  <c r="AA291" i="17" s="1"/>
  <c r="O150" i="17"/>
  <c r="AA150" i="17" s="1"/>
  <c r="O182" i="17"/>
  <c r="AA182" i="17" s="1"/>
  <c r="O246" i="17"/>
  <c r="AA246" i="17" s="1"/>
  <c r="O310" i="17"/>
  <c r="AA310" i="17" s="1"/>
  <c r="O341" i="17"/>
  <c r="AA341" i="17" s="1"/>
  <c r="O405" i="17"/>
  <c r="AA405" i="17" s="1"/>
  <c r="O368" i="17"/>
  <c r="AA368" i="17" s="1"/>
  <c r="O464" i="17"/>
  <c r="AA464" i="17" s="1"/>
  <c r="O425" i="17"/>
  <c r="AA425" i="17" s="1"/>
  <c r="O489" i="17"/>
  <c r="AA489" i="17" s="1"/>
  <c r="O521" i="17"/>
  <c r="AA521" i="17" s="1"/>
  <c r="O530" i="17"/>
  <c r="AA530" i="17" s="1"/>
  <c r="O594" i="17"/>
  <c r="AA594" i="17" s="1"/>
  <c r="O608" i="17"/>
  <c r="AA608" i="17" s="1"/>
  <c r="P19" i="17"/>
  <c r="AB19" i="17" s="1"/>
  <c r="P83" i="17"/>
  <c r="AB83" i="17" s="1"/>
  <c r="P18" i="17"/>
  <c r="AB18" i="17" s="1"/>
  <c r="P82" i="17"/>
  <c r="AB82" i="17" s="1"/>
  <c r="P148" i="17"/>
  <c r="AB148" i="17" s="1"/>
  <c r="P128" i="17"/>
  <c r="AB128" i="17" s="1"/>
  <c r="P192" i="17"/>
  <c r="AB192" i="17" s="1"/>
  <c r="P256" i="17"/>
  <c r="AB256" i="17" s="1"/>
  <c r="P115" i="17"/>
  <c r="AB115" i="17" s="1"/>
  <c r="P179" i="17"/>
  <c r="AB179" i="17" s="1"/>
  <c r="P243" i="17"/>
  <c r="AB243" i="17" s="1"/>
  <c r="P307" i="17"/>
  <c r="AB307" i="17" s="1"/>
  <c r="P340" i="17"/>
  <c r="AB340" i="17" s="1"/>
  <c r="P404" i="17"/>
  <c r="AB404" i="17" s="1"/>
  <c r="P333" i="17"/>
  <c r="AB333" i="17" s="1"/>
  <c r="P397" i="17"/>
  <c r="AB397" i="17" s="1"/>
  <c r="P429" i="17"/>
  <c r="AB429" i="17" s="1"/>
  <c r="P493" i="17"/>
  <c r="AB493" i="17" s="1"/>
  <c r="P456" i="17"/>
  <c r="AB456" i="17" s="1"/>
  <c r="P518" i="17"/>
  <c r="AB518" i="17" s="1"/>
  <c r="P551" i="17"/>
  <c r="AB551" i="17" s="1"/>
  <c r="P572" i="17"/>
  <c r="AB572" i="17" s="1"/>
  <c r="P126" i="17"/>
  <c r="AB126" i="17" s="1"/>
  <c r="P190" i="17"/>
  <c r="AB190" i="17" s="1"/>
  <c r="P254" i="17"/>
  <c r="AB254" i="17" s="1"/>
  <c r="P113" i="17"/>
  <c r="AB113" i="17" s="1"/>
  <c r="P177" i="17"/>
  <c r="AB177" i="17" s="1"/>
  <c r="P241" i="17"/>
  <c r="AB241" i="17" s="1"/>
  <c r="P305" i="17"/>
  <c r="AB305" i="17" s="1"/>
  <c r="P338" i="17"/>
  <c r="AB338" i="17" s="1"/>
  <c r="P402" i="17"/>
  <c r="AB402" i="17" s="1"/>
  <c r="P331" i="17"/>
  <c r="AB331" i="17" s="1"/>
  <c r="P395" i="17"/>
  <c r="AB395" i="17" s="1"/>
  <c r="P427" i="17"/>
  <c r="AB427" i="17" s="1"/>
  <c r="P491" i="17"/>
  <c r="AB491" i="17" s="1"/>
  <c r="P454" i="17"/>
  <c r="AB454" i="17" s="1"/>
  <c r="P519" i="17"/>
  <c r="AB519" i="17" s="1"/>
  <c r="P581" i="17"/>
  <c r="AB581" i="17" s="1"/>
  <c r="P570" i="17"/>
  <c r="AB570" i="17" s="1"/>
  <c r="P212" i="17"/>
  <c r="AB212" i="17" s="1"/>
  <c r="P172" i="17"/>
  <c r="AB172" i="17" s="1"/>
  <c r="P152" i="17"/>
  <c r="AB152" i="17" s="1"/>
  <c r="P216" i="17"/>
  <c r="AB216" i="17" s="1"/>
  <c r="P280" i="17"/>
  <c r="AB280" i="17" s="1"/>
  <c r="P139" i="17"/>
  <c r="AB139" i="17" s="1"/>
  <c r="P203" i="17"/>
  <c r="AB203" i="17" s="1"/>
  <c r="P267" i="17"/>
  <c r="AB267" i="17" s="1"/>
  <c r="P364" i="17"/>
  <c r="AB364" i="17" s="1"/>
  <c r="P357" i="17"/>
  <c r="AB357" i="17" s="1"/>
  <c r="P453" i="17"/>
  <c r="AB453" i="17" s="1"/>
  <c r="P517" i="17"/>
  <c r="AB517" i="17" s="1"/>
  <c r="P480" i="17"/>
  <c r="AB480" i="17" s="1"/>
  <c r="P542" i="17"/>
  <c r="AB542" i="17" s="1"/>
  <c r="P575" i="17"/>
  <c r="AB575" i="17" s="1"/>
  <c r="P533" i="17"/>
  <c r="AB533" i="17" s="1"/>
  <c r="P595" i="17"/>
  <c r="AB595" i="17" s="1"/>
  <c r="P608" i="17"/>
  <c r="AB608" i="17" s="1"/>
  <c r="P150" i="17"/>
  <c r="AB150" i="17" s="1"/>
  <c r="P214" i="17"/>
  <c r="AB214" i="17" s="1"/>
  <c r="P278" i="17"/>
  <c r="AB278" i="17" s="1"/>
  <c r="P137" i="17"/>
  <c r="AB137" i="17" s="1"/>
  <c r="P201" i="17"/>
  <c r="AB201" i="17" s="1"/>
  <c r="P265" i="17"/>
  <c r="AB265" i="17" s="1"/>
  <c r="P362" i="17"/>
  <c r="AB362" i="17" s="1"/>
  <c r="P355" i="17"/>
  <c r="AB355" i="17" s="1"/>
  <c r="P451" i="17"/>
  <c r="AB451" i="17" s="1"/>
  <c r="P515" i="17"/>
  <c r="AB515" i="17" s="1"/>
  <c r="P478" i="17"/>
  <c r="AB478" i="17" s="1"/>
  <c r="P540" i="17"/>
  <c r="AB540" i="17" s="1"/>
  <c r="P531" i="17"/>
  <c r="AB531" i="17" s="1"/>
  <c r="P594" i="17"/>
  <c r="AB594" i="17" s="1"/>
  <c r="P606" i="17"/>
  <c r="AB606" i="17" s="1"/>
  <c r="P252" i="17"/>
  <c r="AB252" i="17" s="1"/>
  <c r="P164" i="17"/>
  <c r="AB164" i="17" s="1"/>
  <c r="P144" i="17"/>
  <c r="AB144" i="17" s="1"/>
  <c r="P208" i="17"/>
  <c r="AB208" i="17" s="1"/>
  <c r="P272" i="17"/>
  <c r="AB272" i="17" s="1"/>
  <c r="P131" i="17"/>
  <c r="AB131" i="17" s="1"/>
  <c r="P195" i="17"/>
  <c r="AB195" i="17" s="1"/>
  <c r="P259" i="17"/>
  <c r="AB259" i="17" s="1"/>
  <c r="P356" i="17"/>
  <c r="AB356" i="17" s="1"/>
  <c r="P349" i="17"/>
  <c r="AB349" i="17" s="1"/>
  <c r="P413" i="17"/>
  <c r="AB413" i="17" s="1"/>
  <c r="P445" i="17"/>
  <c r="AB445" i="17" s="1"/>
  <c r="P509" i="17"/>
  <c r="AB509" i="17" s="1"/>
  <c r="P472" i="17"/>
  <c r="AB472" i="17" s="1"/>
  <c r="P534" i="17"/>
  <c r="AB534" i="17" s="1"/>
  <c r="P567" i="17"/>
  <c r="AB567" i="17" s="1"/>
  <c r="P525" i="17"/>
  <c r="AB525" i="17" s="1"/>
  <c r="P588" i="17"/>
  <c r="AB588" i="17" s="1"/>
  <c r="P600" i="17"/>
  <c r="AB600" i="17" s="1"/>
  <c r="P142" i="17"/>
  <c r="AB142" i="17" s="1"/>
  <c r="P206" i="17"/>
  <c r="AB206" i="17" s="1"/>
  <c r="P270" i="17"/>
  <c r="AB270" i="17" s="1"/>
  <c r="P129" i="17"/>
  <c r="AB129" i="17" s="1"/>
  <c r="P193" i="17"/>
  <c r="AB193" i="17" s="1"/>
  <c r="P257" i="17"/>
  <c r="AB257" i="17" s="1"/>
  <c r="P354" i="17"/>
  <c r="AB354" i="17" s="1"/>
  <c r="P347" i="17"/>
  <c r="AB347" i="17" s="1"/>
  <c r="P411" i="17"/>
  <c r="AB411" i="17" s="1"/>
  <c r="P443" i="17"/>
  <c r="AB443" i="17" s="1"/>
  <c r="P507" i="17"/>
  <c r="AB507" i="17" s="1"/>
  <c r="P470" i="17"/>
  <c r="AB470" i="17" s="1"/>
  <c r="P532" i="17"/>
  <c r="AB532" i="17" s="1"/>
  <c r="P523" i="17"/>
  <c r="AB523" i="17" s="1"/>
  <c r="P586" i="17"/>
  <c r="AB586" i="17" s="1"/>
  <c r="P598" i="17"/>
  <c r="AB598" i="17" s="1"/>
  <c r="P228" i="17"/>
  <c r="AB228" i="17" s="1"/>
  <c r="P104" i="17"/>
  <c r="AB104" i="17" s="1"/>
  <c r="P168" i="17"/>
  <c r="AB168" i="17" s="1"/>
  <c r="P232" i="17"/>
  <c r="AB232" i="17" s="1"/>
  <c r="P296" i="17"/>
  <c r="AB296" i="17" s="1"/>
  <c r="P155" i="17"/>
  <c r="AB155" i="17" s="1"/>
  <c r="P219" i="17"/>
  <c r="AB219" i="17" s="1"/>
  <c r="P283" i="17"/>
  <c r="AB283" i="17" s="1"/>
  <c r="P316" i="17"/>
  <c r="AB316" i="17" s="1"/>
  <c r="P380" i="17"/>
  <c r="AB380" i="17" s="1"/>
  <c r="P373" i="17"/>
  <c r="AB373" i="17" s="1"/>
  <c r="P469" i="17"/>
  <c r="AB469" i="17" s="1"/>
  <c r="P432" i="17"/>
  <c r="AB432" i="17" s="1"/>
  <c r="P496" i="17"/>
  <c r="AB496" i="17" s="1"/>
  <c r="P591" i="17"/>
  <c r="AB591" i="17" s="1"/>
  <c r="P548" i="17"/>
  <c r="AB548" i="17" s="1"/>
  <c r="P611" i="17"/>
  <c r="AB611" i="17" s="1"/>
  <c r="P102" i="17"/>
  <c r="AB102" i="17" s="1"/>
  <c r="P166" i="17"/>
  <c r="AB166" i="17" s="1"/>
  <c r="P230" i="17"/>
  <c r="AB230" i="17" s="1"/>
  <c r="P294" i="17"/>
  <c r="AB294" i="17" s="1"/>
  <c r="P153" i="17"/>
  <c r="AB153" i="17" s="1"/>
  <c r="P217" i="17"/>
  <c r="AB217" i="17" s="1"/>
  <c r="P281" i="17"/>
  <c r="AB281" i="17" s="1"/>
  <c r="P378" i="17"/>
  <c r="AB378" i="17" s="1"/>
  <c r="P371" i="17"/>
  <c r="AB371" i="17" s="1"/>
  <c r="P467" i="17"/>
  <c r="AB467" i="17" s="1"/>
  <c r="P430" i="17"/>
  <c r="AB430" i="17" s="1"/>
  <c r="P494" i="17"/>
  <c r="AB494" i="17" s="1"/>
  <c r="P557" i="17"/>
  <c r="AB557" i="17" s="1"/>
  <c r="P546" i="17"/>
  <c r="AB546" i="17" s="1"/>
  <c r="P609" i="17"/>
  <c r="AB609" i="17" s="1"/>
  <c r="P188" i="17"/>
  <c r="AB188" i="17" s="1"/>
  <c r="P268" i="17"/>
  <c r="AB268" i="17" s="1"/>
  <c r="P127" i="17"/>
  <c r="AB127" i="17" s="1"/>
  <c r="P191" i="17"/>
  <c r="AB191" i="17" s="1"/>
  <c r="P255" i="17"/>
  <c r="AB255" i="17" s="1"/>
  <c r="P352" i="17"/>
  <c r="AB352" i="17" s="1"/>
  <c r="P416" i="17"/>
  <c r="AB416" i="17" s="1"/>
  <c r="P345" i="17"/>
  <c r="AB345" i="17" s="1"/>
  <c r="P409" i="17"/>
  <c r="AB409" i="17" s="1"/>
  <c r="P441" i="17"/>
  <c r="AB441" i="17" s="1"/>
  <c r="P505" i="17"/>
  <c r="AB505" i="17" s="1"/>
  <c r="P436" i="17"/>
  <c r="AB436" i="17" s="1"/>
  <c r="P500" i="17"/>
  <c r="AB500" i="17" s="1"/>
  <c r="P552" i="17"/>
  <c r="AB552" i="17" s="1"/>
  <c r="P106" i="17"/>
  <c r="AB106" i="17" s="1"/>
  <c r="P170" i="17"/>
  <c r="AB170" i="17" s="1"/>
  <c r="P234" i="17"/>
  <c r="AB234" i="17" s="1"/>
  <c r="P298" i="17"/>
  <c r="AB298" i="17" s="1"/>
  <c r="P157" i="17"/>
  <c r="AB157" i="17" s="1"/>
  <c r="P221" i="17"/>
  <c r="AB221" i="17" s="1"/>
  <c r="P285" i="17"/>
  <c r="AB285" i="17" s="1"/>
  <c r="P318" i="17"/>
  <c r="AB318" i="17" s="1"/>
  <c r="P382" i="17"/>
  <c r="AB382" i="17" s="1"/>
  <c r="P375" i="17"/>
  <c r="AB375" i="17" s="1"/>
  <c r="P471" i="17"/>
  <c r="AB471" i="17" s="1"/>
  <c r="P434" i="17"/>
  <c r="AB434" i="17" s="1"/>
  <c r="P498" i="17"/>
  <c r="AB498" i="17" s="1"/>
  <c r="P561" i="17"/>
  <c r="AB561" i="17" s="1"/>
  <c r="P550" i="17"/>
  <c r="AB550" i="17" s="1"/>
  <c r="P613" i="17"/>
  <c r="AB613" i="17" s="1"/>
  <c r="P207" i="17"/>
  <c r="AB207" i="17" s="1"/>
  <c r="P368" i="17"/>
  <c r="AB368" i="17" s="1"/>
  <c r="P457" i="17"/>
  <c r="AB457" i="17" s="1"/>
  <c r="P516" i="17"/>
  <c r="AB516" i="17" s="1"/>
  <c r="P547" i="17"/>
  <c r="AB547" i="17" s="1"/>
  <c r="P122" i="17"/>
  <c r="AB122" i="17" s="1"/>
  <c r="P186" i="17"/>
  <c r="AB186" i="17" s="1"/>
  <c r="P250" i="17"/>
  <c r="AB250" i="17" s="1"/>
  <c r="P314" i="17"/>
  <c r="AB314" i="17" s="1"/>
  <c r="P173" i="17"/>
  <c r="AB173" i="17" s="1"/>
  <c r="P237" i="17"/>
  <c r="AB237" i="17" s="1"/>
  <c r="P301" i="17"/>
  <c r="AB301" i="17" s="1"/>
  <c r="P334" i="17"/>
  <c r="AB334" i="17" s="1"/>
  <c r="P359" i="17"/>
  <c r="AB359" i="17" s="1"/>
  <c r="P487" i="17"/>
  <c r="AB487" i="17" s="1"/>
  <c r="P514" i="17"/>
  <c r="AB514" i="17" s="1"/>
  <c r="P566" i="17"/>
  <c r="AB566" i="17" s="1"/>
  <c r="P610" i="17"/>
  <c r="AB610" i="17" s="1"/>
  <c r="P244" i="17"/>
  <c r="AB244" i="17" s="1"/>
  <c r="P140" i="17"/>
  <c r="AB140" i="17" s="1"/>
  <c r="P120" i="17"/>
  <c r="AB120" i="17" s="1"/>
  <c r="P184" i="17"/>
  <c r="AB184" i="17" s="1"/>
  <c r="P248" i="17"/>
  <c r="AB248" i="17" s="1"/>
  <c r="P312" i="17"/>
  <c r="AB312" i="17" s="1"/>
  <c r="P171" i="17"/>
  <c r="AB171" i="17" s="1"/>
  <c r="P235" i="17"/>
  <c r="AB235" i="17" s="1"/>
  <c r="P299" i="17"/>
  <c r="AB299" i="17" s="1"/>
  <c r="P332" i="17"/>
  <c r="AB332" i="17" s="1"/>
  <c r="P396" i="17"/>
  <c r="AB396" i="17" s="1"/>
  <c r="P325" i="17"/>
  <c r="AB325" i="17" s="1"/>
  <c r="P389" i="17"/>
  <c r="AB389" i="17" s="1"/>
  <c r="P421" i="17"/>
  <c r="AB421" i="17" s="1"/>
  <c r="P485" i="17"/>
  <c r="AB485" i="17" s="1"/>
  <c r="P448" i="17"/>
  <c r="AB448" i="17" s="1"/>
  <c r="P512" i="17"/>
  <c r="AB512" i="17" s="1"/>
  <c r="P564" i="17"/>
  <c r="AB564" i="17" s="1"/>
  <c r="P118" i="17"/>
  <c r="AB118" i="17" s="1"/>
  <c r="P182" i="17"/>
  <c r="AB182" i="17" s="1"/>
  <c r="P246" i="17"/>
  <c r="AB246" i="17" s="1"/>
  <c r="P310" i="17"/>
  <c r="AB310" i="17" s="1"/>
  <c r="P169" i="17"/>
  <c r="AB169" i="17" s="1"/>
  <c r="P233" i="17"/>
  <c r="AB233" i="17" s="1"/>
  <c r="P297" i="17"/>
  <c r="AB297" i="17" s="1"/>
  <c r="P330" i="17"/>
  <c r="AB330" i="17" s="1"/>
  <c r="P394" i="17"/>
  <c r="AB394" i="17" s="1"/>
  <c r="P323" i="17"/>
  <c r="AB323" i="17" s="1"/>
  <c r="P387" i="17"/>
  <c r="AB387" i="17" s="1"/>
  <c r="P419" i="17"/>
  <c r="AB419" i="17" s="1"/>
  <c r="P483" i="17"/>
  <c r="AB483" i="17" s="1"/>
  <c r="P446" i="17"/>
  <c r="AB446" i="17" s="1"/>
  <c r="P510" i="17"/>
  <c r="AB510" i="17" s="1"/>
  <c r="P562" i="17"/>
  <c r="AB562" i="17" s="1"/>
  <c r="P204" i="17"/>
  <c r="AB204" i="17" s="1"/>
  <c r="P284" i="17"/>
  <c r="AB284" i="17" s="1"/>
  <c r="P112" i="17"/>
  <c r="AB112" i="17" s="1"/>
  <c r="P176" i="17"/>
  <c r="AB176" i="17" s="1"/>
  <c r="P240" i="17"/>
  <c r="AB240" i="17" s="1"/>
  <c r="P304" i="17"/>
  <c r="AB304" i="17" s="1"/>
  <c r="P163" i="17"/>
  <c r="AB163" i="17" s="1"/>
  <c r="P227" i="17"/>
  <c r="AB227" i="17" s="1"/>
  <c r="P291" i="17"/>
  <c r="AB291" i="17" s="1"/>
  <c r="P324" i="17"/>
  <c r="AB324" i="17" s="1"/>
  <c r="P388" i="17"/>
  <c r="AB388" i="17" s="1"/>
  <c r="P317" i="17"/>
  <c r="AB317" i="17" s="1"/>
  <c r="P381" i="17"/>
  <c r="AB381" i="17" s="1"/>
  <c r="P477" i="17"/>
  <c r="AB477" i="17" s="1"/>
  <c r="P440" i="17"/>
  <c r="AB440" i="17" s="1"/>
  <c r="P504" i="17"/>
  <c r="AB504" i="17" s="1"/>
  <c r="P556" i="17"/>
  <c r="AB556" i="17" s="1"/>
  <c r="P110" i="17"/>
  <c r="AB110" i="17" s="1"/>
  <c r="P174" i="17"/>
  <c r="AB174" i="17" s="1"/>
  <c r="P238" i="17"/>
  <c r="AB238" i="17" s="1"/>
  <c r="P302" i="17"/>
  <c r="AB302" i="17" s="1"/>
  <c r="P161" i="17"/>
  <c r="AB161" i="17" s="1"/>
  <c r="P225" i="17"/>
  <c r="AB225" i="17" s="1"/>
  <c r="P289" i="17"/>
  <c r="AB289" i="17" s="1"/>
  <c r="P322" i="17"/>
  <c r="AB322" i="17" s="1"/>
  <c r="P386" i="17"/>
  <c r="AB386" i="17" s="1"/>
  <c r="P315" i="17"/>
  <c r="AB315" i="17" s="1"/>
  <c r="P379" i="17"/>
  <c r="AB379" i="17" s="1"/>
  <c r="P475" i="17"/>
  <c r="AB475" i="17" s="1"/>
  <c r="P438" i="17"/>
  <c r="AB438" i="17" s="1"/>
  <c r="P502" i="17"/>
  <c r="AB502" i="17" s="1"/>
  <c r="P565" i="17"/>
  <c r="AB565" i="17" s="1"/>
  <c r="P554" i="17"/>
  <c r="AB554" i="17" s="1"/>
  <c r="P196" i="17"/>
  <c r="AB196" i="17" s="1"/>
  <c r="P260" i="17"/>
  <c r="AB260" i="17" s="1"/>
  <c r="P156" i="17"/>
  <c r="AB156" i="17" s="1"/>
  <c r="P136" i="17"/>
  <c r="AB136" i="17" s="1"/>
  <c r="P200" i="17"/>
  <c r="AB200" i="17" s="1"/>
  <c r="P264" i="17"/>
  <c r="AB264" i="17" s="1"/>
  <c r="P123" i="17"/>
  <c r="AB123" i="17" s="1"/>
  <c r="P187" i="17"/>
  <c r="AB187" i="17" s="1"/>
  <c r="P251" i="17"/>
  <c r="AB251" i="17" s="1"/>
  <c r="P348" i="17"/>
  <c r="AB348" i="17" s="1"/>
  <c r="P412" i="17"/>
  <c r="AB412" i="17" s="1"/>
  <c r="P341" i="17"/>
  <c r="AB341" i="17" s="1"/>
  <c r="P405" i="17"/>
  <c r="AB405" i="17" s="1"/>
  <c r="P437" i="17"/>
  <c r="AB437" i="17" s="1"/>
  <c r="P501" i="17"/>
  <c r="AB501" i="17" s="1"/>
  <c r="P464" i="17"/>
  <c r="AB464" i="17" s="1"/>
  <c r="P526" i="17"/>
  <c r="AB526" i="17" s="1"/>
  <c r="P559" i="17"/>
  <c r="AB559" i="17" s="1"/>
  <c r="P580" i="17"/>
  <c r="AB580" i="17" s="1"/>
  <c r="P134" i="17"/>
  <c r="AB134" i="17" s="1"/>
  <c r="P198" i="17"/>
  <c r="AB198" i="17" s="1"/>
  <c r="P262" i="17"/>
  <c r="AB262" i="17" s="1"/>
  <c r="P121" i="17"/>
  <c r="AB121" i="17" s="1"/>
  <c r="P185" i="17"/>
  <c r="AB185" i="17" s="1"/>
  <c r="P249" i="17"/>
  <c r="AB249" i="17" s="1"/>
  <c r="P313" i="17"/>
  <c r="AB313" i="17" s="1"/>
  <c r="P346" i="17"/>
  <c r="AB346" i="17" s="1"/>
  <c r="P410" i="17"/>
  <c r="AB410" i="17" s="1"/>
  <c r="P339" i="17"/>
  <c r="AB339" i="17" s="1"/>
  <c r="P403" i="17"/>
  <c r="AB403" i="17" s="1"/>
  <c r="P435" i="17"/>
  <c r="AB435" i="17" s="1"/>
  <c r="P499" i="17"/>
  <c r="AB499" i="17" s="1"/>
  <c r="P462" i="17"/>
  <c r="AB462" i="17" s="1"/>
  <c r="P524" i="17"/>
  <c r="AB524" i="17" s="1"/>
  <c r="P589" i="17"/>
  <c r="AB589" i="17" s="1"/>
  <c r="P578" i="17"/>
  <c r="AB578" i="17" s="1"/>
  <c r="P220" i="17"/>
  <c r="AB220" i="17" s="1"/>
  <c r="P300" i="17"/>
  <c r="AB300" i="17" s="1"/>
  <c r="P159" i="17"/>
  <c r="AB159" i="17" s="1"/>
  <c r="P223" i="17"/>
  <c r="AB223" i="17" s="1"/>
  <c r="P287" i="17"/>
  <c r="AB287" i="17" s="1"/>
  <c r="P320" i="17"/>
  <c r="AB320" i="17" s="1"/>
  <c r="P384" i="17"/>
  <c r="AB384" i="17" s="1"/>
  <c r="P377" i="17"/>
  <c r="AB377" i="17" s="1"/>
  <c r="P473" i="17"/>
  <c r="AB473" i="17" s="1"/>
  <c r="P468" i="17"/>
  <c r="AB468" i="17" s="1"/>
  <c r="P530" i="17"/>
  <c r="AB530" i="17" s="1"/>
  <c r="P563" i="17"/>
  <c r="AB563" i="17" s="1"/>
  <c r="P521" i="17"/>
  <c r="AB521" i="17" s="1"/>
  <c r="P584" i="17"/>
  <c r="AB584" i="17" s="1"/>
  <c r="P596" i="17"/>
  <c r="AB596" i="17" s="1"/>
  <c r="P138" i="17"/>
  <c r="AB138" i="17" s="1"/>
  <c r="P202" i="17"/>
  <c r="AB202" i="17" s="1"/>
  <c r="P266" i="17"/>
  <c r="AB266" i="17" s="1"/>
  <c r="P125" i="17"/>
  <c r="AB125" i="17" s="1"/>
  <c r="P189" i="17"/>
  <c r="AB189" i="17" s="1"/>
  <c r="P253" i="17"/>
  <c r="AB253" i="17" s="1"/>
  <c r="P350" i="17"/>
  <c r="AB350" i="17" s="1"/>
  <c r="P414" i="17"/>
  <c r="AB414" i="17" s="1"/>
  <c r="P343" i="17"/>
  <c r="AB343" i="17" s="1"/>
  <c r="P407" i="17"/>
  <c r="AB407" i="17" s="1"/>
  <c r="P439" i="17"/>
  <c r="AB439" i="17" s="1"/>
  <c r="P503" i="17"/>
  <c r="AB503" i="17" s="1"/>
  <c r="P466" i="17"/>
  <c r="AB466" i="17" s="1"/>
  <c r="P528" i="17"/>
  <c r="AB528" i="17" s="1"/>
  <c r="P593" i="17"/>
  <c r="AB593" i="17" s="1"/>
  <c r="P582" i="17"/>
  <c r="AB582" i="17" s="1"/>
  <c r="P143" i="17"/>
  <c r="AB143" i="17" s="1"/>
  <c r="P271" i="17"/>
  <c r="AB271" i="17" s="1"/>
  <c r="P336" i="17"/>
  <c r="AB336" i="17" s="1"/>
  <c r="P400" i="17"/>
  <c r="AB400" i="17" s="1"/>
  <c r="P361" i="17"/>
  <c r="AB361" i="17" s="1"/>
  <c r="P425" i="17"/>
  <c r="AB425" i="17" s="1"/>
  <c r="P489" i="17"/>
  <c r="AB489" i="17" s="1"/>
  <c r="P452" i="17"/>
  <c r="AB452" i="17" s="1"/>
  <c r="P579" i="17"/>
  <c r="AB579" i="17" s="1"/>
  <c r="P568" i="17"/>
  <c r="AB568" i="17" s="1"/>
  <c r="P612" i="17"/>
  <c r="AB612" i="17" s="1"/>
  <c r="P154" i="17"/>
  <c r="AB154" i="17" s="1"/>
  <c r="P218" i="17"/>
  <c r="AB218" i="17" s="1"/>
  <c r="P282" i="17"/>
  <c r="AB282" i="17" s="1"/>
  <c r="P141" i="17"/>
  <c r="AB141" i="17" s="1"/>
  <c r="P205" i="17"/>
  <c r="AB205" i="17" s="1"/>
  <c r="P269" i="17"/>
  <c r="AB269" i="17" s="1"/>
  <c r="P398" i="17"/>
  <c r="AB398" i="17" s="1"/>
  <c r="P327" i="17"/>
  <c r="AB327" i="17" s="1"/>
  <c r="P391" i="17"/>
  <c r="AB391" i="17" s="1"/>
  <c r="P423" i="17"/>
  <c r="AB423" i="17" s="1"/>
  <c r="P450" i="17"/>
  <c r="AB450" i="17" s="1"/>
  <c r="P577" i="17"/>
  <c r="AB577" i="17" s="1"/>
  <c r="P276" i="17"/>
  <c r="AB276" i="17" s="1"/>
  <c r="P135" i="17"/>
  <c r="AB135" i="17" s="1"/>
  <c r="P199" i="17"/>
  <c r="AB199" i="17" s="1"/>
  <c r="P263" i="17"/>
  <c r="AB263" i="17" s="1"/>
  <c r="P360" i="17"/>
  <c r="AB360" i="17" s="1"/>
  <c r="P111" i="17"/>
  <c r="AB111" i="17" s="1"/>
  <c r="P239" i="17"/>
  <c r="AB239" i="17" s="1"/>
  <c r="P329" i="17"/>
  <c r="AB329" i="17" s="1"/>
  <c r="P420" i="17"/>
  <c r="AB420" i="17" s="1"/>
  <c r="P537" i="17"/>
  <c r="AB537" i="17" s="1"/>
  <c r="P366" i="17"/>
  <c r="AB366" i="17" s="1"/>
  <c r="P418" i="17"/>
  <c r="AB418" i="17" s="1"/>
  <c r="P545" i="17"/>
  <c r="AB545" i="17" s="1"/>
  <c r="P597" i="17"/>
  <c r="AB597" i="17" s="1"/>
  <c r="P292" i="17"/>
  <c r="AB292" i="17" s="1"/>
  <c r="P151" i="17"/>
  <c r="AB151" i="17" s="1"/>
  <c r="P215" i="17"/>
  <c r="AB215" i="17" s="1"/>
  <c r="P279" i="17"/>
  <c r="AB279" i="17" s="1"/>
  <c r="P376" i="17"/>
  <c r="AB376" i="17" s="1"/>
  <c r="P369" i="17"/>
  <c r="AB369" i="17" s="1"/>
  <c r="P465" i="17"/>
  <c r="AB465" i="17" s="1"/>
  <c r="P460" i="17"/>
  <c r="AB460" i="17" s="1"/>
  <c r="P353" i="17"/>
  <c r="AB353" i="17" s="1"/>
  <c r="P417" i="17"/>
  <c r="AB417" i="17" s="1"/>
  <c r="P481" i="17"/>
  <c r="AB481" i="17" s="1"/>
  <c r="P508" i="17"/>
  <c r="AB508" i="17" s="1"/>
  <c r="P560" i="17"/>
  <c r="AB560" i="17" s="1"/>
  <c r="P114" i="17"/>
  <c r="AB114" i="17" s="1"/>
  <c r="P178" i="17"/>
  <c r="AB178" i="17" s="1"/>
  <c r="P242" i="17"/>
  <c r="AB242" i="17" s="1"/>
  <c r="P306" i="17"/>
  <c r="AB306" i="17" s="1"/>
  <c r="P165" i="17"/>
  <c r="AB165" i="17" s="1"/>
  <c r="P229" i="17"/>
  <c r="AB229" i="17" s="1"/>
  <c r="P293" i="17"/>
  <c r="AB293" i="17" s="1"/>
  <c r="P326" i="17"/>
  <c r="AB326" i="17" s="1"/>
  <c r="P390" i="17"/>
  <c r="AB390" i="17" s="1"/>
  <c r="P319" i="17"/>
  <c r="AB319" i="17" s="1"/>
  <c r="P383" i="17"/>
  <c r="AB383" i="17" s="1"/>
  <c r="P479" i="17"/>
  <c r="AB479" i="17" s="1"/>
  <c r="P442" i="17"/>
  <c r="AB442" i="17" s="1"/>
  <c r="P506" i="17"/>
  <c r="AB506" i="17" s="1"/>
  <c r="P569" i="17"/>
  <c r="AB569" i="17" s="1"/>
  <c r="P558" i="17"/>
  <c r="AB558" i="17" s="1"/>
  <c r="P308" i="17"/>
  <c r="AB308" i="17" s="1"/>
  <c r="P167" i="17"/>
  <c r="AB167" i="17" s="1"/>
  <c r="P231" i="17"/>
  <c r="AB231" i="17" s="1"/>
  <c r="P295" i="17"/>
  <c r="AB295" i="17" s="1"/>
  <c r="P328" i="17"/>
  <c r="AB328" i="17" s="1"/>
  <c r="P392" i="17"/>
  <c r="AB392" i="17" s="1"/>
  <c r="P321" i="17"/>
  <c r="AB321" i="17" s="1"/>
  <c r="P175" i="17"/>
  <c r="AB175" i="17" s="1"/>
  <c r="P303" i="17"/>
  <c r="AB303" i="17" s="1"/>
  <c r="P393" i="17"/>
  <c r="AB393" i="17" s="1"/>
  <c r="P484" i="17"/>
  <c r="AB484" i="17" s="1"/>
  <c r="P599" i="17"/>
  <c r="AB599" i="17" s="1"/>
  <c r="P455" i="17"/>
  <c r="AB455" i="17" s="1"/>
  <c r="P482" i="17"/>
  <c r="AB482" i="17" s="1"/>
  <c r="P535" i="17"/>
  <c r="AB535" i="17" s="1"/>
  <c r="P236" i="17"/>
  <c r="AB236" i="17" s="1"/>
  <c r="P119" i="17"/>
  <c r="AB119" i="17" s="1"/>
  <c r="P183" i="17"/>
  <c r="AB183" i="17" s="1"/>
  <c r="P247" i="17"/>
  <c r="AB247" i="17" s="1"/>
  <c r="P311" i="17"/>
  <c r="AB311" i="17" s="1"/>
  <c r="P344" i="17"/>
  <c r="AB344" i="17" s="1"/>
  <c r="P408" i="17"/>
  <c r="AB408" i="17" s="1"/>
  <c r="P337" i="17"/>
  <c r="AB337" i="17" s="1"/>
  <c r="P401" i="17"/>
  <c r="AB401" i="17" s="1"/>
  <c r="P433" i="17"/>
  <c r="AB433" i="17" s="1"/>
  <c r="P497" i="17"/>
  <c r="AB497" i="17" s="1"/>
  <c r="P428" i="17"/>
  <c r="AB428" i="17" s="1"/>
  <c r="P492" i="17"/>
  <c r="AB492" i="17" s="1"/>
  <c r="P449" i="17"/>
  <c r="AB449" i="17" s="1"/>
  <c r="P513" i="17"/>
  <c r="AB513" i="17" s="1"/>
  <c r="P444" i="17"/>
  <c r="AB444" i="17" s="1"/>
  <c r="P538" i="17"/>
  <c r="AB538" i="17" s="1"/>
  <c r="P571" i="17"/>
  <c r="AB571" i="17" s="1"/>
  <c r="P529" i="17"/>
  <c r="AB529" i="17" s="1"/>
  <c r="P592" i="17"/>
  <c r="AB592" i="17" s="1"/>
  <c r="P604" i="17"/>
  <c r="AB604" i="17" s="1"/>
  <c r="P146" i="17"/>
  <c r="AB146" i="17" s="1"/>
  <c r="P210" i="17"/>
  <c r="AB210" i="17" s="1"/>
  <c r="P274" i="17"/>
  <c r="AB274" i="17" s="1"/>
  <c r="P133" i="17"/>
  <c r="AB133" i="17" s="1"/>
  <c r="P197" i="17"/>
  <c r="AB197" i="17" s="1"/>
  <c r="P261" i="17"/>
  <c r="AB261" i="17" s="1"/>
  <c r="P358" i="17"/>
  <c r="AB358" i="17" s="1"/>
  <c r="P351" i="17"/>
  <c r="AB351" i="17" s="1"/>
  <c r="P415" i="17"/>
  <c r="AB415" i="17" s="1"/>
  <c r="P447" i="17"/>
  <c r="AB447" i="17" s="1"/>
  <c r="P511" i="17"/>
  <c r="AB511" i="17" s="1"/>
  <c r="P474" i="17"/>
  <c r="AB474" i="17" s="1"/>
  <c r="P536" i="17"/>
  <c r="AB536" i="17" s="1"/>
  <c r="P527" i="17"/>
  <c r="AB527" i="17" s="1"/>
  <c r="P590" i="17"/>
  <c r="AB590" i="17" s="1"/>
  <c r="P602" i="17"/>
  <c r="AB602" i="17" s="1"/>
  <c r="P476" i="17"/>
  <c r="AB476" i="17" s="1"/>
  <c r="P587" i="17"/>
  <c r="AB587" i="17" s="1"/>
  <c r="P544" i="17"/>
  <c r="AB544" i="17" s="1"/>
  <c r="P607" i="17"/>
  <c r="AB607" i="17" s="1"/>
  <c r="P98" i="17"/>
  <c r="AB98" i="17" s="1"/>
  <c r="P162" i="17"/>
  <c r="AB162" i="17" s="1"/>
  <c r="P226" i="17"/>
  <c r="AB226" i="17" s="1"/>
  <c r="P290" i="17"/>
  <c r="AB290" i="17" s="1"/>
  <c r="P149" i="17"/>
  <c r="AB149" i="17" s="1"/>
  <c r="P213" i="17"/>
  <c r="AB213" i="17" s="1"/>
  <c r="P277" i="17"/>
  <c r="AB277" i="17" s="1"/>
  <c r="P374" i="17"/>
  <c r="AB374" i="17" s="1"/>
  <c r="P367" i="17"/>
  <c r="AB367" i="17" s="1"/>
  <c r="P463" i="17"/>
  <c r="AB463" i="17" s="1"/>
  <c r="P426" i="17"/>
  <c r="AB426" i="17" s="1"/>
  <c r="P490" i="17"/>
  <c r="AB490" i="17" s="1"/>
  <c r="P553" i="17"/>
  <c r="AB553" i="17" s="1"/>
  <c r="P543" i="17"/>
  <c r="AB543" i="17" s="1"/>
  <c r="P605" i="17"/>
  <c r="AB605" i="17" s="1"/>
  <c r="P385" i="17"/>
  <c r="AB385" i="17" s="1"/>
  <c r="P522" i="17"/>
  <c r="AB522" i="17" s="1"/>
  <c r="P555" i="17"/>
  <c r="AB555" i="17" s="1"/>
  <c r="P576" i="17"/>
  <c r="AB576" i="17" s="1"/>
  <c r="P130" i="17"/>
  <c r="AB130" i="17" s="1"/>
  <c r="P194" i="17"/>
  <c r="AB194" i="17" s="1"/>
  <c r="P258" i="17"/>
  <c r="AB258" i="17" s="1"/>
  <c r="P117" i="17"/>
  <c r="AB117" i="17" s="1"/>
  <c r="P181" i="17"/>
  <c r="AB181" i="17" s="1"/>
  <c r="P245" i="17"/>
  <c r="AB245" i="17" s="1"/>
  <c r="P309" i="17"/>
  <c r="AB309" i="17" s="1"/>
  <c r="P342" i="17"/>
  <c r="AB342" i="17" s="1"/>
  <c r="P406" i="17"/>
  <c r="AB406" i="17" s="1"/>
  <c r="P335" i="17"/>
  <c r="AB335" i="17" s="1"/>
  <c r="P399" i="17"/>
  <c r="AB399" i="17" s="1"/>
  <c r="P431" i="17"/>
  <c r="AB431" i="17" s="1"/>
  <c r="P495" i="17"/>
  <c r="AB495" i="17" s="1"/>
  <c r="P458" i="17"/>
  <c r="AB458" i="17" s="1"/>
  <c r="P520" i="17"/>
  <c r="AB520" i="17" s="1"/>
  <c r="P585" i="17"/>
  <c r="AB585" i="17" s="1"/>
  <c r="P574" i="17"/>
  <c r="AB574" i="17" s="1"/>
  <c r="O13" i="17"/>
  <c r="AA13" i="17" s="1"/>
  <c r="E633" i="17"/>
  <c r="AB628" i="17" l="1"/>
  <c r="A423" i="2"/>
  <c r="B423" i="2"/>
  <c r="C64" i="16"/>
  <c r="D64" i="16" s="1"/>
  <c r="B322" i="2"/>
  <c r="B79" i="1" l="1"/>
  <c r="AA628" i="17"/>
  <c r="E637" i="17" s="1"/>
  <c r="A441" i="2"/>
  <c r="B441" i="2"/>
  <c r="D52" i="16" l="1"/>
  <c r="C3" i="8" l="1"/>
  <c r="C159" i="8" s="1"/>
  <c r="C158" i="8" s="1"/>
  <c r="C157" i="8" s="1"/>
  <c r="C156" i="8" s="1"/>
  <c r="C155" i="8" s="1"/>
  <c r="C154" i="8" s="1"/>
  <c r="C153" i="8" s="1"/>
  <c r="C152" i="8" s="1"/>
  <c r="C151" i="8" s="1"/>
  <c r="C150" i="8" s="1"/>
  <c r="C149" i="8" s="1"/>
  <c r="C148" i="8" s="1"/>
  <c r="C147" i="8" s="1"/>
  <c r="C146" i="8" s="1"/>
  <c r="C145" i="8" s="1"/>
  <c r="C144" i="8" s="1"/>
  <c r="C143" i="8" s="1"/>
  <c r="C142" i="8" s="1"/>
  <c r="C141" i="8" s="1"/>
  <c r="C140" i="8" s="1"/>
  <c r="C139" i="8" s="1"/>
  <c r="C138" i="8" s="1"/>
  <c r="C137" i="8" s="1"/>
  <c r="C136" i="8" s="1"/>
  <c r="C135" i="8" s="1"/>
  <c r="C134" i="8" s="1"/>
  <c r="C133" i="8" s="1"/>
  <c r="C132" i="8" s="1"/>
  <c r="C131" i="8" s="1"/>
  <c r="C130" i="8" s="1"/>
  <c r="C129" i="8" s="1"/>
  <c r="C128" i="8" s="1"/>
  <c r="C127" i="8" s="1"/>
  <c r="C126" i="8" s="1"/>
  <c r="C125" i="8" s="1"/>
  <c r="C124" i="8" s="1"/>
  <c r="C123" i="8" s="1"/>
  <c r="C122" i="8" s="1"/>
  <c r="C121" i="8" s="1"/>
  <c r="C120" i="8" s="1"/>
  <c r="C119" i="8" s="1"/>
  <c r="C118" i="8" s="1"/>
  <c r="C117" i="8" s="1"/>
  <c r="C116" i="8" s="1"/>
  <c r="C115" i="8" s="1"/>
  <c r="C114" i="8" s="1"/>
  <c r="C113" i="8" s="1"/>
  <c r="C112" i="8" s="1"/>
  <c r="C111" i="8" s="1"/>
  <c r="C110" i="8" s="1"/>
  <c r="C109" i="8" s="1"/>
  <c r="C108" i="8" s="1"/>
  <c r="C107" i="8" s="1"/>
  <c r="C106" i="8" s="1"/>
  <c r="C105" i="8" s="1"/>
  <c r="C104" i="8" s="1"/>
  <c r="C103" i="8" s="1"/>
  <c r="C102" i="8" s="1"/>
  <c r="C101" i="8" s="1"/>
  <c r="C100" i="8" s="1"/>
  <c r="C99" i="8" s="1"/>
  <c r="C98" i="8" s="1"/>
  <c r="C97" i="8" s="1"/>
  <c r="C96" i="8" s="1"/>
  <c r="C95" i="8" s="1"/>
  <c r="C94" i="8" s="1"/>
  <c r="C93" i="8" s="1"/>
  <c r="C92" i="8" s="1"/>
  <c r="C91" i="8" s="1"/>
  <c r="C90" i="8" s="1"/>
  <c r="C89" i="8" s="1"/>
  <c r="C88" i="8" s="1"/>
  <c r="C87" i="8" s="1"/>
  <c r="C86" i="8" s="1"/>
  <c r="C85" i="8" s="1"/>
  <c r="C84" i="8" s="1"/>
  <c r="C83" i="8" s="1"/>
  <c r="C82" i="8" s="1"/>
  <c r="C81" i="8" s="1"/>
  <c r="C80" i="8" s="1"/>
  <c r="C79" i="8" s="1"/>
  <c r="C78" i="8" s="1"/>
  <c r="C77" i="8" s="1"/>
  <c r="C76" i="8" s="1"/>
  <c r="C75" i="8" s="1"/>
  <c r="C74" i="8" s="1"/>
  <c r="C73" i="8" s="1"/>
  <c r="C72" i="8" s="1"/>
  <c r="C71" i="8" s="1"/>
  <c r="C70" i="8" s="1"/>
  <c r="C69" i="8" s="1"/>
  <c r="C68" i="8" s="1"/>
  <c r="C67" i="8" s="1"/>
  <c r="C66" i="8" s="1"/>
  <c r="C65" i="8" s="1"/>
  <c r="C64" i="8" s="1"/>
  <c r="C63" i="8" s="1"/>
  <c r="C62" i="8" s="1"/>
  <c r="C61" i="8" s="1"/>
  <c r="C60" i="8" s="1"/>
  <c r="C59" i="8" s="1"/>
  <c r="C58" i="8" s="1"/>
  <c r="C57" i="8" s="1"/>
  <c r="C56" i="8" s="1"/>
  <c r="C55" i="8" s="1"/>
  <c r="C54" i="8" s="1"/>
  <c r="C53" i="8" s="1"/>
  <c r="C52" i="8" s="1"/>
  <c r="C51" i="8" s="1"/>
  <c r="C50" i="8" s="1"/>
  <c r="C49" i="8" s="1"/>
  <c r="C48" i="8" s="1"/>
  <c r="C47" i="8" s="1"/>
  <c r="C46" i="8" s="1"/>
  <c r="C45" i="8" s="1"/>
  <c r="C44" i="8" s="1"/>
  <c r="C43" i="8" s="1"/>
  <c r="C42" i="8" s="1"/>
  <c r="C41" i="8" s="1"/>
  <c r="C40" i="8" s="1"/>
  <c r="C39" i="8" s="1"/>
  <c r="C38" i="8" s="1"/>
  <c r="C37" i="8" s="1"/>
  <c r="C36" i="8" s="1"/>
  <c r="C35" i="8" s="1"/>
  <c r="C34" i="8" s="1"/>
  <c r="C33" i="8" s="1"/>
  <c r="C32" i="8" s="1"/>
  <c r="C31" i="8" s="1"/>
  <c r="C30" i="8" s="1"/>
  <c r="C29" i="8" s="1"/>
  <c r="C28" i="8" s="1"/>
  <c r="C27" i="8" s="1"/>
  <c r="C26" i="8" s="1"/>
  <c r="C25" i="8" s="1"/>
  <c r="C24" i="8" s="1"/>
  <c r="C23" i="8" s="1"/>
  <c r="C22" i="8" s="1"/>
  <c r="C21" i="8" s="1"/>
  <c r="C20" i="8" s="1"/>
  <c r="C19" i="8" s="1"/>
  <c r="C18" i="8" s="1"/>
  <c r="C17" i="8" s="1"/>
  <c r="C16" i="8" s="1"/>
  <c r="C15" i="8" s="1"/>
  <c r="C14" i="8" s="1"/>
  <c r="C13" i="8" s="1"/>
  <c r="C12" i="8" s="1"/>
  <c r="C11" i="8" s="1"/>
  <c r="C10" i="8" s="1"/>
  <c r="C9" i="8" s="1"/>
  <c r="C8" i="8" s="1"/>
  <c r="C7" i="8" s="1"/>
  <c r="C6" i="8" s="1"/>
  <c r="C4" i="8" s="1"/>
  <c r="N28" i="8" s="1"/>
  <c r="D3" i="8"/>
  <c r="D159" i="8" s="1"/>
  <c r="D158" i="8" s="1"/>
  <c r="D157" i="8" s="1"/>
  <c r="D156" i="8" s="1"/>
  <c r="D155" i="8" s="1"/>
  <c r="D154" i="8" s="1"/>
  <c r="D153" i="8" s="1"/>
  <c r="D152" i="8" s="1"/>
  <c r="D151" i="8" s="1"/>
  <c r="D150" i="8" s="1"/>
  <c r="D149" i="8" s="1"/>
  <c r="D148" i="8" s="1"/>
  <c r="D147" i="8" s="1"/>
  <c r="D146" i="8" s="1"/>
  <c r="D145" i="8" s="1"/>
  <c r="D144" i="8" s="1"/>
  <c r="D143" i="8" s="1"/>
  <c r="D142" i="8" s="1"/>
  <c r="D141" i="8" s="1"/>
  <c r="D140" i="8" s="1"/>
  <c r="D139" i="8" s="1"/>
  <c r="D138" i="8" s="1"/>
  <c r="D137" i="8" s="1"/>
  <c r="D136" i="8" s="1"/>
  <c r="D135" i="8" s="1"/>
  <c r="D134" i="8" s="1"/>
  <c r="D133" i="8" s="1"/>
  <c r="D132" i="8" s="1"/>
  <c r="D131" i="8" s="1"/>
  <c r="D130" i="8" s="1"/>
  <c r="D129" i="8" s="1"/>
  <c r="D128" i="8" s="1"/>
  <c r="D127" i="8" s="1"/>
  <c r="D126" i="8" s="1"/>
  <c r="D125" i="8" s="1"/>
  <c r="D124" i="8" s="1"/>
  <c r="D123" i="8" s="1"/>
  <c r="D122" i="8" s="1"/>
  <c r="D121" i="8" s="1"/>
  <c r="D120" i="8" s="1"/>
  <c r="D119" i="8" s="1"/>
  <c r="D118" i="8" s="1"/>
  <c r="D117" i="8" s="1"/>
  <c r="D116" i="8" s="1"/>
  <c r="D115" i="8" s="1"/>
  <c r="D114" i="8" s="1"/>
  <c r="D113" i="8" s="1"/>
  <c r="D112" i="8" s="1"/>
  <c r="D111" i="8" s="1"/>
  <c r="D110" i="8" s="1"/>
  <c r="D109" i="8" s="1"/>
  <c r="D108" i="8" s="1"/>
  <c r="D107" i="8" s="1"/>
  <c r="D106" i="8" s="1"/>
  <c r="D105" i="8" s="1"/>
  <c r="D104" i="8" s="1"/>
  <c r="D103" i="8" s="1"/>
  <c r="D102" i="8" s="1"/>
  <c r="D101" i="8" s="1"/>
  <c r="D100" i="8" s="1"/>
  <c r="D99" i="8" s="1"/>
  <c r="D98" i="8" s="1"/>
  <c r="D97" i="8" s="1"/>
  <c r="D96" i="8" s="1"/>
  <c r="D95" i="8" s="1"/>
  <c r="D94" i="8" s="1"/>
  <c r="D93" i="8" s="1"/>
  <c r="D92" i="8" s="1"/>
  <c r="D91" i="8" s="1"/>
  <c r="D90" i="8" s="1"/>
  <c r="D89" i="8" s="1"/>
  <c r="D88" i="8" s="1"/>
  <c r="D87" i="8" s="1"/>
  <c r="D86" i="8" s="1"/>
  <c r="D85" i="8" s="1"/>
  <c r="D84" i="8" s="1"/>
  <c r="D83" i="8" s="1"/>
  <c r="D82" i="8" s="1"/>
  <c r="D81" i="8" s="1"/>
  <c r="D80" i="8" s="1"/>
  <c r="D79" i="8" s="1"/>
  <c r="D78" i="8" s="1"/>
  <c r="D77" i="8" s="1"/>
  <c r="D76" i="8" s="1"/>
  <c r="D75" i="8" s="1"/>
  <c r="D74" i="8" s="1"/>
  <c r="D73" i="8" s="1"/>
  <c r="D72" i="8" s="1"/>
  <c r="D71" i="8" s="1"/>
  <c r="D70" i="8" s="1"/>
  <c r="D69" i="8" s="1"/>
  <c r="D68" i="8" s="1"/>
  <c r="D67" i="8" s="1"/>
  <c r="D66" i="8" s="1"/>
  <c r="D65" i="8" s="1"/>
  <c r="D64" i="8" s="1"/>
  <c r="D63" i="8" s="1"/>
  <c r="D62" i="8" s="1"/>
  <c r="D61" i="8" s="1"/>
  <c r="D60" i="8" s="1"/>
  <c r="D59" i="8" s="1"/>
  <c r="D58" i="8" s="1"/>
  <c r="D57" i="8" s="1"/>
  <c r="D56" i="8" s="1"/>
  <c r="D55" i="8" s="1"/>
  <c r="D54" i="8" s="1"/>
  <c r="D53" i="8" s="1"/>
  <c r="D52" i="8" s="1"/>
  <c r="D51" i="8" s="1"/>
  <c r="D50" i="8" s="1"/>
  <c r="D49" i="8" s="1"/>
  <c r="D48" i="8" s="1"/>
  <c r="D47" i="8" s="1"/>
  <c r="D46" i="8" s="1"/>
  <c r="D45" i="8" s="1"/>
  <c r="D44" i="8" s="1"/>
  <c r="D43" i="8" s="1"/>
  <c r="D42" i="8" s="1"/>
  <c r="D41" i="8" s="1"/>
  <c r="D40" i="8" s="1"/>
  <c r="D39" i="8" s="1"/>
  <c r="D38" i="8" s="1"/>
  <c r="D37" i="8" s="1"/>
  <c r="D36" i="8" s="1"/>
  <c r="D35" i="8" s="1"/>
  <c r="D34" i="8" s="1"/>
  <c r="D33" i="8" s="1"/>
  <c r="D32" i="8" s="1"/>
  <c r="D31" i="8" s="1"/>
  <c r="D30" i="8" s="1"/>
  <c r="D29" i="8" s="1"/>
  <c r="D28" i="8" s="1"/>
  <c r="D27" i="8" s="1"/>
  <c r="D26" i="8" s="1"/>
  <c r="D25" i="8" s="1"/>
  <c r="D24" i="8" s="1"/>
  <c r="D23" i="8" s="1"/>
  <c r="D22" i="8" s="1"/>
  <c r="D21" i="8" s="1"/>
  <c r="D20" i="8" s="1"/>
  <c r="D19" i="8" s="1"/>
  <c r="D18" i="8" s="1"/>
  <c r="D17" i="8" s="1"/>
  <c r="D16" i="8" s="1"/>
  <c r="D15" i="8" s="1"/>
  <c r="D14" i="8" s="1"/>
  <c r="D13" i="8" s="1"/>
  <c r="D12" i="8" s="1"/>
  <c r="D11" i="8" s="1"/>
  <c r="D10" i="8" s="1"/>
  <c r="D9" i="8" s="1"/>
  <c r="D8" i="8" s="1"/>
  <c r="D7" i="8" s="1"/>
  <c r="D6" i="8" s="1"/>
  <c r="D4" i="8" s="1"/>
  <c r="O28" i="8" l="1"/>
  <c r="C79" i="1" s="1"/>
  <c r="O29" i="8"/>
  <c r="C80" i="1" s="1"/>
  <c r="N29" i="8"/>
  <c r="B323" i="2" l="1"/>
  <c r="B442" i="2" s="1"/>
  <c r="C50" i="16"/>
  <c r="D50" i="16" s="1"/>
  <c r="B310" i="2" l="1"/>
  <c r="A442" i="2"/>
  <c r="B324" i="2"/>
  <c r="B443" i="2" s="1"/>
  <c r="C51" i="16"/>
  <c r="D51" i="16" s="1"/>
  <c r="B329" i="2"/>
  <c r="A443" i="2" l="1"/>
  <c r="B311" i="2"/>
  <c r="C7" i="17" s="1"/>
  <c r="B330" i="2"/>
  <c r="F78" i="1"/>
  <c r="C5" i="17"/>
  <c r="E72" i="1"/>
  <c r="F79" i="1"/>
  <c r="C4" i="17"/>
  <c r="F80" i="1" l="1"/>
  <c r="A629" i="17"/>
  <c r="A627" i="17"/>
  <c r="H627" i="17" s="1"/>
  <c r="N592" i="17"/>
  <c r="N628" i="17"/>
  <c r="M628" i="17"/>
  <c r="J628" i="17"/>
  <c r="I628" i="17"/>
  <c r="K628" i="17"/>
  <c r="L628" i="17"/>
  <c r="J610" i="17"/>
  <c r="I613" i="17"/>
  <c r="J606" i="17"/>
  <c r="J602" i="17"/>
  <c r="J598" i="17"/>
  <c r="C634" i="17"/>
  <c r="I612" i="17"/>
  <c r="I608" i="17"/>
  <c r="I604" i="17"/>
  <c r="I600" i="17"/>
  <c r="I596" i="17"/>
  <c r="J592" i="17"/>
  <c r="J588" i="17"/>
  <c r="J584" i="17"/>
  <c r="J580" i="17"/>
  <c r="J576" i="17"/>
  <c r="J572" i="17"/>
  <c r="J568" i="17"/>
  <c r="J564" i="17"/>
  <c r="J560" i="17"/>
  <c r="J556" i="17"/>
  <c r="J552" i="17"/>
  <c r="J548" i="17"/>
  <c r="J544" i="17"/>
  <c r="J587" i="17"/>
  <c r="J579" i="17"/>
  <c r="J571" i="17"/>
  <c r="J563" i="17"/>
  <c r="J555" i="17"/>
  <c r="J547" i="17"/>
  <c r="J541" i="17"/>
  <c r="J537" i="17"/>
  <c r="J533" i="17"/>
  <c r="J529" i="17"/>
  <c r="J525" i="17"/>
  <c r="J521" i="17"/>
  <c r="I588" i="17"/>
  <c r="I580" i="17"/>
  <c r="I572" i="17"/>
  <c r="I564" i="17"/>
  <c r="I556" i="17"/>
  <c r="I548" i="17"/>
  <c r="J542" i="17"/>
  <c r="J538" i="17"/>
  <c r="J534" i="17"/>
  <c r="J530" i="17"/>
  <c r="J526" i="17"/>
  <c r="J522" i="17"/>
  <c r="I520" i="17"/>
  <c r="I515" i="17"/>
  <c r="I511" i="17"/>
  <c r="I507" i="17"/>
  <c r="I503" i="17"/>
  <c r="I499" i="17"/>
  <c r="I495" i="17"/>
  <c r="I491" i="17"/>
  <c r="I487" i="17"/>
  <c r="I483" i="17"/>
  <c r="I479" i="17"/>
  <c r="I475" i="17"/>
  <c r="I471" i="17"/>
  <c r="I467" i="17"/>
  <c r="I463" i="17"/>
  <c r="I459" i="17"/>
  <c r="I455" i="17"/>
  <c r="I451" i="17"/>
  <c r="I447" i="17"/>
  <c r="I443" i="17"/>
  <c r="I439" i="17"/>
  <c r="I435" i="17"/>
  <c r="I431" i="17"/>
  <c r="I427" i="17"/>
  <c r="I423" i="17"/>
  <c r="I419" i="17"/>
  <c r="I518" i="17"/>
  <c r="I514" i="17"/>
  <c r="I510" i="17"/>
  <c r="I506" i="17"/>
  <c r="I502" i="17"/>
  <c r="I498" i="17"/>
  <c r="I494" i="17"/>
  <c r="I490" i="17"/>
  <c r="I486" i="17"/>
  <c r="I482" i="17"/>
  <c r="I478" i="17"/>
  <c r="I474" i="17"/>
  <c r="I470" i="17"/>
  <c r="I466" i="17"/>
  <c r="I462" i="17"/>
  <c r="I458" i="17"/>
  <c r="I454" i="17"/>
  <c r="I450" i="17"/>
  <c r="I446" i="17"/>
  <c r="I442" i="17"/>
  <c r="I438" i="17"/>
  <c r="I434" i="17"/>
  <c r="I430" i="17"/>
  <c r="I426" i="17"/>
  <c r="I422" i="17"/>
  <c r="I418" i="17"/>
  <c r="I414" i="17"/>
  <c r="I410" i="17"/>
  <c r="I406" i="17"/>
  <c r="I402" i="17"/>
  <c r="I398" i="17"/>
  <c r="I394" i="17"/>
  <c r="I390" i="17"/>
  <c r="I386" i="17"/>
  <c r="I382" i="17"/>
  <c r="I378" i="17"/>
  <c r="I374" i="17"/>
  <c r="I370" i="17"/>
  <c r="I366" i="17"/>
  <c r="I362" i="17"/>
  <c r="I358" i="17"/>
  <c r="I354" i="17"/>
  <c r="I350" i="17"/>
  <c r="I346" i="17"/>
  <c r="I342" i="17"/>
  <c r="I338" i="17"/>
  <c r="I334" i="17"/>
  <c r="I330" i="17"/>
  <c r="I326" i="17"/>
  <c r="I322" i="17"/>
  <c r="I318" i="17"/>
  <c r="J416" i="17"/>
  <c r="J412" i="17"/>
  <c r="J408" i="17"/>
  <c r="J404" i="17"/>
  <c r="J400" i="17"/>
  <c r="J396" i="17"/>
  <c r="J392" i="17"/>
  <c r="J388" i="17"/>
  <c r="J384" i="17"/>
  <c r="J380" i="17"/>
  <c r="J376" i="17"/>
  <c r="J372" i="17"/>
  <c r="J368" i="17"/>
  <c r="J364" i="17"/>
  <c r="J360" i="17"/>
  <c r="J356" i="17"/>
  <c r="J352" i="17"/>
  <c r="J348" i="17"/>
  <c r="J344" i="17"/>
  <c r="J340" i="17"/>
  <c r="J336" i="17"/>
  <c r="J332" i="17"/>
  <c r="J328" i="17"/>
  <c r="J324" i="17"/>
  <c r="J320" i="17"/>
  <c r="J316" i="17"/>
  <c r="I312" i="17"/>
  <c r="I308" i="17"/>
  <c r="I304" i="17"/>
  <c r="I300" i="17"/>
  <c r="I296" i="17"/>
  <c r="I292" i="17"/>
  <c r="I288" i="17"/>
  <c r="I284" i="17"/>
  <c r="I280" i="17"/>
  <c r="I276" i="17"/>
  <c r="I272" i="17"/>
  <c r="I268" i="17"/>
  <c r="I264" i="17"/>
  <c r="I260" i="17"/>
  <c r="I256" i="17"/>
  <c r="I252" i="17"/>
  <c r="I248" i="17"/>
  <c r="I244" i="17"/>
  <c r="I240" i="17"/>
  <c r="I236" i="17"/>
  <c r="I232" i="17"/>
  <c r="I228" i="17"/>
  <c r="I224" i="17"/>
  <c r="I220" i="17"/>
  <c r="I216" i="17"/>
  <c r="I212" i="17"/>
  <c r="I208" i="17"/>
  <c r="I204" i="17"/>
  <c r="I200" i="17"/>
  <c r="I196" i="17"/>
  <c r="I192" i="17"/>
  <c r="I188" i="17"/>
  <c r="I184" i="17"/>
  <c r="I180" i="17"/>
  <c r="I176" i="17"/>
  <c r="I172" i="17"/>
  <c r="I168" i="17"/>
  <c r="I164" i="17"/>
  <c r="I160" i="17"/>
  <c r="I156" i="17"/>
  <c r="I152" i="17"/>
  <c r="I148" i="17"/>
  <c r="I144" i="17"/>
  <c r="I140" i="17"/>
  <c r="I136" i="17"/>
  <c r="I132" i="17"/>
  <c r="I128" i="17"/>
  <c r="I124" i="17"/>
  <c r="I120" i="17"/>
  <c r="I116" i="17"/>
  <c r="I112" i="17"/>
  <c r="I313" i="17"/>
  <c r="I309" i="17"/>
  <c r="I305" i="17"/>
  <c r="I301" i="17"/>
  <c r="I297" i="17"/>
  <c r="I293" i="17"/>
  <c r="I289" i="17"/>
  <c r="I285" i="17"/>
  <c r="I281" i="17"/>
  <c r="I277" i="17"/>
  <c r="I273" i="17"/>
  <c r="I269" i="17"/>
  <c r="I265" i="17"/>
  <c r="I261" i="17"/>
  <c r="I257" i="17"/>
  <c r="I253" i="17"/>
  <c r="I249" i="17"/>
  <c r="I245" i="17"/>
  <c r="I241" i="17"/>
  <c r="I237" i="17"/>
  <c r="I233" i="17"/>
  <c r="I229" i="17"/>
  <c r="I225" i="17"/>
  <c r="I221" i="17"/>
  <c r="I217" i="17"/>
  <c r="I213" i="17"/>
  <c r="I209" i="17"/>
  <c r="I205" i="17"/>
  <c r="I201" i="17"/>
  <c r="I197" i="17"/>
  <c r="I193" i="17"/>
  <c r="I189" i="17"/>
  <c r="I185" i="17"/>
  <c r="I181" i="17"/>
  <c r="I177" i="17"/>
  <c r="I173" i="17"/>
  <c r="I169" i="17"/>
  <c r="I165" i="17"/>
  <c r="I161" i="17"/>
  <c r="I157" i="17"/>
  <c r="I153" i="17"/>
  <c r="I149" i="17"/>
  <c r="I145" i="17"/>
  <c r="I141" i="17"/>
  <c r="I611" i="17"/>
  <c r="I605" i="17"/>
  <c r="I601" i="17"/>
  <c r="I597" i="17"/>
  <c r="W624" i="17"/>
  <c r="J611" i="17"/>
  <c r="J607" i="17"/>
  <c r="J603" i="17"/>
  <c r="J599" i="17"/>
  <c r="J612" i="17"/>
  <c r="J608" i="17"/>
  <c r="I609" i="17"/>
  <c r="J604" i="17"/>
  <c r="J600" i="17"/>
  <c r="J596" i="17"/>
  <c r="A624" i="17"/>
  <c r="I610" i="17"/>
  <c r="I606" i="17"/>
  <c r="I602" i="17"/>
  <c r="I598" i="17"/>
  <c r="J594" i="17"/>
  <c r="J590" i="17"/>
  <c r="J586" i="17"/>
  <c r="J582" i="17"/>
  <c r="J578" i="17"/>
  <c r="J574" i="17"/>
  <c r="J570" i="17"/>
  <c r="J566" i="17"/>
  <c r="J562" i="17"/>
  <c r="J558" i="17"/>
  <c r="J554" i="17"/>
  <c r="J550" i="17"/>
  <c r="J546" i="17"/>
  <c r="J591" i="17"/>
  <c r="J583" i="17"/>
  <c r="J575" i="17"/>
  <c r="J567" i="17"/>
  <c r="J559" i="17"/>
  <c r="J551" i="17"/>
  <c r="J543" i="17"/>
  <c r="J539" i="17"/>
  <c r="J535" i="17"/>
  <c r="J531" i="17"/>
  <c r="J527" i="17"/>
  <c r="J523" i="17"/>
  <c r="I592" i="17"/>
  <c r="I584" i="17"/>
  <c r="I576" i="17"/>
  <c r="I568" i="17"/>
  <c r="I560" i="17"/>
  <c r="I552" i="17"/>
  <c r="I544" i="17"/>
  <c r="J540" i="17"/>
  <c r="J536" i="17"/>
  <c r="J532" i="17"/>
  <c r="J528" i="17"/>
  <c r="J524" i="17"/>
  <c r="J520" i="17"/>
  <c r="I517" i="17"/>
  <c r="I513" i="17"/>
  <c r="I509" i="17"/>
  <c r="I505" i="17"/>
  <c r="I501" i="17"/>
  <c r="I497" i="17"/>
  <c r="I493" i="17"/>
  <c r="I489" i="17"/>
  <c r="I485" i="17"/>
  <c r="I481" i="17"/>
  <c r="I477" i="17"/>
  <c r="I473" i="17"/>
  <c r="I469" i="17"/>
  <c r="I465" i="17"/>
  <c r="I461" i="17"/>
  <c r="I457" i="17"/>
  <c r="I453" i="17"/>
  <c r="I449" i="17"/>
  <c r="I445" i="17"/>
  <c r="I441" i="17"/>
  <c r="I437" i="17"/>
  <c r="I433" i="17"/>
  <c r="I429" i="17"/>
  <c r="I425" i="17"/>
  <c r="I421" i="17"/>
  <c r="I417" i="17"/>
  <c r="I516" i="17"/>
  <c r="I512" i="17"/>
  <c r="I508" i="17"/>
  <c r="I504" i="17"/>
  <c r="I500" i="17"/>
  <c r="I496" i="17"/>
  <c r="I492" i="17"/>
  <c r="I488" i="17"/>
  <c r="I484" i="17"/>
  <c r="I480" i="17"/>
  <c r="I476" i="17"/>
  <c r="I472" i="17"/>
  <c r="I468" i="17"/>
  <c r="I464" i="17"/>
  <c r="I460" i="17"/>
  <c r="I456" i="17"/>
  <c r="I452" i="17"/>
  <c r="I448" i="17"/>
  <c r="I444" i="17"/>
  <c r="I440" i="17"/>
  <c r="I436" i="17"/>
  <c r="I432" i="17"/>
  <c r="I428" i="17"/>
  <c r="I424" i="17"/>
  <c r="I420" i="17"/>
  <c r="I416" i="17"/>
  <c r="I412" i="17"/>
  <c r="I408" i="17"/>
  <c r="I404" i="17"/>
  <c r="I400" i="17"/>
  <c r="I396" i="17"/>
  <c r="I392" i="17"/>
  <c r="I388" i="17"/>
  <c r="I384" i="17"/>
  <c r="I380" i="17"/>
  <c r="I376" i="17"/>
  <c r="I372" i="17"/>
  <c r="I368" i="17"/>
  <c r="I364" i="17"/>
  <c r="I360" i="17"/>
  <c r="I356" i="17"/>
  <c r="I352" i="17"/>
  <c r="I348" i="17"/>
  <c r="I344" i="17"/>
  <c r="I340" i="17"/>
  <c r="I336" i="17"/>
  <c r="I332" i="17"/>
  <c r="I328" i="17"/>
  <c r="I324" i="17"/>
  <c r="I320" i="17"/>
  <c r="I316" i="17"/>
  <c r="J414" i="17"/>
  <c r="J410" i="17"/>
  <c r="J406" i="17"/>
  <c r="J402" i="17"/>
  <c r="J398" i="17"/>
  <c r="J394" i="17"/>
  <c r="J390" i="17"/>
  <c r="J386" i="17"/>
  <c r="J382" i="17"/>
  <c r="J378" i="17"/>
  <c r="J374" i="17"/>
  <c r="J370" i="17"/>
  <c r="J366" i="17"/>
  <c r="J362" i="17"/>
  <c r="J358" i="17"/>
  <c r="J354" i="17"/>
  <c r="J350" i="17"/>
  <c r="J346" i="17"/>
  <c r="J342" i="17"/>
  <c r="J338" i="17"/>
  <c r="J334" i="17"/>
  <c r="J330" i="17"/>
  <c r="J326" i="17"/>
  <c r="J322" i="17"/>
  <c r="J318" i="17"/>
  <c r="I314" i="17"/>
  <c r="I310" i="17"/>
  <c r="I306" i="17"/>
  <c r="I302" i="17"/>
  <c r="I298" i="17"/>
  <c r="I294" i="17"/>
  <c r="I290" i="17"/>
  <c r="I286" i="17"/>
  <c r="I282" i="17"/>
  <c r="I278" i="17"/>
  <c r="I274" i="17"/>
  <c r="I270" i="17"/>
  <c r="I266" i="17"/>
  <c r="I262" i="17"/>
  <c r="I258" i="17"/>
  <c r="I254" i="17"/>
  <c r="I250" i="17"/>
  <c r="I246" i="17"/>
  <c r="I242" i="17"/>
  <c r="I238" i="17"/>
  <c r="I234" i="17"/>
  <c r="I230" i="17"/>
  <c r="I226" i="17"/>
  <c r="I222" i="17"/>
  <c r="I218" i="17"/>
  <c r="I214" i="17"/>
  <c r="I210" i="17"/>
  <c r="I206" i="17"/>
  <c r="I202" i="17"/>
  <c r="I198" i="17"/>
  <c r="I194" i="17"/>
  <c r="I190" i="17"/>
  <c r="I186" i="17"/>
  <c r="I182" i="17"/>
  <c r="I178" i="17"/>
  <c r="I174" i="17"/>
  <c r="I170" i="17"/>
  <c r="I166" i="17"/>
  <c r="I162" i="17"/>
  <c r="I158" i="17"/>
  <c r="I154" i="17"/>
  <c r="I150" i="17"/>
  <c r="I146" i="17"/>
  <c r="I142" i="17"/>
  <c r="I138" i="17"/>
  <c r="I134" i="17"/>
  <c r="I130" i="17"/>
  <c r="I126" i="17"/>
  <c r="I122" i="17"/>
  <c r="I118" i="17"/>
  <c r="I114" i="17"/>
  <c r="I110" i="17"/>
  <c r="I311" i="17"/>
  <c r="I307" i="17"/>
  <c r="I303" i="17"/>
  <c r="I299" i="17"/>
  <c r="I295" i="17"/>
  <c r="I291" i="17"/>
  <c r="I287" i="17"/>
  <c r="I283" i="17"/>
  <c r="I279" i="17"/>
  <c r="I275" i="17"/>
  <c r="I271" i="17"/>
  <c r="I267" i="17"/>
  <c r="I259" i="17"/>
  <c r="I251" i="17"/>
  <c r="I243" i="17"/>
  <c r="I235" i="17"/>
  <c r="I227" i="17"/>
  <c r="I219" i="17"/>
  <c r="I211" i="17"/>
  <c r="I203" i="17"/>
  <c r="I195" i="17"/>
  <c r="I187" i="17"/>
  <c r="I179" i="17"/>
  <c r="I171" i="17"/>
  <c r="I163" i="17"/>
  <c r="I155" i="17"/>
  <c r="I147" i="17"/>
  <c r="I139" i="17"/>
  <c r="I603" i="17"/>
  <c r="I595" i="17"/>
  <c r="J609" i="17"/>
  <c r="J601" i="17"/>
  <c r="J595" i="17"/>
  <c r="I591" i="17"/>
  <c r="I587" i="17"/>
  <c r="I583" i="17"/>
  <c r="I579" i="17"/>
  <c r="I575" i="17"/>
  <c r="I571" i="17"/>
  <c r="I567" i="17"/>
  <c r="I563" i="17"/>
  <c r="I559" i="17"/>
  <c r="I555" i="17"/>
  <c r="I551" i="17"/>
  <c r="I547" i="17"/>
  <c r="J593" i="17"/>
  <c r="J585" i="17"/>
  <c r="J577" i="17"/>
  <c r="J569" i="17"/>
  <c r="J561" i="17"/>
  <c r="J553" i="17"/>
  <c r="J545" i="17"/>
  <c r="I540" i="17"/>
  <c r="I536" i="17"/>
  <c r="I532" i="17"/>
  <c r="I528" i="17"/>
  <c r="I524" i="17"/>
  <c r="I594" i="17"/>
  <c r="I586" i="17"/>
  <c r="I578" i="17"/>
  <c r="I570" i="17"/>
  <c r="I562" i="17"/>
  <c r="I554" i="17"/>
  <c r="I546" i="17"/>
  <c r="I541" i="17"/>
  <c r="I537" i="17"/>
  <c r="I533" i="17"/>
  <c r="I529" i="17"/>
  <c r="I525" i="17"/>
  <c r="I521" i="17"/>
  <c r="J518" i="17"/>
  <c r="J514" i="17"/>
  <c r="J510" i="17"/>
  <c r="J506" i="17"/>
  <c r="J502" i="17"/>
  <c r="J498" i="17"/>
  <c r="J494" i="17"/>
  <c r="J490" i="17"/>
  <c r="J486" i="17"/>
  <c r="J482" i="17"/>
  <c r="J478" i="17"/>
  <c r="J474" i="17"/>
  <c r="J470" i="17"/>
  <c r="J466" i="17"/>
  <c r="J462" i="17"/>
  <c r="J458" i="17"/>
  <c r="J454" i="17"/>
  <c r="J450" i="17"/>
  <c r="J446" i="17"/>
  <c r="J442" i="17"/>
  <c r="J438" i="17"/>
  <c r="J434" i="17"/>
  <c r="J430" i="17"/>
  <c r="J426" i="17"/>
  <c r="J422" i="17"/>
  <c r="J418" i="17"/>
  <c r="J517" i="17"/>
  <c r="J513" i="17"/>
  <c r="J509" i="17"/>
  <c r="J505" i="17"/>
  <c r="J501" i="17"/>
  <c r="J497" i="17"/>
  <c r="J493" i="17"/>
  <c r="J489" i="17"/>
  <c r="J485" i="17"/>
  <c r="J481" i="17"/>
  <c r="J477" i="17"/>
  <c r="J473" i="17"/>
  <c r="J469" i="17"/>
  <c r="J465" i="17"/>
  <c r="J461" i="17"/>
  <c r="J457" i="17"/>
  <c r="J453" i="17"/>
  <c r="J449" i="17"/>
  <c r="J445" i="17"/>
  <c r="J441" i="17"/>
  <c r="J437" i="17"/>
  <c r="J433" i="17"/>
  <c r="J429" i="17"/>
  <c r="J425" i="17"/>
  <c r="J421" i="17"/>
  <c r="J417" i="17"/>
  <c r="J413" i="17"/>
  <c r="J409" i="17"/>
  <c r="J405" i="17"/>
  <c r="J401" i="17"/>
  <c r="J397" i="17"/>
  <c r="J393" i="17"/>
  <c r="J389" i="17"/>
  <c r="J385" i="17"/>
  <c r="J381" i="17"/>
  <c r="J377" i="17"/>
  <c r="J373" i="17"/>
  <c r="J369" i="17"/>
  <c r="J365" i="17"/>
  <c r="J361" i="17"/>
  <c r="J357" i="17"/>
  <c r="J353" i="17"/>
  <c r="J349" i="17"/>
  <c r="J345" i="17"/>
  <c r="J341" i="17"/>
  <c r="J337" i="17"/>
  <c r="J333" i="17"/>
  <c r="J329" i="17"/>
  <c r="J325" i="17"/>
  <c r="J321" i="17"/>
  <c r="J317" i="17"/>
  <c r="I415" i="17"/>
  <c r="I411" i="17"/>
  <c r="I407" i="17"/>
  <c r="I403" i="17"/>
  <c r="I399" i="17"/>
  <c r="I395" i="17"/>
  <c r="I391" i="17"/>
  <c r="I387" i="17"/>
  <c r="I383" i="17"/>
  <c r="I379" i="17"/>
  <c r="I375" i="17"/>
  <c r="I371" i="17"/>
  <c r="I367" i="17"/>
  <c r="I363" i="17"/>
  <c r="I359" i="17"/>
  <c r="I355" i="17"/>
  <c r="I351" i="17"/>
  <c r="I347" i="17"/>
  <c r="I343" i="17"/>
  <c r="I339" i="17"/>
  <c r="I335" i="17"/>
  <c r="I331" i="17"/>
  <c r="I327" i="17"/>
  <c r="I323" i="17"/>
  <c r="I319" i="17"/>
  <c r="I315" i="17"/>
  <c r="J311" i="17"/>
  <c r="J307" i="17"/>
  <c r="J303" i="17"/>
  <c r="J299" i="17"/>
  <c r="J295" i="17"/>
  <c r="J291" i="17"/>
  <c r="J287" i="17"/>
  <c r="J283" i="17"/>
  <c r="J279" i="17"/>
  <c r="J275" i="17"/>
  <c r="J271" i="17"/>
  <c r="J267" i="17"/>
  <c r="J263" i="17"/>
  <c r="J259" i="17"/>
  <c r="J255" i="17"/>
  <c r="J251" i="17"/>
  <c r="J247" i="17"/>
  <c r="J243" i="17"/>
  <c r="J239" i="17"/>
  <c r="J235" i="17"/>
  <c r="J231" i="17"/>
  <c r="J227" i="17"/>
  <c r="J223" i="17"/>
  <c r="J219" i="17"/>
  <c r="J215" i="17"/>
  <c r="J211" i="17"/>
  <c r="J207" i="17"/>
  <c r="J203" i="17"/>
  <c r="J199" i="17"/>
  <c r="J195" i="17"/>
  <c r="J191" i="17"/>
  <c r="J187" i="17"/>
  <c r="J183" i="17"/>
  <c r="J179" i="17"/>
  <c r="J175" i="17"/>
  <c r="J171" i="17"/>
  <c r="J167" i="17"/>
  <c r="J163" i="17"/>
  <c r="J159" i="17"/>
  <c r="J155" i="17"/>
  <c r="J151" i="17"/>
  <c r="J147" i="17"/>
  <c r="J143" i="17"/>
  <c r="J139" i="17"/>
  <c r="J135" i="17"/>
  <c r="J131" i="17"/>
  <c r="J127" i="17"/>
  <c r="J123" i="17"/>
  <c r="J119" i="17"/>
  <c r="J115" i="17"/>
  <c r="J111" i="17"/>
  <c r="J312" i="17"/>
  <c r="J308" i="17"/>
  <c r="J304" i="17"/>
  <c r="J300" i="17"/>
  <c r="J296" i="17"/>
  <c r="J292" i="17"/>
  <c r="J288" i="17"/>
  <c r="J284" i="17"/>
  <c r="J280" i="17"/>
  <c r="J276" i="17"/>
  <c r="J272" i="17"/>
  <c r="J268" i="17"/>
  <c r="J264" i="17"/>
  <c r="J260" i="17"/>
  <c r="J256" i="17"/>
  <c r="J252" i="17"/>
  <c r="J248" i="17"/>
  <c r="J244" i="17"/>
  <c r="J240" i="17"/>
  <c r="J236" i="17"/>
  <c r="J232" i="17"/>
  <c r="J228" i="17"/>
  <c r="J224" i="17"/>
  <c r="J220" i="17"/>
  <c r="J216" i="17"/>
  <c r="J212" i="17"/>
  <c r="J208" i="17"/>
  <c r="J204" i="17"/>
  <c r="J200" i="17"/>
  <c r="J196" i="17"/>
  <c r="J192" i="17"/>
  <c r="J188" i="17"/>
  <c r="J184" i="17"/>
  <c r="J180" i="17"/>
  <c r="J176" i="17"/>
  <c r="J172" i="17"/>
  <c r="J168" i="17"/>
  <c r="J164" i="17"/>
  <c r="J160" i="17"/>
  <c r="J156" i="17"/>
  <c r="J152" i="17"/>
  <c r="J148" i="17"/>
  <c r="J144" i="17"/>
  <c r="J140" i="17"/>
  <c r="J136" i="17"/>
  <c r="J132" i="17"/>
  <c r="J128" i="17"/>
  <c r="J124" i="17"/>
  <c r="J120" i="17"/>
  <c r="J116" i="17"/>
  <c r="J112" i="17"/>
  <c r="I135" i="17"/>
  <c r="I127" i="17"/>
  <c r="I119" i="17"/>
  <c r="I111" i="17"/>
  <c r="J16" i="17"/>
  <c r="J20" i="17"/>
  <c r="J24" i="17"/>
  <c r="J28" i="17"/>
  <c r="J32" i="17"/>
  <c r="J36" i="17"/>
  <c r="J40" i="17"/>
  <c r="J44" i="17"/>
  <c r="J48" i="17"/>
  <c r="J52" i="17"/>
  <c r="J56" i="17"/>
  <c r="J60" i="17"/>
  <c r="J64" i="17"/>
  <c r="J68" i="17"/>
  <c r="J72" i="17"/>
  <c r="J76" i="17"/>
  <c r="J80" i="17"/>
  <c r="J84" i="17"/>
  <c r="J88" i="17"/>
  <c r="J92" i="17"/>
  <c r="J96" i="17"/>
  <c r="J100" i="17"/>
  <c r="J104" i="17"/>
  <c r="J108" i="17"/>
  <c r="I133" i="17"/>
  <c r="I125" i="17"/>
  <c r="I117" i="17"/>
  <c r="I13" i="17"/>
  <c r="I17" i="17"/>
  <c r="I21" i="17"/>
  <c r="I25" i="17"/>
  <c r="I29" i="17"/>
  <c r="I33" i="17"/>
  <c r="I37" i="17"/>
  <c r="I41" i="17"/>
  <c r="I45" i="17"/>
  <c r="I49" i="17"/>
  <c r="I53" i="17"/>
  <c r="I57" i="17"/>
  <c r="I61" i="17"/>
  <c r="I65" i="17"/>
  <c r="I69" i="17"/>
  <c r="I73" i="17"/>
  <c r="I77" i="17"/>
  <c r="I81" i="17"/>
  <c r="I85" i="17"/>
  <c r="I89" i="17"/>
  <c r="I93" i="17"/>
  <c r="I97" i="17"/>
  <c r="I101" i="17"/>
  <c r="I105" i="17"/>
  <c r="I109" i="17"/>
  <c r="I106" i="17"/>
  <c r="I102" i="17"/>
  <c r="I98" i="17"/>
  <c r="I94" i="17"/>
  <c r="I90" i="17"/>
  <c r="I86" i="17"/>
  <c r="I82" i="17"/>
  <c r="I78" i="17"/>
  <c r="I74" i="17"/>
  <c r="I70" i="17"/>
  <c r="I66" i="17"/>
  <c r="I62" i="17"/>
  <c r="I58" i="17"/>
  <c r="I54" i="17"/>
  <c r="I50" i="17"/>
  <c r="I46" i="17"/>
  <c r="I42" i="17"/>
  <c r="I38" i="17"/>
  <c r="I34" i="17"/>
  <c r="I30" i="17"/>
  <c r="I26" i="17"/>
  <c r="I22" i="17"/>
  <c r="I18" i="17"/>
  <c r="I14" i="17"/>
  <c r="J107" i="17"/>
  <c r="J103" i="17"/>
  <c r="J99" i="17"/>
  <c r="J95" i="17"/>
  <c r="J91" i="17"/>
  <c r="J87" i="17"/>
  <c r="J83" i="17"/>
  <c r="J79" i="17"/>
  <c r="J75" i="17"/>
  <c r="J71" i="17"/>
  <c r="J67" i="17"/>
  <c r="J63" i="17"/>
  <c r="J59" i="17"/>
  <c r="J55" i="17"/>
  <c r="J51" i="17"/>
  <c r="J47" i="17"/>
  <c r="J43" i="17"/>
  <c r="J39" i="17"/>
  <c r="J35" i="17"/>
  <c r="J31" i="17"/>
  <c r="J27" i="17"/>
  <c r="J23" i="17"/>
  <c r="J19" i="17"/>
  <c r="J15" i="17"/>
  <c r="I622" i="17"/>
  <c r="J626" i="17"/>
  <c r="I623" i="17"/>
  <c r="I263" i="17"/>
  <c r="I255" i="17"/>
  <c r="I247" i="17"/>
  <c r="I239" i="17"/>
  <c r="I231" i="17"/>
  <c r="I223" i="17"/>
  <c r="I215" i="17"/>
  <c r="I207" i="17"/>
  <c r="I199" i="17"/>
  <c r="I191" i="17"/>
  <c r="I183" i="17"/>
  <c r="I175" i="17"/>
  <c r="I167" i="17"/>
  <c r="I159" i="17"/>
  <c r="I151" i="17"/>
  <c r="I143" i="17"/>
  <c r="I607" i="17"/>
  <c r="I599" i="17"/>
  <c r="J613" i="17"/>
  <c r="J605" i="17"/>
  <c r="J597" i="17"/>
  <c r="I593" i="17"/>
  <c r="I589" i="17"/>
  <c r="I585" i="17"/>
  <c r="I581" i="17"/>
  <c r="I577" i="17"/>
  <c r="I573" i="17"/>
  <c r="I569" i="17"/>
  <c r="I565" i="17"/>
  <c r="I561" i="17"/>
  <c r="I557" i="17"/>
  <c r="I553" i="17"/>
  <c r="I549" i="17"/>
  <c r="I545" i="17"/>
  <c r="J589" i="17"/>
  <c r="J581" i="17"/>
  <c r="J573" i="17"/>
  <c r="J565" i="17"/>
  <c r="J557" i="17"/>
  <c r="J549" i="17"/>
  <c r="I542" i="17"/>
  <c r="I538" i="17"/>
  <c r="I534" i="17"/>
  <c r="I530" i="17"/>
  <c r="I526" i="17"/>
  <c r="I522" i="17"/>
  <c r="I590" i="17"/>
  <c r="I582" i="17"/>
  <c r="I574" i="17"/>
  <c r="I566" i="17"/>
  <c r="I558" i="17"/>
  <c r="I550" i="17"/>
  <c r="I543" i="17"/>
  <c r="I539" i="17"/>
  <c r="I535" i="17"/>
  <c r="I531" i="17"/>
  <c r="I527" i="17"/>
  <c r="I523" i="17"/>
  <c r="I519" i="17"/>
  <c r="J516" i="17"/>
  <c r="J512" i="17"/>
  <c r="J508" i="17"/>
  <c r="J504" i="17"/>
  <c r="J500" i="17"/>
  <c r="J496" i="17"/>
  <c r="J492" i="17"/>
  <c r="J488" i="17"/>
  <c r="J484" i="17"/>
  <c r="J480" i="17"/>
  <c r="J476" i="17"/>
  <c r="J472" i="17"/>
  <c r="J468" i="17"/>
  <c r="J464" i="17"/>
  <c r="J460" i="17"/>
  <c r="J456" i="17"/>
  <c r="J452" i="17"/>
  <c r="J448" i="17"/>
  <c r="J444" i="17"/>
  <c r="J440" i="17"/>
  <c r="J436" i="17"/>
  <c r="J432" i="17"/>
  <c r="J428" i="17"/>
  <c r="J424" i="17"/>
  <c r="J420" i="17"/>
  <c r="J519" i="17"/>
  <c r="J515" i="17"/>
  <c r="J511" i="17"/>
  <c r="J507" i="17"/>
  <c r="J503" i="17"/>
  <c r="J499" i="17"/>
  <c r="J495" i="17"/>
  <c r="J491" i="17"/>
  <c r="J487" i="17"/>
  <c r="J483" i="17"/>
  <c r="J479" i="17"/>
  <c r="J475" i="17"/>
  <c r="J471" i="17"/>
  <c r="J467" i="17"/>
  <c r="J463" i="17"/>
  <c r="J459" i="17"/>
  <c r="J455" i="17"/>
  <c r="J451" i="17"/>
  <c r="J447" i="17"/>
  <c r="J443" i="17"/>
  <c r="J439" i="17"/>
  <c r="J435" i="17"/>
  <c r="J431" i="17"/>
  <c r="J427" i="17"/>
  <c r="J423" i="17"/>
  <c r="J419" i="17"/>
  <c r="J415" i="17"/>
  <c r="J411" i="17"/>
  <c r="J407" i="17"/>
  <c r="J403" i="17"/>
  <c r="J399" i="17"/>
  <c r="J395" i="17"/>
  <c r="J391" i="17"/>
  <c r="J387" i="17"/>
  <c r="J383" i="17"/>
  <c r="J379" i="17"/>
  <c r="J375" i="17"/>
  <c r="J371" i="17"/>
  <c r="J367" i="17"/>
  <c r="J363" i="17"/>
  <c r="J359" i="17"/>
  <c r="J355" i="17"/>
  <c r="J351" i="17"/>
  <c r="J347" i="17"/>
  <c r="J343" i="17"/>
  <c r="J339" i="17"/>
  <c r="J335" i="17"/>
  <c r="J331" i="17"/>
  <c r="J327" i="17"/>
  <c r="J323" i="17"/>
  <c r="J319" i="17"/>
  <c r="J315" i="17"/>
  <c r="I413" i="17"/>
  <c r="I409" i="17"/>
  <c r="I405" i="17"/>
  <c r="I401" i="17"/>
  <c r="I397" i="17"/>
  <c r="I393" i="17"/>
  <c r="I385" i="17"/>
  <c r="I377" i="17"/>
  <c r="I369" i="17"/>
  <c r="I361" i="17"/>
  <c r="I353" i="17"/>
  <c r="I345" i="17"/>
  <c r="I337" i="17"/>
  <c r="I329" i="17"/>
  <c r="I321" i="17"/>
  <c r="J313" i="17"/>
  <c r="J305" i="17"/>
  <c r="J297" i="17"/>
  <c r="J289" i="17"/>
  <c r="J281" i="17"/>
  <c r="J273" i="17"/>
  <c r="J265" i="17"/>
  <c r="J257" i="17"/>
  <c r="J249" i="17"/>
  <c r="J241" i="17"/>
  <c r="J233" i="17"/>
  <c r="J225" i="17"/>
  <c r="J217" i="17"/>
  <c r="J209" i="17"/>
  <c r="J201" i="17"/>
  <c r="J193" i="17"/>
  <c r="J185" i="17"/>
  <c r="J177" i="17"/>
  <c r="J169" i="17"/>
  <c r="J161" i="17"/>
  <c r="J153" i="17"/>
  <c r="J145" i="17"/>
  <c r="J137" i="17"/>
  <c r="J129" i="17"/>
  <c r="J121" i="17"/>
  <c r="J113" i="17"/>
  <c r="J310" i="17"/>
  <c r="J302" i="17"/>
  <c r="J294" i="17"/>
  <c r="J286" i="17"/>
  <c r="J278" i="17"/>
  <c r="J270" i="17"/>
  <c r="J262" i="17"/>
  <c r="J254" i="17"/>
  <c r="J246" i="17"/>
  <c r="J238" i="17"/>
  <c r="J230" i="17"/>
  <c r="J222" i="17"/>
  <c r="J214" i="17"/>
  <c r="J206" i="17"/>
  <c r="J198" i="17"/>
  <c r="J190" i="17"/>
  <c r="J182" i="17"/>
  <c r="J174" i="17"/>
  <c r="J166" i="17"/>
  <c r="J158" i="17"/>
  <c r="J150" i="17"/>
  <c r="J142" i="17"/>
  <c r="J134" i="17"/>
  <c r="J126" i="17"/>
  <c r="J118" i="17"/>
  <c r="J110" i="17"/>
  <c r="I123" i="17"/>
  <c r="J14" i="17"/>
  <c r="J22" i="17"/>
  <c r="J30" i="17"/>
  <c r="J38" i="17"/>
  <c r="J46" i="17"/>
  <c r="J54" i="17"/>
  <c r="J62" i="17"/>
  <c r="J70" i="17"/>
  <c r="J78" i="17"/>
  <c r="J86" i="17"/>
  <c r="J94" i="17"/>
  <c r="J102" i="17"/>
  <c r="I137" i="17"/>
  <c r="I121" i="17"/>
  <c r="I15" i="17"/>
  <c r="I23" i="17"/>
  <c r="I31" i="17"/>
  <c r="I39" i="17"/>
  <c r="I47" i="17"/>
  <c r="I55" i="17"/>
  <c r="I63" i="17"/>
  <c r="I71" i="17"/>
  <c r="I79" i="17"/>
  <c r="I87" i="17"/>
  <c r="I95" i="17"/>
  <c r="I103" i="17"/>
  <c r="I108" i="17"/>
  <c r="I100" i="17"/>
  <c r="I92" i="17"/>
  <c r="I84" i="17"/>
  <c r="I76" i="17"/>
  <c r="I68" i="17"/>
  <c r="I60" i="17"/>
  <c r="I52" i="17"/>
  <c r="I44" i="17"/>
  <c r="I36" i="17"/>
  <c r="I28" i="17"/>
  <c r="I20" i="17"/>
  <c r="J109" i="17"/>
  <c r="J101" i="17"/>
  <c r="J93" i="17"/>
  <c r="J85" i="17"/>
  <c r="J77" i="17"/>
  <c r="J69" i="17"/>
  <c r="J61" i="17"/>
  <c r="J53" i="17"/>
  <c r="J45" i="17"/>
  <c r="J37" i="17"/>
  <c r="J29" i="17"/>
  <c r="J21" i="17"/>
  <c r="J13" i="17"/>
  <c r="I626" i="17"/>
  <c r="J622" i="17"/>
  <c r="I389" i="17"/>
  <c r="I381" i="17"/>
  <c r="I373" i="17"/>
  <c r="I365" i="17"/>
  <c r="I357" i="17"/>
  <c r="I349" i="17"/>
  <c r="I341" i="17"/>
  <c r="I333" i="17"/>
  <c r="I325" i="17"/>
  <c r="I317" i="17"/>
  <c r="J309" i="17"/>
  <c r="J301" i="17"/>
  <c r="J293" i="17"/>
  <c r="J285" i="17"/>
  <c r="J277" i="17"/>
  <c r="J269" i="17"/>
  <c r="J261" i="17"/>
  <c r="J253" i="17"/>
  <c r="J245" i="17"/>
  <c r="J237" i="17"/>
  <c r="J229" i="17"/>
  <c r="J221" i="17"/>
  <c r="J213" i="17"/>
  <c r="J205" i="17"/>
  <c r="J197" i="17"/>
  <c r="J189" i="17"/>
  <c r="J181" i="17"/>
  <c r="J173" i="17"/>
  <c r="J165" i="17"/>
  <c r="J157" i="17"/>
  <c r="J149" i="17"/>
  <c r="J141" i="17"/>
  <c r="J133" i="17"/>
  <c r="J125" i="17"/>
  <c r="J117" i="17"/>
  <c r="J314" i="17"/>
  <c r="J306" i="17"/>
  <c r="J298" i="17"/>
  <c r="J290" i="17"/>
  <c r="J282" i="17"/>
  <c r="J274" i="17"/>
  <c r="J266" i="17"/>
  <c r="J258" i="17"/>
  <c r="J250" i="17"/>
  <c r="J242" i="17"/>
  <c r="J234" i="17"/>
  <c r="J226" i="17"/>
  <c r="J218" i="17"/>
  <c r="J210" i="17"/>
  <c r="J202" i="17"/>
  <c r="J194" i="17"/>
  <c r="J186" i="17"/>
  <c r="J178" i="17"/>
  <c r="J170" i="17"/>
  <c r="J162" i="17"/>
  <c r="J154" i="17"/>
  <c r="J146" i="17"/>
  <c r="J138" i="17"/>
  <c r="J130" i="17"/>
  <c r="J122" i="17"/>
  <c r="J114" i="17"/>
  <c r="I131" i="17"/>
  <c r="I115" i="17"/>
  <c r="J18" i="17"/>
  <c r="J26" i="17"/>
  <c r="J34" i="17"/>
  <c r="J42" i="17"/>
  <c r="J50" i="17"/>
  <c r="J58" i="17"/>
  <c r="J66" i="17"/>
  <c r="J74" i="17"/>
  <c r="J82" i="17"/>
  <c r="J90" i="17"/>
  <c r="J98" i="17"/>
  <c r="J106" i="17"/>
  <c r="I129" i="17"/>
  <c r="I113" i="17"/>
  <c r="I19" i="17"/>
  <c r="I27" i="17"/>
  <c r="I35" i="17"/>
  <c r="I43" i="17"/>
  <c r="I51" i="17"/>
  <c r="I59" i="17"/>
  <c r="I67" i="17"/>
  <c r="I75" i="17"/>
  <c r="I83" i="17"/>
  <c r="I91" i="17"/>
  <c r="I99" i="17"/>
  <c r="I107" i="17"/>
  <c r="I104" i="17"/>
  <c r="I96" i="17"/>
  <c r="I88" i="17"/>
  <c r="I80" i="17"/>
  <c r="I72" i="17"/>
  <c r="I64" i="17"/>
  <c r="I56" i="17"/>
  <c r="I48" i="17"/>
  <c r="I40" i="17"/>
  <c r="I32" i="17"/>
  <c r="I24" i="17"/>
  <c r="I16" i="17"/>
  <c r="J105" i="17"/>
  <c r="J97" i="17"/>
  <c r="J89" i="17"/>
  <c r="J81" i="17"/>
  <c r="J73" i="17"/>
  <c r="J65" i="17"/>
  <c r="J57" i="17"/>
  <c r="J49" i="17"/>
  <c r="J41" i="17"/>
  <c r="J33" i="17"/>
  <c r="J25" i="17"/>
  <c r="J17" i="17"/>
  <c r="J623" i="17"/>
  <c r="L610" i="17"/>
  <c r="K379" i="17"/>
  <c r="L386" i="17"/>
  <c r="L123" i="17"/>
  <c r="W625" i="17"/>
  <c r="L200" i="17"/>
  <c r="K207" i="17"/>
  <c r="K453" i="17"/>
  <c r="L66" i="17"/>
  <c r="K95" i="17"/>
  <c r="L264" i="17"/>
  <c r="K315" i="17"/>
  <c r="K271" i="17"/>
  <c r="L322" i="17"/>
  <c r="K532" i="17"/>
  <c r="L535" i="17"/>
  <c r="L34" i="17"/>
  <c r="K56" i="17"/>
  <c r="K63" i="17"/>
  <c r="L168" i="17"/>
  <c r="L296" i="17"/>
  <c r="L219" i="17"/>
  <c r="K347" i="17"/>
  <c r="K175" i="17"/>
  <c r="K303" i="17"/>
  <c r="K226" i="17"/>
  <c r="L354" i="17"/>
  <c r="K492" i="17"/>
  <c r="L570" i="17"/>
  <c r="L495" i="17"/>
  <c r="K573" i="17"/>
  <c r="L82" i="17"/>
  <c r="L18" i="17"/>
  <c r="K80" i="17"/>
  <c r="K48" i="17"/>
  <c r="L13" i="17"/>
  <c r="K47" i="17"/>
  <c r="L120" i="17"/>
  <c r="L184" i="17"/>
  <c r="L248" i="17"/>
  <c r="L312" i="17"/>
  <c r="L171" i="17"/>
  <c r="L235" i="17"/>
  <c r="L299" i="17"/>
  <c r="K363" i="17"/>
  <c r="K127" i="17"/>
  <c r="K191" i="17"/>
  <c r="K255" i="17"/>
  <c r="K114" i="17"/>
  <c r="K178" i="17"/>
  <c r="K242" i="17"/>
  <c r="K306" i="17"/>
  <c r="L370" i="17"/>
  <c r="K396" i="17"/>
  <c r="K421" i="17"/>
  <c r="L553" i="17"/>
  <c r="K602" i="17"/>
  <c r="L399" i="17"/>
  <c r="L424" i="17"/>
  <c r="L559" i="17"/>
  <c r="L605" i="17"/>
  <c r="L90" i="17"/>
  <c r="L58" i="17"/>
  <c r="L26" i="17"/>
  <c r="K100" i="17"/>
  <c r="K84" i="17"/>
  <c r="K68" i="17"/>
  <c r="K52" i="17"/>
  <c r="K36" i="17"/>
  <c r="K20" i="17"/>
  <c r="K87" i="17"/>
  <c r="K55" i="17"/>
  <c r="K23" i="17"/>
  <c r="K115" i="17"/>
  <c r="L144" i="17"/>
  <c r="L176" i="17"/>
  <c r="L208" i="17"/>
  <c r="L240" i="17"/>
  <c r="L272" i="17"/>
  <c r="L304" i="17"/>
  <c r="L131" i="17"/>
  <c r="L163" i="17"/>
  <c r="L195" i="17"/>
  <c r="L227" i="17"/>
  <c r="L259" i="17"/>
  <c r="L291" i="17"/>
  <c r="K323" i="17"/>
  <c r="K355" i="17"/>
  <c r="K387" i="17"/>
  <c r="K330" i="17"/>
  <c r="K151" i="17"/>
  <c r="K183" i="17"/>
  <c r="K215" i="17"/>
  <c r="K247" i="17"/>
  <c r="K279" i="17"/>
  <c r="K311" i="17"/>
  <c r="K138" i="17"/>
  <c r="K170" i="17"/>
  <c r="K202" i="17"/>
  <c r="K234" i="17"/>
  <c r="K266" i="17"/>
  <c r="K298" i="17"/>
  <c r="L330" i="17"/>
  <c r="L362" i="17"/>
  <c r="L402" i="17"/>
  <c r="K380" i="17"/>
  <c r="K444" i="17"/>
  <c r="K508" i="17"/>
  <c r="K469" i="17"/>
  <c r="L532" i="17"/>
  <c r="K552" i="17"/>
  <c r="L586" i="17"/>
  <c r="L319" i="17"/>
  <c r="L383" i="17"/>
  <c r="L447" i="17"/>
  <c r="L511" i="17"/>
  <c r="L472" i="17"/>
  <c r="K535" i="17"/>
  <c r="K558" i="17"/>
  <c r="K589" i="17"/>
  <c r="K623" i="17"/>
  <c r="L102" i="17"/>
  <c r="L86" i="17"/>
  <c r="L70" i="17"/>
  <c r="L54" i="17"/>
  <c r="L38" i="17"/>
  <c r="L22" i="17"/>
  <c r="K106" i="17"/>
  <c r="K98" i="17"/>
  <c r="K90" i="17"/>
  <c r="K82" i="17"/>
  <c r="K74" i="17"/>
  <c r="K66" i="17"/>
  <c r="K58" i="17"/>
  <c r="K50" i="17"/>
  <c r="K42" i="17"/>
  <c r="K34" i="17"/>
  <c r="K26" i="17"/>
  <c r="L17" i="17"/>
  <c r="K99" i="17"/>
  <c r="K83" i="17"/>
  <c r="K67" i="17"/>
  <c r="K51" i="17"/>
  <c r="K35" i="17"/>
  <c r="K19" i="17"/>
  <c r="L112" i="17"/>
  <c r="L116" i="17"/>
  <c r="L132" i="17"/>
  <c r="L148" i="17"/>
  <c r="L164" i="17"/>
  <c r="L180" i="17"/>
  <c r="L196" i="17"/>
  <c r="L212" i="17"/>
  <c r="L228" i="17"/>
  <c r="L244" i="17"/>
  <c r="L260" i="17"/>
  <c r="L276" i="17"/>
  <c r="L292" i="17"/>
  <c r="L308" i="17"/>
  <c r="L119" i="17"/>
  <c r="L135" i="17"/>
  <c r="L151" i="17"/>
  <c r="L167" i="17"/>
  <c r="L183" i="17"/>
  <c r="L199" i="17"/>
  <c r="L215" i="17"/>
  <c r="L231" i="17"/>
  <c r="L247" i="17"/>
  <c r="L263" i="17"/>
  <c r="L279" i="17"/>
  <c r="L295" i="17"/>
  <c r="L311" i="17"/>
  <c r="K327" i="17"/>
  <c r="K343" i="17"/>
  <c r="K359" i="17"/>
  <c r="K375" i="17"/>
  <c r="K391" i="17"/>
  <c r="L408" i="17"/>
  <c r="K123" i="17"/>
  <c r="K139" i="17"/>
  <c r="K155" i="17"/>
  <c r="K171" i="17"/>
  <c r="K187" i="17"/>
  <c r="K203" i="17"/>
  <c r="K219" i="17"/>
  <c r="K235" i="17"/>
  <c r="K251" i="17"/>
  <c r="K267" i="17"/>
  <c r="K283" i="17"/>
  <c r="K299" i="17"/>
  <c r="K110" i="17"/>
  <c r="K126" i="17"/>
  <c r="K142" i="17"/>
  <c r="K158" i="17"/>
  <c r="K174" i="17"/>
  <c r="K190" i="17"/>
  <c r="K206" i="17"/>
  <c r="K222" i="17"/>
  <c r="K238" i="17"/>
  <c r="K254" i="17"/>
  <c r="K270" i="17"/>
  <c r="K286" i="17"/>
  <c r="K302" i="17"/>
  <c r="L318" i="17"/>
  <c r="L334" i="17"/>
  <c r="L350" i="17"/>
  <c r="L366" i="17"/>
  <c r="L382" i="17"/>
  <c r="L414" i="17"/>
  <c r="K356" i="17"/>
  <c r="K388" i="17"/>
  <c r="K420" i="17"/>
  <c r="K452" i="17"/>
  <c r="K484" i="17"/>
  <c r="K516" i="17"/>
  <c r="K445" i="17"/>
  <c r="K477" i="17"/>
  <c r="K509" i="17"/>
  <c r="L540" i="17"/>
  <c r="K524" i="17"/>
  <c r="K568" i="17"/>
  <c r="L562" i="17"/>
  <c r="L594" i="17"/>
  <c r="K607" i="17"/>
  <c r="L327" i="17"/>
  <c r="L359" i="17"/>
  <c r="L391" i="17"/>
  <c r="L423" i="17"/>
  <c r="L455" i="17"/>
  <c r="L487" i="17"/>
  <c r="K520" i="17"/>
  <c r="L448" i="17"/>
  <c r="L480" i="17"/>
  <c r="L512" i="17"/>
  <c r="K543" i="17"/>
  <c r="L527" i="17"/>
  <c r="K574" i="17"/>
  <c r="K565" i="17"/>
  <c r="L597" i="17"/>
  <c r="C635" i="17"/>
  <c r="L608" i="17"/>
  <c r="L600" i="17"/>
  <c r="L611" i="17"/>
  <c r="L603" i="17"/>
  <c r="L595" i="17"/>
  <c r="K587" i="17"/>
  <c r="K579" i="17"/>
  <c r="K571" i="17"/>
  <c r="K563" i="17"/>
  <c r="K555" i="17"/>
  <c r="K547" i="17"/>
  <c r="K586" i="17"/>
  <c r="K570" i="17"/>
  <c r="K554" i="17"/>
  <c r="L541" i="17"/>
  <c r="L533" i="17"/>
  <c r="K31" i="17"/>
  <c r="K104" i="17"/>
  <c r="K130" i="17"/>
  <c r="K40" i="17"/>
  <c r="L251" i="17"/>
  <c r="K258" i="17"/>
  <c r="L456" i="17"/>
  <c r="K72" i="17"/>
  <c r="L136" i="17"/>
  <c r="L187" i="17"/>
  <c r="K143" i="17"/>
  <c r="K194" i="17"/>
  <c r="K428" i="17"/>
  <c r="L431" i="17"/>
  <c r="L98" i="17"/>
  <c r="K88" i="17"/>
  <c r="K24" i="17"/>
  <c r="K117" i="17"/>
  <c r="L232" i="17"/>
  <c r="L155" i="17"/>
  <c r="L283" i="17"/>
  <c r="L416" i="17"/>
  <c r="K239" i="17"/>
  <c r="K162" i="17"/>
  <c r="K290" i="17"/>
  <c r="K364" i="17"/>
  <c r="K517" i="17"/>
  <c r="L367" i="17"/>
  <c r="K519" i="17"/>
  <c r="K626" i="17"/>
  <c r="L50" i="17"/>
  <c r="K96" i="17"/>
  <c r="K64" i="17"/>
  <c r="K32" i="17"/>
  <c r="K79" i="17"/>
  <c r="K15" i="17"/>
  <c r="L152" i="17"/>
  <c r="L216" i="17"/>
  <c r="L280" i="17"/>
  <c r="L139" i="17"/>
  <c r="L203" i="17"/>
  <c r="L267" i="17"/>
  <c r="K331" i="17"/>
  <c r="K395" i="17"/>
  <c r="K159" i="17"/>
  <c r="K223" i="17"/>
  <c r="K287" i="17"/>
  <c r="K146" i="17"/>
  <c r="K210" i="17"/>
  <c r="K274" i="17"/>
  <c r="L338" i="17"/>
  <c r="K328" i="17"/>
  <c r="K460" i="17"/>
  <c r="K485" i="17"/>
  <c r="K584" i="17"/>
  <c r="L335" i="17"/>
  <c r="L463" i="17"/>
  <c r="L488" i="17"/>
  <c r="K590" i="17"/>
  <c r="L106" i="17"/>
  <c r="L74" i="17"/>
  <c r="L42" i="17"/>
  <c r="K108" i="17"/>
  <c r="K92" i="17"/>
  <c r="K76" i="17"/>
  <c r="K60" i="17"/>
  <c r="K44" i="17"/>
  <c r="K28" i="17"/>
  <c r="K103" i="17"/>
  <c r="K71" i="17"/>
  <c r="K39" i="17"/>
  <c r="K14" i="17"/>
  <c r="L128" i="17"/>
  <c r="L160" i="17"/>
  <c r="L192" i="17"/>
  <c r="L224" i="17"/>
  <c r="L256" i="17"/>
  <c r="L288" i="17"/>
  <c r="L115" i="17"/>
  <c r="L147" i="17"/>
  <c r="L179" i="17"/>
  <c r="L211" i="17"/>
  <c r="L243" i="17"/>
  <c r="L275" i="17"/>
  <c r="L307" i="17"/>
  <c r="K339" i="17"/>
  <c r="K371" i="17"/>
  <c r="K403" i="17"/>
  <c r="K135" i="17"/>
  <c r="K167" i="17"/>
  <c r="K199" i="17"/>
  <c r="K231" i="17"/>
  <c r="K263" i="17"/>
  <c r="K295" i="17"/>
  <c r="K122" i="17"/>
  <c r="K154" i="17"/>
  <c r="K186" i="17"/>
  <c r="K218" i="17"/>
  <c r="K250" i="17"/>
  <c r="K282" i="17"/>
  <c r="K314" i="17"/>
  <c r="L346" i="17"/>
  <c r="L378" i="17"/>
  <c r="K348" i="17"/>
  <c r="K412" i="17"/>
  <c r="K476" i="17"/>
  <c r="K437" i="17"/>
  <c r="K501" i="17"/>
  <c r="L585" i="17"/>
  <c r="L554" i="17"/>
  <c r="K599" i="17"/>
  <c r="L351" i="17"/>
  <c r="L415" i="17"/>
  <c r="L479" i="17"/>
  <c r="L440" i="17"/>
  <c r="L504" i="17"/>
  <c r="L591" i="17"/>
  <c r="K557" i="17"/>
  <c r="L602" i="17"/>
  <c r="L622" i="17"/>
  <c r="L94" i="17"/>
  <c r="L78" i="17"/>
  <c r="L62" i="17"/>
  <c r="L46" i="17"/>
  <c r="L30" i="17"/>
  <c r="L14" i="17"/>
  <c r="K102" i="17"/>
  <c r="K94" i="17"/>
  <c r="K86" i="17"/>
  <c r="K78" i="17"/>
  <c r="K70" i="17"/>
  <c r="K62" i="17"/>
  <c r="K54" i="17"/>
  <c r="K46" i="17"/>
  <c r="K38" i="17"/>
  <c r="K30" i="17"/>
  <c r="K22" i="17"/>
  <c r="K107" i="17"/>
  <c r="K91" i="17"/>
  <c r="K75" i="17"/>
  <c r="K59" i="17"/>
  <c r="K43" i="17"/>
  <c r="K27" i="17"/>
  <c r="K18" i="17"/>
  <c r="K111" i="17"/>
  <c r="L124" i="17"/>
  <c r="L140" i="17"/>
  <c r="L156" i="17"/>
  <c r="L172" i="17"/>
  <c r="L188" i="17"/>
  <c r="L204" i="17"/>
  <c r="L220" i="17"/>
  <c r="L236" i="17"/>
  <c r="L252" i="17"/>
  <c r="L268" i="17"/>
  <c r="L284" i="17"/>
  <c r="L300" i="17"/>
  <c r="L111" i="17"/>
  <c r="L127" i="17"/>
  <c r="L143" i="17"/>
  <c r="L159" i="17"/>
  <c r="L175" i="17"/>
  <c r="L191" i="17"/>
  <c r="L207" i="17"/>
  <c r="L223" i="17"/>
  <c r="L239" i="17"/>
  <c r="L255" i="17"/>
  <c r="L271" i="17"/>
  <c r="L287" i="17"/>
  <c r="L303" i="17"/>
  <c r="K319" i="17"/>
  <c r="K335" i="17"/>
  <c r="K351" i="17"/>
  <c r="K367" i="17"/>
  <c r="K383" i="17"/>
  <c r="K399" i="17"/>
  <c r="K322" i="17"/>
  <c r="K131" i="17"/>
  <c r="K147" i="17"/>
  <c r="K163" i="17"/>
  <c r="K179" i="17"/>
  <c r="K195" i="17"/>
  <c r="K211" i="17"/>
  <c r="K227" i="17"/>
  <c r="K243" i="17"/>
  <c r="K259" i="17"/>
  <c r="K275" i="17"/>
  <c r="K291" i="17"/>
  <c r="K307" i="17"/>
  <c r="K118" i="17"/>
  <c r="K134" i="17"/>
  <c r="K150" i="17"/>
  <c r="K166" i="17"/>
  <c r="K182" i="17"/>
  <c r="K198" i="17"/>
  <c r="K214" i="17"/>
  <c r="K230" i="17"/>
  <c r="K246" i="17"/>
  <c r="K262" i="17"/>
  <c r="K278" i="17"/>
  <c r="K294" i="17"/>
  <c r="K310" i="17"/>
  <c r="L326" i="17"/>
  <c r="L342" i="17"/>
  <c r="L358" i="17"/>
  <c r="L374" i="17"/>
  <c r="L394" i="17"/>
  <c r="K340" i="17"/>
  <c r="K372" i="17"/>
  <c r="K404" i="17"/>
  <c r="K436" i="17"/>
  <c r="K468" i="17"/>
  <c r="K500" i="17"/>
  <c r="K429" i="17"/>
  <c r="K461" i="17"/>
  <c r="K493" i="17"/>
  <c r="L524" i="17"/>
  <c r="L569" i="17"/>
  <c r="K540" i="17"/>
  <c r="L546" i="17"/>
  <c r="L578" i="17"/>
  <c r="K610" i="17"/>
  <c r="K413" i="17"/>
  <c r="L343" i="17"/>
  <c r="L375" i="17"/>
  <c r="L407" i="17"/>
  <c r="L439" i="17"/>
  <c r="L471" i="17"/>
  <c r="L503" i="17"/>
  <c r="L432" i="17"/>
  <c r="L464" i="17"/>
  <c r="L496" i="17"/>
  <c r="K527" i="17"/>
  <c r="L575" i="17"/>
  <c r="L543" i="17"/>
  <c r="K549" i="17"/>
  <c r="K581" i="17"/>
  <c r="L613" i="17"/>
  <c r="L612" i="17"/>
  <c r="L604" i="17"/>
  <c r="L596" i="17"/>
  <c r="L607" i="17"/>
  <c r="L599" i="17"/>
  <c r="K591" i="17"/>
  <c r="K583" i="17"/>
  <c r="K575" i="17"/>
  <c r="K567" i="17"/>
  <c r="K559" i="17"/>
  <c r="K551" i="17"/>
  <c r="K594" i="17"/>
  <c r="K578" i="17"/>
  <c r="K562" i="17"/>
  <c r="K546" i="17"/>
  <c r="L537" i="17"/>
  <c r="L529" i="17"/>
  <c r="L521" i="17"/>
  <c r="L525" i="17"/>
  <c r="L579" i="17"/>
  <c r="L563" i="17"/>
  <c r="L547" i="17"/>
  <c r="K537" i="17"/>
  <c r="K529" i="17"/>
  <c r="K521" i="17"/>
  <c r="L514" i="17"/>
  <c r="L506" i="17"/>
  <c r="L498" i="17"/>
  <c r="L490" i="17"/>
  <c r="L482" i="17"/>
  <c r="L474" i="17"/>
  <c r="L466" i="17"/>
  <c r="L458" i="17"/>
  <c r="L450" i="17"/>
  <c r="L442" i="17"/>
  <c r="L434" i="17"/>
  <c r="L426" i="17"/>
  <c r="L418" i="17"/>
  <c r="L513" i="17"/>
  <c r="L505" i="17"/>
  <c r="L497" i="17"/>
  <c r="L489" i="17"/>
  <c r="L481" i="17"/>
  <c r="L473" i="17"/>
  <c r="L465" i="17"/>
  <c r="L457" i="17"/>
  <c r="L449" i="17"/>
  <c r="L441" i="17"/>
  <c r="L433" i="17"/>
  <c r="L425" i="17"/>
  <c r="L417" i="17"/>
  <c r="L409" i="17"/>
  <c r="L401" i="17"/>
  <c r="L393" i="17"/>
  <c r="L385" i="17"/>
  <c r="L377" i="17"/>
  <c r="L369" i="17"/>
  <c r="L361" i="17"/>
  <c r="L353" i="17"/>
  <c r="L345" i="17"/>
  <c r="L337" i="17"/>
  <c r="L329" i="17"/>
  <c r="L321" i="17"/>
  <c r="K415" i="17"/>
  <c r="K407" i="17"/>
  <c r="K609" i="17"/>
  <c r="K601" i="17"/>
  <c r="K612" i="17"/>
  <c r="K604" i="17"/>
  <c r="K596" i="17"/>
  <c r="L588" i="17"/>
  <c r="L580" i="17"/>
  <c r="L572" i="17"/>
  <c r="L564" i="17"/>
  <c r="L556" i="17"/>
  <c r="L548" i="17"/>
  <c r="K588" i="17"/>
  <c r="K572" i="17"/>
  <c r="K556" i="17"/>
  <c r="K542" i="17"/>
  <c r="K534" i="17"/>
  <c r="K526" i="17"/>
  <c r="L589" i="17"/>
  <c r="L573" i="17"/>
  <c r="L557" i="17"/>
  <c r="L542" i="17"/>
  <c r="L534" i="17"/>
  <c r="L526" i="17"/>
  <c r="L518" i="17"/>
  <c r="K511" i="17"/>
  <c r="K503" i="17"/>
  <c r="K495" i="17"/>
  <c r="K487" i="17"/>
  <c r="K479" i="17"/>
  <c r="K471" i="17"/>
  <c r="K463" i="17"/>
  <c r="K455" i="17"/>
  <c r="K447" i="17"/>
  <c r="K439" i="17"/>
  <c r="K431" i="17"/>
  <c r="K423" i="17"/>
  <c r="K518" i="17"/>
  <c r="K510" i="17"/>
  <c r="K502" i="17"/>
  <c r="K494" i="17"/>
  <c r="K486" i="17"/>
  <c r="K478" i="17"/>
  <c r="K470" i="17"/>
  <c r="K462" i="17"/>
  <c r="K454" i="17"/>
  <c r="K446" i="17"/>
  <c r="K438" i="17"/>
  <c r="K430" i="17"/>
  <c r="K422" i="17"/>
  <c r="K414" i="17"/>
  <c r="K406" i="17"/>
  <c r="K398" i="17"/>
  <c r="K390" i="17"/>
  <c r="K382" i="17"/>
  <c r="K374" i="17"/>
  <c r="K366" i="17"/>
  <c r="K358" i="17"/>
  <c r="K350" i="17"/>
  <c r="K342" i="17"/>
  <c r="K332" i="17"/>
  <c r="K316" i="17"/>
  <c r="L404" i="17"/>
  <c r="L396" i="17"/>
  <c r="L388" i="17"/>
  <c r="L626" i="17"/>
  <c r="L108" i="17"/>
  <c r="L100" i="17"/>
  <c r="L92" i="17"/>
  <c r="L84" i="17"/>
  <c r="L76" i="17"/>
  <c r="L68" i="17"/>
  <c r="L60" i="17"/>
  <c r="L52" i="17"/>
  <c r="L44" i="17"/>
  <c r="L36" i="17"/>
  <c r="L28" i="17"/>
  <c r="L20" i="17"/>
  <c r="L109" i="17"/>
  <c r="L105" i="17"/>
  <c r="L101" i="17"/>
  <c r="L97" i="17"/>
  <c r="L93" i="17"/>
  <c r="L89" i="17"/>
  <c r="L85" i="17"/>
  <c r="L81" i="17"/>
  <c r="L77" i="17"/>
  <c r="L73" i="17"/>
  <c r="L69" i="17"/>
  <c r="L65" i="17"/>
  <c r="L61" i="17"/>
  <c r="L57" i="17"/>
  <c r="L53" i="17"/>
  <c r="L49" i="17"/>
  <c r="L45" i="17"/>
  <c r="L41" i="17"/>
  <c r="L37" i="17"/>
  <c r="L33" i="17"/>
  <c r="L29" i="17"/>
  <c r="L25" i="17"/>
  <c r="L21" i="17"/>
  <c r="L15" i="17"/>
  <c r="K105" i="17"/>
  <c r="K97" i="17"/>
  <c r="K89" i="17"/>
  <c r="K81" i="17"/>
  <c r="K73" i="17"/>
  <c r="K65" i="17"/>
  <c r="K57" i="17"/>
  <c r="K49" i="17"/>
  <c r="K41" i="17"/>
  <c r="K33" i="17"/>
  <c r="K25" i="17"/>
  <c r="K17" i="17"/>
  <c r="K16" i="17"/>
  <c r="L114" i="17"/>
  <c r="K113" i="17"/>
  <c r="L118" i="17"/>
  <c r="L126" i="17"/>
  <c r="L134" i="17"/>
  <c r="L142" i="17"/>
  <c r="L150" i="17"/>
  <c r="L158" i="17"/>
  <c r="L166" i="17"/>
  <c r="L174" i="17"/>
  <c r="L182" i="17"/>
  <c r="L190" i="17"/>
  <c r="L198" i="17"/>
  <c r="L206" i="17"/>
  <c r="L214" i="17"/>
  <c r="L222" i="17"/>
  <c r="L230" i="17"/>
  <c r="L238" i="17"/>
  <c r="L246" i="17"/>
  <c r="L254" i="17"/>
  <c r="L262" i="17"/>
  <c r="L270" i="17"/>
  <c r="L278" i="17"/>
  <c r="L286" i="17"/>
  <c r="L294" i="17"/>
  <c r="L302" i="17"/>
  <c r="L310" i="17"/>
  <c r="L113" i="17"/>
  <c r="L121" i="17"/>
  <c r="L129" i="17"/>
  <c r="L137" i="17"/>
  <c r="L145" i="17"/>
  <c r="L153" i="17"/>
  <c r="L161" i="17"/>
  <c r="L169" i="17"/>
  <c r="L177" i="17"/>
  <c r="L185" i="17"/>
  <c r="L193" i="17"/>
  <c r="L201" i="17"/>
  <c r="L209" i="17"/>
  <c r="L217" i="17"/>
  <c r="L225" i="17"/>
  <c r="L233" i="17"/>
  <c r="L241" i="17"/>
  <c r="L249" i="17"/>
  <c r="L257" i="17"/>
  <c r="L265" i="17"/>
  <c r="L273" i="17"/>
  <c r="L281" i="17"/>
  <c r="L289" i="17"/>
  <c r="L297" i="17"/>
  <c r="L305" i="17"/>
  <c r="L313" i="17"/>
  <c r="K321" i="17"/>
  <c r="K329" i="17"/>
  <c r="K337" i="17"/>
  <c r="K345" i="17"/>
  <c r="K353" i="17"/>
  <c r="K361" i="17"/>
  <c r="K369" i="17"/>
  <c r="K377" i="17"/>
  <c r="K385" i="17"/>
  <c r="K393" i="17"/>
  <c r="K401" i="17"/>
  <c r="L412" i="17"/>
  <c r="K326" i="17"/>
  <c r="K125" i="17"/>
  <c r="K133" i="17"/>
  <c r="K141" i="17"/>
  <c r="K149" i="17"/>
  <c r="K157" i="17"/>
  <c r="K165" i="17"/>
  <c r="K173" i="17"/>
  <c r="K181" i="17"/>
  <c r="K189" i="17"/>
  <c r="K197" i="17"/>
  <c r="K205" i="17"/>
  <c r="K213" i="17"/>
  <c r="K221" i="17"/>
  <c r="K229" i="17"/>
  <c r="K237" i="17"/>
  <c r="K245" i="17"/>
  <c r="K253" i="17"/>
  <c r="K261" i="17"/>
  <c r="K269" i="17"/>
  <c r="K277" i="17"/>
  <c r="K285" i="17"/>
  <c r="K293" i="17"/>
  <c r="K301" i="17"/>
  <c r="K309" i="17"/>
  <c r="K112" i="17"/>
  <c r="K120" i="17"/>
  <c r="K128" i="17"/>
  <c r="K136" i="17"/>
  <c r="K144" i="17"/>
  <c r="K152" i="17"/>
  <c r="K160" i="17"/>
  <c r="K168" i="17"/>
  <c r="K176" i="17"/>
  <c r="K184" i="17"/>
  <c r="K192" i="17"/>
  <c r="K200" i="17"/>
  <c r="K208" i="17"/>
  <c r="K216" i="17"/>
  <c r="K224" i="17"/>
  <c r="K232" i="17"/>
  <c r="K240" i="17"/>
  <c r="K248" i="17"/>
  <c r="K256" i="17"/>
  <c r="K264" i="17"/>
  <c r="K272" i="17"/>
  <c r="K280" i="17"/>
  <c r="K288" i="17"/>
  <c r="K296" i="17"/>
  <c r="K304" i="17"/>
  <c r="K312" i="17"/>
  <c r="L320" i="17"/>
  <c r="L328" i="17"/>
  <c r="L336" i="17"/>
  <c r="L344" i="17"/>
  <c r="L352" i="17"/>
  <c r="L360" i="17"/>
  <c r="L368" i="17"/>
  <c r="L376" i="17"/>
  <c r="L384" i="17"/>
  <c r="L398" i="17"/>
  <c r="K320" i="17"/>
  <c r="K344" i="17"/>
  <c r="K360" i="17"/>
  <c r="K376" i="17"/>
  <c r="K392" i="17"/>
  <c r="K408" i="17"/>
  <c r="K424" i="17"/>
  <c r="K440" i="17"/>
  <c r="K456" i="17"/>
  <c r="K472" i="17"/>
  <c r="K488" i="17"/>
  <c r="K504" i="17"/>
  <c r="K417" i="17"/>
  <c r="K433" i="17"/>
  <c r="K449" i="17"/>
  <c r="K465" i="17"/>
  <c r="K481" i="17"/>
  <c r="K497" i="17"/>
  <c r="K513" i="17"/>
  <c r="L528" i="17"/>
  <c r="L545" i="17"/>
  <c r="L577" i="17"/>
  <c r="K528" i="17"/>
  <c r="K544" i="17"/>
  <c r="K576" i="17"/>
  <c r="L550" i="17"/>
  <c r="L566" i="17"/>
  <c r="L582" i="17"/>
  <c r="K598" i="17"/>
  <c r="K595" i="17"/>
  <c r="K611" i="17"/>
  <c r="L315" i="17"/>
  <c r="L331" i="17"/>
  <c r="L347" i="17"/>
  <c r="L363" i="17"/>
  <c r="L379" i="17"/>
  <c r="L395" i="17"/>
  <c r="L411" i="17"/>
  <c r="L427" i="17"/>
  <c r="L443" i="17"/>
  <c r="L459" i="17"/>
  <c r="L475" i="17"/>
  <c r="L491" i="17"/>
  <c r="L507" i="17"/>
  <c r="L420" i="17"/>
  <c r="L436" i="17"/>
  <c r="L452" i="17"/>
  <c r="L468" i="17"/>
  <c r="L484" i="17"/>
  <c r="L500" i="17"/>
  <c r="L516" i="17"/>
  <c r="K531" i="17"/>
  <c r="L551" i="17"/>
  <c r="L583" i="17"/>
  <c r="L531" i="17"/>
  <c r="K550" i="17"/>
  <c r="K582" i="17"/>
  <c r="K553" i="17"/>
  <c r="K569" i="17"/>
  <c r="K585" i="17"/>
  <c r="L601" i="17"/>
  <c r="L598" i="17"/>
  <c r="A625" i="17"/>
  <c r="L587" i="17"/>
  <c r="L571" i="17"/>
  <c r="L555" i="17"/>
  <c r="K541" i="17"/>
  <c r="K533" i="17"/>
  <c r="K525" i="17"/>
  <c r="L519" i="17"/>
  <c r="L510" i="17"/>
  <c r="L502" i="17"/>
  <c r="L494" i="17"/>
  <c r="L486" i="17"/>
  <c r="L478" i="17"/>
  <c r="L470" i="17"/>
  <c r="L462" i="17"/>
  <c r="L454" i="17"/>
  <c r="L446" i="17"/>
  <c r="L438" i="17"/>
  <c r="L430" i="17"/>
  <c r="L422" i="17"/>
  <c r="L517" i="17"/>
  <c r="L509" i="17"/>
  <c r="L501" i="17"/>
  <c r="L493" i="17"/>
  <c r="L485" i="17"/>
  <c r="L477" i="17"/>
  <c r="L469" i="17"/>
  <c r="L461" i="17"/>
  <c r="L453" i="17"/>
  <c r="L445" i="17"/>
  <c r="L437" i="17"/>
  <c r="L429" i="17"/>
  <c r="L421" i="17"/>
  <c r="L413" i="17"/>
  <c r="L405" i="17"/>
  <c r="L397" i="17"/>
  <c r="L389" i="17"/>
  <c r="L381" i="17"/>
  <c r="L373" i="17"/>
  <c r="L365" i="17"/>
  <c r="L357" i="17"/>
  <c r="L349" i="17"/>
  <c r="L341" i="17"/>
  <c r="L333" i="17"/>
  <c r="L325" i="17"/>
  <c r="L317" i="17"/>
  <c r="K411" i="17"/>
  <c r="K613" i="17"/>
  <c r="K605" i="17"/>
  <c r="K597" i="17"/>
  <c r="K608" i="17"/>
  <c r="K600" i="17"/>
  <c r="L592" i="17"/>
  <c r="L584" i="17"/>
  <c r="L576" i="17"/>
  <c r="L568" i="17"/>
  <c r="L560" i="17"/>
  <c r="L552" i="17"/>
  <c r="L544" i="17"/>
  <c r="K580" i="17"/>
  <c r="K564" i="17"/>
  <c r="K548" i="17"/>
  <c r="K538" i="17"/>
  <c r="K530" i="17"/>
  <c r="K522" i="17"/>
  <c r="L581" i="17"/>
  <c r="L565" i="17"/>
  <c r="L549" i="17"/>
  <c r="L538" i="17"/>
  <c r="L530" i="17"/>
  <c r="L522" i="17"/>
  <c r="K515" i="17"/>
  <c r="K507" i="17"/>
  <c r="K499" i="17"/>
  <c r="K491" i="17"/>
  <c r="K483" i="17"/>
  <c r="K475" i="17"/>
  <c r="K467" i="17"/>
  <c r="K459" i="17"/>
  <c r="K451" i="17"/>
  <c r="K443" i="17"/>
  <c r="K435" i="17"/>
  <c r="K427" i="17"/>
  <c r="K419" i="17"/>
  <c r="K514" i="17"/>
  <c r="K506" i="17"/>
  <c r="K498" i="17"/>
  <c r="K490" i="17"/>
  <c r="K482" i="17"/>
  <c r="K474" i="17"/>
  <c r="K466" i="17"/>
  <c r="K458" i="17"/>
  <c r="K450" i="17"/>
  <c r="K442" i="17"/>
  <c r="K434" i="17"/>
  <c r="K426" i="17"/>
  <c r="K418" i="17"/>
  <c r="K410" i="17"/>
  <c r="K402" i="17"/>
  <c r="K394" i="17"/>
  <c r="K386" i="17"/>
  <c r="K378" i="17"/>
  <c r="K370" i="17"/>
  <c r="K362" i="17"/>
  <c r="K354" i="17"/>
  <c r="K346" i="17"/>
  <c r="K338" i="17"/>
  <c r="K324" i="17"/>
  <c r="L410" i="17"/>
  <c r="L400" i="17"/>
  <c r="L392" i="17"/>
  <c r="L623" i="17"/>
  <c r="K622" i="17"/>
  <c r="L104" i="17"/>
  <c r="L96" i="17"/>
  <c r="L88" i="17"/>
  <c r="L80" i="17"/>
  <c r="L72" i="17"/>
  <c r="L64" i="17"/>
  <c r="L56" i="17"/>
  <c r="L48" i="17"/>
  <c r="L40" i="17"/>
  <c r="L32" i="17"/>
  <c r="L24" i="17"/>
  <c r="L16" i="17"/>
  <c r="L107" i="17"/>
  <c r="L103" i="17"/>
  <c r="L99" i="17"/>
  <c r="L95" i="17"/>
  <c r="L91" i="17"/>
  <c r="L87" i="17"/>
  <c r="L83" i="17"/>
  <c r="L79" i="17"/>
  <c r="L75" i="17"/>
  <c r="L71" i="17"/>
  <c r="L67" i="17"/>
  <c r="L63" i="17"/>
  <c r="L59" i="17"/>
  <c r="L55" i="17"/>
  <c r="L51" i="17"/>
  <c r="L47" i="17"/>
  <c r="L43" i="17"/>
  <c r="L39" i="17"/>
  <c r="L35" i="17"/>
  <c r="L31" i="17"/>
  <c r="L27" i="17"/>
  <c r="L23" i="17"/>
  <c r="L19" i="17"/>
  <c r="K109" i="17"/>
  <c r="K101" i="17"/>
  <c r="K93" i="17"/>
  <c r="K85" i="17"/>
  <c r="K77" i="17"/>
  <c r="K69" i="17"/>
  <c r="K61" i="17"/>
  <c r="K53" i="17"/>
  <c r="K45" i="17"/>
  <c r="K37" i="17"/>
  <c r="K29" i="17"/>
  <c r="K21" i="17"/>
  <c r="K13" i="17"/>
  <c r="L110" i="17"/>
  <c r="K121" i="17"/>
  <c r="K119" i="17"/>
  <c r="L122" i="17"/>
  <c r="L130" i="17"/>
  <c r="L138" i="17"/>
  <c r="L146" i="17"/>
  <c r="L154" i="17"/>
  <c r="L162" i="17"/>
  <c r="L170" i="17"/>
  <c r="L178" i="17"/>
  <c r="L186" i="17"/>
  <c r="L194" i="17"/>
  <c r="L202" i="17"/>
  <c r="L210" i="17"/>
  <c r="L218" i="17"/>
  <c r="L226" i="17"/>
  <c r="L234" i="17"/>
  <c r="L242" i="17"/>
  <c r="L250" i="17"/>
  <c r="L258" i="17"/>
  <c r="L266" i="17"/>
  <c r="L274" i="17"/>
  <c r="L282" i="17"/>
  <c r="L290" i="17"/>
  <c r="L298" i="17"/>
  <c r="L306" i="17"/>
  <c r="L314" i="17"/>
  <c r="L117" i="17"/>
  <c r="L125" i="17"/>
  <c r="L133" i="17"/>
  <c r="L141" i="17"/>
  <c r="L149" i="17"/>
  <c r="L157" i="17"/>
  <c r="L165" i="17"/>
  <c r="L173" i="17"/>
  <c r="L181" i="17"/>
  <c r="L189" i="17"/>
  <c r="L197" i="17"/>
  <c r="L205" i="17"/>
  <c r="L213" i="17"/>
  <c r="L221" i="17"/>
  <c r="L229" i="17"/>
  <c r="L237" i="17"/>
  <c r="L245" i="17"/>
  <c r="L253" i="17"/>
  <c r="L261" i="17"/>
  <c r="L269" i="17"/>
  <c r="L277" i="17"/>
  <c r="L285" i="17"/>
  <c r="L293" i="17"/>
  <c r="L301" i="17"/>
  <c r="L309" i="17"/>
  <c r="K317" i="17"/>
  <c r="K325" i="17"/>
  <c r="K333" i="17"/>
  <c r="K341" i="17"/>
  <c r="K349" i="17"/>
  <c r="K357" i="17"/>
  <c r="K365" i="17"/>
  <c r="K373" i="17"/>
  <c r="K381" i="17"/>
  <c r="K389" i="17"/>
  <c r="K397" i="17"/>
  <c r="K405" i="17"/>
  <c r="K318" i="17"/>
  <c r="K334" i="17"/>
  <c r="K129" i="17"/>
  <c r="K137" i="17"/>
  <c r="K145" i="17"/>
  <c r="K153" i="17"/>
  <c r="K161" i="17"/>
  <c r="K169" i="17"/>
  <c r="K177" i="17"/>
  <c r="K185" i="17"/>
  <c r="K193" i="17"/>
  <c r="K201" i="17"/>
  <c r="K209" i="17"/>
  <c r="K217" i="17"/>
  <c r="K225" i="17"/>
  <c r="K233" i="17"/>
  <c r="K241" i="17"/>
  <c r="K249" i="17"/>
  <c r="K257" i="17"/>
  <c r="K265" i="17"/>
  <c r="K273" i="17"/>
  <c r="K281" i="17"/>
  <c r="K289" i="17"/>
  <c r="K297" i="17"/>
  <c r="K305" i="17"/>
  <c r="K313" i="17"/>
  <c r="K116" i="17"/>
  <c r="K124" i="17"/>
  <c r="K132" i="17"/>
  <c r="K140" i="17"/>
  <c r="K148" i="17"/>
  <c r="K156" i="17"/>
  <c r="K164" i="17"/>
  <c r="K172" i="17"/>
  <c r="K180" i="17"/>
  <c r="K188" i="17"/>
  <c r="K196" i="17"/>
  <c r="K204" i="17"/>
  <c r="K212" i="17"/>
  <c r="K220" i="17"/>
  <c r="K228" i="17"/>
  <c r="K236" i="17"/>
  <c r="K244" i="17"/>
  <c r="K252" i="17"/>
  <c r="K260" i="17"/>
  <c r="K268" i="17"/>
  <c r="K276" i="17"/>
  <c r="K284" i="17"/>
  <c r="K292" i="17"/>
  <c r="K300" i="17"/>
  <c r="K308" i="17"/>
  <c r="L316" i="17"/>
  <c r="L324" i="17"/>
  <c r="L332" i="17"/>
  <c r="L340" i="17"/>
  <c r="L348" i="17"/>
  <c r="L356" i="17"/>
  <c r="L364" i="17"/>
  <c r="L372" i="17"/>
  <c r="L380" i="17"/>
  <c r="L390" i="17"/>
  <c r="L406" i="17"/>
  <c r="K336" i="17"/>
  <c r="K352" i="17"/>
  <c r="K368" i="17"/>
  <c r="K384" i="17"/>
  <c r="K400" i="17"/>
  <c r="K416" i="17"/>
  <c r="K432" i="17"/>
  <c r="K448" i="17"/>
  <c r="K464" i="17"/>
  <c r="K480" i="17"/>
  <c r="K496" i="17"/>
  <c r="K512" i="17"/>
  <c r="K425" i="17"/>
  <c r="K441" i="17"/>
  <c r="K457" i="17"/>
  <c r="K473" i="17"/>
  <c r="K489" i="17"/>
  <c r="K505" i="17"/>
  <c r="L520" i="17"/>
  <c r="L536" i="17"/>
  <c r="L561" i="17"/>
  <c r="L593" i="17"/>
  <c r="K536" i="17"/>
  <c r="K560" i="17"/>
  <c r="K592" i="17"/>
  <c r="L558" i="17"/>
  <c r="L574" i="17"/>
  <c r="L590" i="17"/>
  <c r="K606" i="17"/>
  <c r="K603" i="17"/>
  <c r="K409" i="17"/>
  <c r="L323" i="17"/>
  <c r="L339" i="17"/>
  <c r="L355" i="17"/>
  <c r="L371" i="17"/>
  <c r="L387" i="17"/>
  <c r="L403" i="17"/>
  <c r="L419" i="17"/>
  <c r="L435" i="17"/>
  <c r="L451" i="17"/>
  <c r="L467" i="17"/>
  <c r="L483" i="17"/>
  <c r="L499" i="17"/>
  <c r="L515" i="17"/>
  <c r="L428" i="17"/>
  <c r="L444" i="17"/>
  <c r="L460" i="17"/>
  <c r="L476" i="17"/>
  <c r="L492" i="17"/>
  <c r="L508" i="17"/>
  <c r="K523" i="17"/>
  <c r="K539" i="17"/>
  <c r="L567" i="17"/>
  <c r="L523" i="17"/>
  <c r="L539" i="17"/>
  <c r="K566" i="17"/>
  <c r="K545" i="17"/>
  <c r="K561" i="17"/>
  <c r="K577" i="17"/>
  <c r="K593" i="17"/>
  <c r="L609" i="17"/>
  <c r="L606" i="17"/>
  <c r="M67" i="17"/>
  <c r="M76" i="17"/>
  <c r="M199" i="17"/>
  <c r="N74" i="17"/>
  <c r="M111" i="17"/>
  <c r="N36" i="17"/>
  <c r="N123" i="17"/>
  <c r="N57" i="17"/>
  <c r="N200" i="17"/>
  <c r="N251" i="17"/>
  <c r="M41" i="17"/>
  <c r="M108" i="17"/>
  <c r="M44" i="17"/>
  <c r="M85" i="17"/>
  <c r="N100" i="17"/>
  <c r="Y100" i="17" s="1"/>
  <c r="N89" i="17"/>
  <c r="N25" i="17"/>
  <c r="N136" i="17"/>
  <c r="N264" i="17"/>
  <c r="N187" i="17"/>
  <c r="N341" i="17"/>
  <c r="M315" i="17"/>
  <c r="N469" i="17"/>
  <c r="M379" i="17"/>
  <c r="N405" i="17"/>
  <c r="M495" i="17"/>
  <c r="M555" i="17"/>
  <c r="M431" i="17"/>
  <c r="M570" i="17"/>
  <c r="M251" i="17"/>
  <c r="N110" i="17"/>
  <c r="M81" i="17"/>
  <c r="N106" i="17"/>
  <c r="N42" i="17"/>
  <c r="M92" i="17"/>
  <c r="M60" i="17"/>
  <c r="M28" i="17"/>
  <c r="M175" i="17"/>
  <c r="M99" i="17"/>
  <c r="M35" i="17"/>
  <c r="N68" i="17"/>
  <c r="N105" i="17"/>
  <c r="N73" i="17"/>
  <c r="N41" i="17"/>
  <c r="M123" i="17"/>
  <c r="M189" i="17"/>
  <c r="N168" i="17"/>
  <c r="N232" i="17"/>
  <c r="N296" i="17"/>
  <c r="N155" i="17"/>
  <c r="N219" i="17"/>
  <c r="Y219" i="17" s="1"/>
  <c r="N283" i="17"/>
  <c r="M347" i="17"/>
  <c r="M411" i="17"/>
  <c r="N373" i="17"/>
  <c r="N437" i="17"/>
  <c r="N501" i="17"/>
  <c r="M463" i="17"/>
  <c r="M525" i="17"/>
  <c r="M540" i="17"/>
  <c r="N600" i="17"/>
  <c r="M137" i="17"/>
  <c r="N142" i="17"/>
  <c r="M622" i="17"/>
  <c r="M57" i="17"/>
  <c r="M25" i="17"/>
  <c r="N90" i="17"/>
  <c r="N58" i="17"/>
  <c r="N26" i="17"/>
  <c r="M100" i="17"/>
  <c r="M84" i="17"/>
  <c r="M68" i="17"/>
  <c r="M52" i="17"/>
  <c r="M36" i="17"/>
  <c r="M20" i="17"/>
  <c r="M143" i="17"/>
  <c r="N626" i="17"/>
  <c r="M626" i="17"/>
  <c r="M83" i="17"/>
  <c r="M51" i="17"/>
  <c r="M19" i="17"/>
  <c r="N84" i="17"/>
  <c r="N52" i="17"/>
  <c r="N20" i="17"/>
  <c r="N97" i="17"/>
  <c r="N81" i="17"/>
  <c r="N65" i="17"/>
  <c r="N49" i="17"/>
  <c r="N33" i="17"/>
  <c r="N17" i="17"/>
  <c r="M155" i="17"/>
  <c r="M157" i="17"/>
  <c r="N120" i="17"/>
  <c r="N152" i="17"/>
  <c r="N184" i="17"/>
  <c r="N216" i="17"/>
  <c r="N248" i="17"/>
  <c r="N280" i="17"/>
  <c r="N312" i="17"/>
  <c r="N139" i="17"/>
  <c r="N171" i="17"/>
  <c r="N203" i="17"/>
  <c r="N235" i="17"/>
  <c r="N267" i="17"/>
  <c r="N299" i="17"/>
  <c r="M331" i="17"/>
  <c r="M363" i="17"/>
  <c r="M395" i="17"/>
  <c r="N325" i="17"/>
  <c r="N357" i="17"/>
  <c r="N389" i="17"/>
  <c r="N421" i="17"/>
  <c r="N453" i="17"/>
  <c r="N485" i="17"/>
  <c r="N517" i="17"/>
  <c r="M447" i="17"/>
  <c r="M479" i="17"/>
  <c r="M511" i="17"/>
  <c r="M541" i="17"/>
  <c r="M524" i="17"/>
  <c r="N569" i="17"/>
  <c r="M587" i="17"/>
  <c r="M219" i="17"/>
  <c r="M195" i="17"/>
  <c r="M169" i="17"/>
  <c r="N126" i="17"/>
  <c r="N158" i="17"/>
  <c r="N174" i="17"/>
  <c r="N190" i="17"/>
  <c r="N206" i="17"/>
  <c r="N222" i="17"/>
  <c r="N238" i="17"/>
  <c r="N254" i="17"/>
  <c r="N270" i="17"/>
  <c r="N286" i="17"/>
  <c r="N302" i="17"/>
  <c r="N113" i="17"/>
  <c r="N129" i="17"/>
  <c r="M97" i="17"/>
  <c r="M65" i="17"/>
  <c r="M49" i="17"/>
  <c r="M33" i="17"/>
  <c r="M17" i="17"/>
  <c r="N98" i="17"/>
  <c r="N82" i="17"/>
  <c r="N66" i="17"/>
  <c r="N50" i="17"/>
  <c r="N34" i="17"/>
  <c r="N18" i="17"/>
  <c r="M104" i="17"/>
  <c r="M96" i="17"/>
  <c r="M88" i="17"/>
  <c r="M80" i="17"/>
  <c r="M72" i="17"/>
  <c r="M64" i="17"/>
  <c r="M56" i="17"/>
  <c r="M48" i="17"/>
  <c r="M40" i="17"/>
  <c r="M32" i="17"/>
  <c r="M24" i="17"/>
  <c r="M16" i="17"/>
  <c r="M127" i="17"/>
  <c r="M159" i="17"/>
  <c r="M117" i="17"/>
  <c r="M101" i="17"/>
  <c r="M69" i="17"/>
  <c r="M107" i="17"/>
  <c r="M91" i="17"/>
  <c r="M75" i="17"/>
  <c r="M59" i="17"/>
  <c r="M43" i="17"/>
  <c r="M27" i="17"/>
  <c r="N108" i="17"/>
  <c r="N92" i="17"/>
  <c r="N76" i="17"/>
  <c r="N60" i="17"/>
  <c r="N44" i="17"/>
  <c r="N28" i="17"/>
  <c r="N109" i="17"/>
  <c r="N101" i="17"/>
  <c r="N93" i="17"/>
  <c r="N85" i="17"/>
  <c r="N77" i="17"/>
  <c r="N69" i="17"/>
  <c r="N61" i="17"/>
  <c r="N53" i="17"/>
  <c r="N45" i="17"/>
  <c r="N37" i="17"/>
  <c r="N29" i="17"/>
  <c r="N21" i="17"/>
  <c r="N13" i="17"/>
  <c r="M139" i="17"/>
  <c r="M171" i="17"/>
  <c r="M141" i="17"/>
  <c r="M173" i="17"/>
  <c r="N112" i="17"/>
  <c r="N128" i="17"/>
  <c r="N144" i="17"/>
  <c r="N160" i="17"/>
  <c r="N176" i="17"/>
  <c r="N192" i="17"/>
  <c r="N208" i="17"/>
  <c r="N224" i="17"/>
  <c r="N240" i="17"/>
  <c r="N256" i="17"/>
  <c r="N272" i="17"/>
  <c r="N288" i="17"/>
  <c r="N304" i="17"/>
  <c r="N115" i="17"/>
  <c r="N131" i="17"/>
  <c r="N147" i="17"/>
  <c r="N163" i="17"/>
  <c r="N179" i="17"/>
  <c r="N195" i="17"/>
  <c r="N211" i="17"/>
  <c r="N227" i="17"/>
  <c r="N243" i="17"/>
  <c r="N259" i="17"/>
  <c r="N275" i="17"/>
  <c r="N291" i="17"/>
  <c r="N307" i="17"/>
  <c r="M323" i="17"/>
  <c r="M339" i="17"/>
  <c r="M355" i="17"/>
  <c r="M371" i="17"/>
  <c r="M387" i="17"/>
  <c r="M403" i="17"/>
  <c r="N317" i="17"/>
  <c r="N333" i="17"/>
  <c r="N349" i="17"/>
  <c r="N365" i="17"/>
  <c r="N381" i="17"/>
  <c r="N397" i="17"/>
  <c r="N413" i="17"/>
  <c r="N429" i="17"/>
  <c r="N445" i="17"/>
  <c r="N461" i="17"/>
  <c r="N477" i="17"/>
  <c r="N493" i="17"/>
  <c r="N509" i="17"/>
  <c r="M423" i="17"/>
  <c r="M439" i="17"/>
  <c r="M455" i="17"/>
  <c r="M471" i="17"/>
  <c r="M487" i="17"/>
  <c r="M503" i="17"/>
  <c r="M520" i="17"/>
  <c r="M533" i="17"/>
  <c r="M554" i="17"/>
  <c r="M586" i="17"/>
  <c r="M532" i="17"/>
  <c r="N553" i="17"/>
  <c r="N585" i="17"/>
  <c r="M571" i="17"/>
  <c r="N603" i="17"/>
  <c r="M203" i="17"/>
  <c r="M235" i="17"/>
  <c r="M179" i="17"/>
  <c r="M121" i="17"/>
  <c r="M153" i="17"/>
  <c r="M185" i="17"/>
  <c r="N118" i="17"/>
  <c r="N134" i="17"/>
  <c r="N150" i="17"/>
  <c r="N166" i="17"/>
  <c r="N182" i="17"/>
  <c r="N198" i="17"/>
  <c r="N214" i="17"/>
  <c r="N230" i="17"/>
  <c r="N246" i="17"/>
  <c r="N262" i="17"/>
  <c r="N278" i="17"/>
  <c r="N294" i="17"/>
  <c r="N310" i="17"/>
  <c r="N121" i="17"/>
  <c r="N137" i="17"/>
  <c r="N145" i="17"/>
  <c r="N153" i="17"/>
  <c r="N161" i="17"/>
  <c r="N169" i="17"/>
  <c r="N177" i="17"/>
  <c r="N185" i="17"/>
  <c r="N193" i="17"/>
  <c r="N201" i="17"/>
  <c r="N209" i="17"/>
  <c r="N217" i="17"/>
  <c r="N225" i="17"/>
  <c r="N233" i="17"/>
  <c r="N241" i="17"/>
  <c r="N249" i="17"/>
  <c r="N257" i="17"/>
  <c r="N265" i="17"/>
  <c r="N273" i="17"/>
  <c r="N281" i="17"/>
  <c r="N289" i="17"/>
  <c r="N297" i="17"/>
  <c r="N305" i="17"/>
  <c r="N313" i="17"/>
  <c r="M321" i="17"/>
  <c r="M329" i="17"/>
  <c r="M345" i="17"/>
  <c r="M361" i="17"/>
  <c r="M377" i="17"/>
  <c r="M393" i="17"/>
  <c r="M409" i="17"/>
  <c r="N323" i="17"/>
  <c r="N339" i="17"/>
  <c r="N355" i="17"/>
  <c r="N371" i="17"/>
  <c r="N387" i="17"/>
  <c r="N403" i="17"/>
  <c r="N419" i="17"/>
  <c r="N435" i="17"/>
  <c r="N451" i="17"/>
  <c r="N467" i="17"/>
  <c r="N483" i="17"/>
  <c r="N499" i="17"/>
  <c r="N515" i="17"/>
  <c r="M429" i="17"/>
  <c r="M445" i="17"/>
  <c r="M461" i="17"/>
  <c r="M477" i="17"/>
  <c r="M493" i="17"/>
  <c r="M509" i="17"/>
  <c r="M523" i="17"/>
  <c r="M539" i="17"/>
  <c r="M566" i="17"/>
  <c r="M522" i="17"/>
  <c r="M538" i="17"/>
  <c r="N565" i="17"/>
  <c r="M551" i="17"/>
  <c r="M583" i="17"/>
  <c r="N596" i="17"/>
  <c r="M215" i="17"/>
  <c r="M247" i="17"/>
  <c r="M271" i="17"/>
  <c r="M287" i="17"/>
  <c r="M303" i="17"/>
  <c r="M114" i="17"/>
  <c r="M130" i="17"/>
  <c r="M146" i="17"/>
  <c r="M162" i="17"/>
  <c r="M178" i="17"/>
  <c r="M194" i="17"/>
  <c r="M210" i="17"/>
  <c r="M226" i="17"/>
  <c r="M242" i="17"/>
  <c r="M258" i="17"/>
  <c r="M274" i="17"/>
  <c r="M290" i="17"/>
  <c r="M306" i="17"/>
  <c r="N322" i="17"/>
  <c r="N338" i="17"/>
  <c r="N354" i="17"/>
  <c r="N370" i="17"/>
  <c r="N386" i="17"/>
  <c r="N402" i="17"/>
  <c r="M316" i="17"/>
  <c r="M332" i="17"/>
  <c r="M348" i="17"/>
  <c r="M364" i="17"/>
  <c r="M380" i="17"/>
  <c r="M396" i="17"/>
  <c r="M412" i="17"/>
  <c r="M428" i="17"/>
  <c r="M444" i="17"/>
  <c r="M460" i="17"/>
  <c r="M476" i="17"/>
  <c r="M492" i="17"/>
  <c r="M508" i="17"/>
  <c r="N422" i="17"/>
  <c r="N438" i="17"/>
  <c r="N454" i="17"/>
  <c r="N470" i="17"/>
  <c r="N486" i="17"/>
  <c r="N502" i="17"/>
  <c r="M518" i="17"/>
  <c r="N532" i="17"/>
  <c r="M552" i="17"/>
  <c r="M584" i="17"/>
  <c r="N531" i="17"/>
  <c r="N551" i="17"/>
  <c r="N583" i="17"/>
  <c r="N554" i="17"/>
  <c r="N570" i="17"/>
  <c r="N586" i="17"/>
  <c r="M602" i="17"/>
  <c r="M599" i="17"/>
  <c r="N589" i="17"/>
  <c r="M557" i="17"/>
  <c r="M573" i="17"/>
  <c r="M589" i="17"/>
  <c r="N605" i="17"/>
  <c r="N602" i="17"/>
  <c r="M205" i="17"/>
  <c r="M221" i="17"/>
  <c r="M237" i="17"/>
  <c r="M253" i="17"/>
  <c r="M269" i="17"/>
  <c r="M285" i="17"/>
  <c r="M301" i="17"/>
  <c r="M112" i="17"/>
  <c r="M128" i="17"/>
  <c r="M144" i="17"/>
  <c r="M168" i="17"/>
  <c r="M200" i="17"/>
  <c r="M232" i="17"/>
  <c r="M264" i="17"/>
  <c r="M296" i="17"/>
  <c r="N328" i="17"/>
  <c r="N360" i="17"/>
  <c r="N392" i="17"/>
  <c r="M322" i="17"/>
  <c r="M354" i="17"/>
  <c r="M386" i="17"/>
  <c r="M418" i="17"/>
  <c r="M450" i="17"/>
  <c r="M482" i="17"/>
  <c r="M514" i="17"/>
  <c r="N444" i="17"/>
  <c r="N476" i="17"/>
  <c r="N508" i="17"/>
  <c r="N538" i="17"/>
  <c r="N521" i="17"/>
  <c r="N563" i="17"/>
  <c r="N560" i="17"/>
  <c r="M613" i="17"/>
  <c r="M597" i="17"/>
  <c r="M600" i="17"/>
  <c r="N584" i="17"/>
  <c r="N568" i="17"/>
  <c r="N552" i="17"/>
  <c r="N579" i="17"/>
  <c r="N547" i="17"/>
  <c r="N529" i="17"/>
  <c r="M580" i="17"/>
  <c r="M548" i="17"/>
  <c r="N530" i="17"/>
  <c r="N516" i="17"/>
  <c r="N500" i="17"/>
  <c r="N484" i="17"/>
  <c r="N468" i="17"/>
  <c r="N452" i="17"/>
  <c r="N436" i="17"/>
  <c r="N420" i="17"/>
  <c r="M506" i="17"/>
  <c r="M490" i="17"/>
  <c r="M474" i="17"/>
  <c r="M458" i="17"/>
  <c r="M442" i="17"/>
  <c r="M426" i="17"/>
  <c r="M410" i="17"/>
  <c r="M394" i="17"/>
  <c r="M378" i="17"/>
  <c r="M362" i="17"/>
  <c r="M346" i="17"/>
  <c r="M330" i="17"/>
  <c r="N416" i="17"/>
  <c r="N400" i="17"/>
  <c r="N384" i="17"/>
  <c r="N368" i="17"/>
  <c r="N352" i="17"/>
  <c r="N336" i="17"/>
  <c r="N320" i="17"/>
  <c r="M304" i="17"/>
  <c r="M288" i="17"/>
  <c r="M272" i="17"/>
  <c r="M256" i="17"/>
  <c r="M240" i="17"/>
  <c r="M224" i="17"/>
  <c r="M208" i="17"/>
  <c r="M192" i="17"/>
  <c r="M176" i="17"/>
  <c r="M160" i="17"/>
  <c r="M148" i="17"/>
  <c r="M140" i="17"/>
  <c r="M132" i="17"/>
  <c r="M124" i="17"/>
  <c r="M116" i="17"/>
  <c r="M313" i="17"/>
  <c r="M305" i="17"/>
  <c r="M297" i="17"/>
  <c r="M289" i="17"/>
  <c r="M281" i="17"/>
  <c r="M273" i="17"/>
  <c r="M265" i="17"/>
  <c r="M257" i="17"/>
  <c r="M249" i="17"/>
  <c r="M241" i="17"/>
  <c r="M233" i="17"/>
  <c r="M225" i="17"/>
  <c r="M217" i="17"/>
  <c r="M209" i="17"/>
  <c r="M201" i="17"/>
  <c r="N606" i="17"/>
  <c r="N598" i="17"/>
  <c r="N609" i="17"/>
  <c r="N601" i="17"/>
  <c r="M593" i="17"/>
  <c r="M585" i="17"/>
  <c r="M577" i="17"/>
  <c r="M569" i="17"/>
  <c r="M561" i="17"/>
  <c r="M553" i="17"/>
  <c r="M545" i="17"/>
  <c r="M611" i="17"/>
  <c r="M603" i="17"/>
  <c r="M595" i="17"/>
  <c r="M606" i="17"/>
  <c r="M598" i="17"/>
  <c r="N590" i="17"/>
  <c r="N582" i="17"/>
  <c r="N574" i="17"/>
  <c r="N566" i="17"/>
  <c r="N558" i="17"/>
  <c r="N550" i="17"/>
  <c r="N591" i="17"/>
  <c r="N575" i="17"/>
  <c r="N559" i="17"/>
  <c r="N543" i="17"/>
  <c r="N535" i="17"/>
  <c r="N527" i="17"/>
  <c r="M592" i="17"/>
  <c r="M576" i="17"/>
  <c r="M560" i="17"/>
  <c r="M544" i="17"/>
  <c r="N536" i="17"/>
  <c r="N528" i="17"/>
  <c r="N520" i="17"/>
  <c r="N514" i="17"/>
  <c r="N506" i="17"/>
  <c r="N498" i="17"/>
  <c r="N490" i="17"/>
  <c r="N482" i="17"/>
  <c r="N474" i="17"/>
  <c r="N466" i="17"/>
  <c r="N458" i="17"/>
  <c r="N450" i="17"/>
  <c r="N442" i="17"/>
  <c r="N434" i="17"/>
  <c r="N426" i="17"/>
  <c r="N418" i="17"/>
  <c r="M512" i="17"/>
  <c r="M504" i="17"/>
  <c r="M496" i="17"/>
  <c r="M488" i="17"/>
  <c r="M480" i="17"/>
  <c r="M472" i="17"/>
  <c r="M464" i="17"/>
  <c r="M456" i="17"/>
  <c r="M448" i="17"/>
  <c r="M440" i="17"/>
  <c r="M432" i="17"/>
  <c r="M424" i="17"/>
  <c r="M416" i="17"/>
  <c r="M408" i="17"/>
  <c r="M400" i="17"/>
  <c r="M392" i="17"/>
  <c r="M384" i="17"/>
  <c r="M376" i="17"/>
  <c r="M368" i="17"/>
  <c r="M360" i="17"/>
  <c r="M352" i="17"/>
  <c r="M344" i="17"/>
  <c r="M336" i="17"/>
  <c r="M328" i="17"/>
  <c r="M320" i="17"/>
  <c r="N414" i="17"/>
  <c r="N406" i="17"/>
  <c r="N398" i="17"/>
  <c r="N390" i="17"/>
  <c r="N382" i="17"/>
  <c r="N374" i="17"/>
  <c r="N366" i="17"/>
  <c r="N358" i="17"/>
  <c r="N350" i="17"/>
  <c r="N342" i="17"/>
  <c r="N334" i="17"/>
  <c r="N326" i="17"/>
  <c r="N318" i="17"/>
  <c r="M310" i="17"/>
  <c r="M302" i="17"/>
  <c r="M294" i="17"/>
  <c r="M286" i="17"/>
  <c r="M278" i="17"/>
  <c r="M270" i="17"/>
  <c r="M262" i="17"/>
  <c r="M254" i="17"/>
  <c r="M246" i="17"/>
  <c r="M238" i="17"/>
  <c r="M230" i="17"/>
  <c r="M222" i="17"/>
  <c r="M214" i="17"/>
  <c r="M206" i="17"/>
  <c r="M198" i="17"/>
  <c r="M190" i="17"/>
  <c r="M182" i="17"/>
  <c r="M174" i="17"/>
  <c r="M166" i="17"/>
  <c r="M158" i="17"/>
  <c r="M150" i="17"/>
  <c r="M142" i="17"/>
  <c r="M134" i="17"/>
  <c r="M126" i="17"/>
  <c r="M118" i="17"/>
  <c r="M110" i="17"/>
  <c r="M307" i="17"/>
  <c r="M299" i="17"/>
  <c r="M291" i="17"/>
  <c r="M283" i="17"/>
  <c r="M275" i="17"/>
  <c r="M267" i="17"/>
  <c r="M255" i="17"/>
  <c r="M239" i="17"/>
  <c r="M223" i="17"/>
  <c r="M207" i="17"/>
  <c r="N604" i="17"/>
  <c r="N607" i="17"/>
  <c r="M591" i="17"/>
  <c r="M575" i="17"/>
  <c r="M559" i="17"/>
  <c r="N593" i="17"/>
  <c r="N573" i="17"/>
  <c r="N557" i="17"/>
  <c r="M542" i="17"/>
  <c r="M534" i="17"/>
  <c r="M526" i="17"/>
  <c r="M590" i="17"/>
  <c r="M574" i="17"/>
  <c r="M558" i="17"/>
  <c r="M543" i="17"/>
  <c r="M535" i="17"/>
  <c r="M527" i="17"/>
  <c r="M519" i="17"/>
  <c r="M513" i="17"/>
  <c r="M505" i="17"/>
  <c r="M497" i="17"/>
  <c r="M489" i="17"/>
  <c r="M481" i="17"/>
  <c r="M473" i="17"/>
  <c r="M465" i="17"/>
  <c r="M457" i="17"/>
  <c r="M449" i="17"/>
  <c r="M441" i="17"/>
  <c r="M433" i="17"/>
  <c r="M425" i="17"/>
  <c r="M417" i="17"/>
  <c r="N511" i="17"/>
  <c r="N503" i="17"/>
  <c r="N495" i="17"/>
  <c r="N487" i="17"/>
  <c r="N479" i="17"/>
  <c r="N471" i="17"/>
  <c r="N463" i="17"/>
  <c r="N455" i="17"/>
  <c r="N447" i="17"/>
  <c r="N439" i="17"/>
  <c r="N431" i="17"/>
  <c r="N423" i="17"/>
  <c r="N415" i="17"/>
  <c r="N407" i="17"/>
  <c r="N399" i="17"/>
  <c r="N391" i="17"/>
  <c r="N383" i="17"/>
  <c r="N375" i="17"/>
  <c r="N367" i="17"/>
  <c r="N359" i="17"/>
  <c r="N351" i="17"/>
  <c r="N343" i="17"/>
  <c r="N335" i="17"/>
  <c r="N327" i="17"/>
  <c r="N319" i="17"/>
  <c r="M413" i="17"/>
  <c r="M405" i="17"/>
  <c r="M397" i="17"/>
  <c r="M389" i="17"/>
  <c r="M381" i="17"/>
  <c r="M373" i="17"/>
  <c r="M365" i="17"/>
  <c r="M357" i="17"/>
  <c r="M349" i="17"/>
  <c r="M341" i="17"/>
  <c r="M333" i="17"/>
  <c r="N623" i="17"/>
  <c r="M105" i="17"/>
  <c r="M89" i="17"/>
  <c r="M73" i="17"/>
  <c r="M61" i="17"/>
  <c r="M53" i="17"/>
  <c r="M45" i="17"/>
  <c r="M37" i="17"/>
  <c r="M29" i="17"/>
  <c r="M21" i="17"/>
  <c r="M13" i="17"/>
  <c r="N102" i="17"/>
  <c r="N94" i="17"/>
  <c r="N86" i="17"/>
  <c r="N78" i="17"/>
  <c r="N70" i="17"/>
  <c r="N62" i="17"/>
  <c r="N54" i="17"/>
  <c r="N46" i="17"/>
  <c r="N38" i="17"/>
  <c r="N30" i="17"/>
  <c r="N22" i="17"/>
  <c r="N14" i="17"/>
  <c r="M106" i="17"/>
  <c r="M102" i="17"/>
  <c r="M98" i="17"/>
  <c r="M94" i="17"/>
  <c r="M90" i="17"/>
  <c r="M86" i="17"/>
  <c r="M82" i="17"/>
  <c r="M78" i="17"/>
  <c r="M74" i="17"/>
  <c r="M70" i="17"/>
  <c r="M66" i="17"/>
  <c r="M62" i="17"/>
  <c r="M58" i="17"/>
  <c r="M54" i="17"/>
  <c r="M50" i="17"/>
  <c r="M46" i="17"/>
  <c r="M42" i="17"/>
  <c r="M38" i="17"/>
  <c r="M34" i="17"/>
  <c r="M30" i="17"/>
  <c r="M26" i="17"/>
  <c r="M22" i="17"/>
  <c r="M18" i="17"/>
  <c r="M14" i="17"/>
  <c r="M119" i="17"/>
  <c r="M135" i="17"/>
  <c r="M151" i="17"/>
  <c r="M167" i="17"/>
  <c r="M191" i="17"/>
  <c r="M133" i="17"/>
  <c r="M109" i="17"/>
  <c r="M93" i="17"/>
  <c r="M77" i="17"/>
  <c r="M623" i="17"/>
  <c r="N622" i="17"/>
  <c r="M103" i="17"/>
  <c r="M95" i="17"/>
  <c r="M87" i="17"/>
  <c r="M79" i="17"/>
  <c r="M71" i="17"/>
  <c r="M63" i="17"/>
  <c r="M55" i="17"/>
  <c r="M47" i="17"/>
  <c r="M39" i="17"/>
  <c r="M31" i="17"/>
  <c r="M23" i="17"/>
  <c r="M15" i="17"/>
  <c r="N104" i="17"/>
  <c r="N96" i="17"/>
  <c r="N88" i="17"/>
  <c r="N80" i="17"/>
  <c r="N72" i="17"/>
  <c r="N64" i="17"/>
  <c r="N56" i="17"/>
  <c r="N48" i="17"/>
  <c r="N40" i="17"/>
  <c r="N32" i="17"/>
  <c r="N24" i="17"/>
  <c r="N16" i="17"/>
  <c r="N107" i="17"/>
  <c r="N103" i="17"/>
  <c r="N99" i="17"/>
  <c r="N95" i="17"/>
  <c r="N91" i="17"/>
  <c r="N87" i="17"/>
  <c r="N83" i="17"/>
  <c r="N79" i="17"/>
  <c r="N75" i="17"/>
  <c r="N71" i="17"/>
  <c r="N67" i="17"/>
  <c r="N63" i="17"/>
  <c r="N59" i="17"/>
  <c r="N55" i="17"/>
  <c r="N51" i="17"/>
  <c r="N47" i="17"/>
  <c r="N43" i="17"/>
  <c r="N39" i="17"/>
  <c r="N35" i="17"/>
  <c r="N31" i="17"/>
  <c r="N27" i="17"/>
  <c r="N23" i="17"/>
  <c r="N19" i="17"/>
  <c r="N15" i="17"/>
  <c r="M115" i="17"/>
  <c r="M131" i="17"/>
  <c r="M147" i="17"/>
  <c r="M163" i="17"/>
  <c r="M183" i="17"/>
  <c r="M125" i="17"/>
  <c r="M149" i="17"/>
  <c r="M165" i="17"/>
  <c r="M181" i="17"/>
  <c r="M197" i="17"/>
  <c r="N116" i="17"/>
  <c r="N124" i="17"/>
  <c r="N132" i="17"/>
  <c r="N140" i="17"/>
  <c r="N148" i="17"/>
  <c r="N156" i="17"/>
  <c r="N164" i="17"/>
  <c r="N172" i="17"/>
  <c r="N180" i="17"/>
  <c r="N188" i="17"/>
  <c r="N196" i="17"/>
  <c r="N204" i="17"/>
  <c r="N212" i="17"/>
  <c r="N220" i="17"/>
  <c r="N228" i="17"/>
  <c r="N236" i="17"/>
  <c r="N244" i="17"/>
  <c r="N252" i="17"/>
  <c r="N260" i="17"/>
  <c r="N268" i="17"/>
  <c r="N276" i="17"/>
  <c r="N284" i="17"/>
  <c r="N292" i="17"/>
  <c r="N300" i="17"/>
  <c r="N308" i="17"/>
  <c r="N111" i="17"/>
  <c r="N119" i="17"/>
  <c r="N127" i="17"/>
  <c r="N135" i="17"/>
  <c r="N143" i="17"/>
  <c r="N151" i="17"/>
  <c r="N159" i="17"/>
  <c r="N167" i="17"/>
  <c r="N175" i="17"/>
  <c r="N183" i="17"/>
  <c r="N191" i="17"/>
  <c r="N199" i="17"/>
  <c r="N207" i="17"/>
  <c r="N215" i="17"/>
  <c r="N223" i="17"/>
  <c r="N231" i="17"/>
  <c r="N239" i="17"/>
  <c r="N247" i="17"/>
  <c r="N255" i="17"/>
  <c r="N263" i="17"/>
  <c r="N271" i="17"/>
  <c r="N279" i="17"/>
  <c r="N287" i="17"/>
  <c r="N295" i="17"/>
  <c r="N303" i="17"/>
  <c r="N311" i="17"/>
  <c r="M319" i="17"/>
  <c r="M327" i="17"/>
  <c r="M335" i="17"/>
  <c r="M343" i="17"/>
  <c r="M351" i="17"/>
  <c r="M359" i="17"/>
  <c r="M367" i="17"/>
  <c r="M375" i="17"/>
  <c r="M383" i="17"/>
  <c r="M391" i="17"/>
  <c r="M399" i="17"/>
  <c r="M407" i="17"/>
  <c r="M415" i="17"/>
  <c r="N321" i="17"/>
  <c r="N329" i="17"/>
  <c r="N337" i="17"/>
  <c r="N345" i="17"/>
  <c r="N353" i="17"/>
  <c r="N361" i="17"/>
  <c r="N369" i="17"/>
  <c r="N377" i="17"/>
  <c r="N385" i="17"/>
  <c r="N393" i="17"/>
  <c r="N401" i="17"/>
  <c r="N409" i="17"/>
  <c r="N417" i="17"/>
  <c r="N425" i="17"/>
  <c r="N433" i="17"/>
  <c r="N441" i="17"/>
  <c r="N449" i="17"/>
  <c r="N457" i="17"/>
  <c r="N465" i="17"/>
  <c r="N473" i="17"/>
  <c r="N481" i="17"/>
  <c r="N489" i="17"/>
  <c r="N497" i="17"/>
  <c r="N505" i="17"/>
  <c r="N513" i="17"/>
  <c r="M419" i="17"/>
  <c r="M427" i="17"/>
  <c r="M435" i="17"/>
  <c r="M443" i="17"/>
  <c r="M451" i="17"/>
  <c r="M459" i="17"/>
  <c r="M467" i="17"/>
  <c r="M475" i="17"/>
  <c r="M483" i="17"/>
  <c r="M491" i="17"/>
  <c r="M499" i="17"/>
  <c r="M507" i="17"/>
  <c r="M515" i="17"/>
  <c r="M521" i="17"/>
  <c r="M529" i="17"/>
  <c r="M537" i="17"/>
  <c r="M546" i="17"/>
  <c r="M562" i="17"/>
  <c r="M578" i="17"/>
  <c r="M594" i="17"/>
  <c r="M528" i="17"/>
  <c r="M536" i="17"/>
  <c r="N545" i="17"/>
  <c r="N561" i="17"/>
  <c r="N577" i="17"/>
  <c r="M547" i="17"/>
  <c r="M563" i="17"/>
  <c r="M579" i="17"/>
  <c r="N595" i="17"/>
  <c r="N611" i="17"/>
  <c r="N608" i="17"/>
  <c r="M211" i="17"/>
  <c r="M227" i="17"/>
  <c r="M243" i="17"/>
  <c r="M259" i="17"/>
  <c r="M187" i="17"/>
  <c r="M113" i="17"/>
  <c r="M129" i="17"/>
  <c r="M145" i="17"/>
  <c r="M161" i="17"/>
  <c r="M177" i="17"/>
  <c r="M193" i="17"/>
  <c r="N114" i="17"/>
  <c r="N122" i="17"/>
  <c r="N130" i="17"/>
  <c r="N138" i="17"/>
  <c r="N146" i="17"/>
  <c r="N154" i="17"/>
  <c r="N162" i="17"/>
  <c r="N170" i="17"/>
  <c r="N178" i="17"/>
  <c r="N186" i="17"/>
  <c r="N194" i="17"/>
  <c r="N202" i="17"/>
  <c r="N210" i="17"/>
  <c r="N218" i="17"/>
  <c r="N226" i="17"/>
  <c r="N234" i="17"/>
  <c r="N242" i="17"/>
  <c r="N250" i="17"/>
  <c r="N258" i="17"/>
  <c r="N266" i="17"/>
  <c r="N274" i="17"/>
  <c r="N282" i="17"/>
  <c r="N290" i="17"/>
  <c r="N298" i="17"/>
  <c r="N306" i="17"/>
  <c r="N314" i="17"/>
  <c r="N117" i="17"/>
  <c r="N125" i="17"/>
  <c r="N133" i="17"/>
  <c r="N141" i="17"/>
  <c r="N149" i="17"/>
  <c r="N157" i="17"/>
  <c r="N165" i="17"/>
  <c r="N173" i="17"/>
  <c r="N181" i="17"/>
  <c r="N189" i="17"/>
  <c r="N197" i="17"/>
  <c r="N205" i="17"/>
  <c r="N213" i="17"/>
  <c r="N221" i="17"/>
  <c r="N229" i="17"/>
  <c r="N237" i="17"/>
  <c r="N245" i="17"/>
  <c r="N253" i="17"/>
  <c r="N261" i="17"/>
  <c r="N269" i="17"/>
  <c r="N277" i="17"/>
  <c r="N285" i="17"/>
  <c r="N293" i="17"/>
  <c r="N301" i="17"/>
  <c r="N309" i="17"/>
  <c r="M317" i="17"/>
  <c r="M325" i="17"/>
  <c r="M337" i="17"/>
  <c r="M353" i="17"/>
  <c r="M369" i="17"/>
  <c r="M385" i="17"/>
  <c r="M401" i="17"/>
  <c r="N315" i="17"/>
  <c r="N331" i="17"/>
  <c r="N347" i="17"/>
  <c r="N363" i="17"/>
  <c r="N379" i="17"/>
  <c r="N395" i="17"/>
  <c r="N411" i="17"/>
  <c r="N427" i="17"/>
  <c r="N443" i="17"/>
  <c r="N459" i="17"/>
  <c r="N475" i="17"/>
  <c r="N491" i="17"/>
  <c r="N507" i="17"/>
  <c r="M421" i="17"/>
  <c r="M437" i="17"/>
  <c r="M453" i="17"/>
  <c r="M469" i="17"/>
  <c r="M485" i="17"/>
  <c r="M501" i="17"/>
  <c r="M517" i="17"/>
  <c r="M531" i="17"/>
  <c r="M550" i="17"/>
  <c r="M582" i="17"/>
  <c r="M530" i="17"/>
  <c r="N549" i="17"/>
  <c r="N581" i="17"/>
  <c r="M567" i="17"/>
  <c r="N599" i="17"/>
  <c r="N612" i="17"/>
  <c r="M231" i="17"/>
  <c r="M263" i="17"/>
  <c r="M279" i="17"/>
  <c r="M295" i="17"/>
  <c r="M311" i="17"/>
  <c r="M122" i="17"/>
  <c r="M138" i="17"/>
  <c r="M154" i="17"/>
  <c r="M170" i="17"/>
  <c r="M186" i="17"/>
  <c r="M202" i="17"/>
  <c r="M218" i="17"/>
  <c r="M234" i="17"/>
  <c r="M250" i="17"/>
  <c r="M266" i="17"/>
  <c r="M282" i="17"/>
  <c r="M298" i="17"/>
  <c r="M314" i="17"/>
  <c r="N330" i="17"/>
  <c r="N346" i="17"/>
  <c r="N362" i="17"/>
  <c r="N378" i="17"/>
  <c r="N394" i="17"/>
  <c r="N410" i="17"/>
  <c r="M324" i="17"/>
  <c r="M340" i="17"/>
  <c r="M356" i="17"/>
  <c r="M372" i="17"/>
  <c r="M388" i="17"/>
  <c r="M404" i="17"/>
  <c r="M420" i="17"/>
  <c r="M436" i="17"/>
  <c r="M452" i="17"/>
  <c r="M468" i="17"/>
  <c r="M484" i="17"/>
  <c r="M500" i="17"/>
  <c r="M516" i="17"/>
  <c r="N430" i="17"/>
  <c r="N446" i="17"/>
  <c r="N462" i="17"/>
  <c r="N478" i="17"/>
  <c r="N494" i="17"/>
  <c r="N510" i="17"/>
  <c r="N524" i="17"/>
  <c r="N540" i="17"/>
  <c r="M568" i="17"/>
  <c r="N523" i="17"/>
  <c r="N539" i="17"/>
  <c r="N567" i="17"/>
  <c r="N546" i="17"/>
  <c r="N562" i="17"/>
  <c r="N578" i="17"/>
  <c r="N594" i="17"/>
  <c r="M610" i="17"/>
  <c r="M607" i="17"/>
  <c r="M549" i="17"/>
  <c r="M565" i="17"/>
  <c r="M581" i="17"/>
  <c r="N597" i="17"/>
  <c r="N613" i="17"/>
  <c r="N610" i="17"/>
  <c r="M213" i="17"/>
  <c r="M229" i="17"/>
  <c r="M245" i="17"/>
  <c r="M261" i="17"/>
  <c r="M277" i="17"/>
  <c r="M293" i="17"/>
  <c r="M309" i="17"/>
  <c r="M120" i="17"/>
  <c r="M136" i="17"/>
  <c r="M152" i="17"/>
  <c r="M184" i="17"/>
  <c r="M216" i="17"/>
  <c r="M248" i="17"/>
  <c r="M280" i="17"/>
  <c r="M312" i="17"/>
  <c r="N344" i="17"/>
  <c r="N376" i="17"/>
  <c r="N408" i="17"/>
  <c r="M338" i="17"/>
  <c r="M370" i="17"/>
  <c r="M402" i="17"/>
  <c r="M434" i="17"/>
  <c r="M466" i="17"/>
  <c r="M498" i="17"/>
  <c r="N428" i="17"/>
  <c r="N460" i="17"/>
  <c r="N492" i="17"/>
  <c r="N522" i="17"/>
  <c r="M564" i="17"/>
  <c r="N537" i="17"/>
  <c r="N544" i="17"/>
  <c r="N576" i="17"/>
  <c r="M608" i="17"/>
  <c r="M605" i="17"/>
  <c r="M156" i="17"/>
  <c r="M164" i="17"/>
  <c r="M172" i="17"/>
  <c r="M180" i="17"/>
  <c r="M188" i="17"/>
  <c r="M196" i="17"/>
  <c r="M204" i="17"/>
  <c r="M212" i="17"/>
  <c r="M220" i="17"/>
  <c r="M228" i="17"/>
  <c r="M236" i="17"/>
  <c r="M244" i="17"/>
  <c r="M252" i="17"/>
  <c r="M260" i="17"/>
  <c r="M268" i="17"/>
  <c r="M276" i="17"/>
  <c r="M284" i="17"/>
  <c r="M292" i="17"/>
  <c r="M300" i="17"/>
  <c r="M308" i="17"/>
  <c r="N316" i="17"/>
  <c r="N324" i="17"/>
  <c r="N332" i="17"/>
  <c r="N340" i="17"/>
  <c r="N348" i="17"/>
  <c r="N356" i="17"/>
  <c r="N364" i="17"/>
  <c r="N372" i="17"/>
  <c r="N380" i="17"/>
  <c r="N388" i="17"/>
  <c r="N396" i="17"/>
  <c r="N404" i="17"/>
  <c r="N412" i="17"/>
  <c r="M318" i="17"/>
  <c r="M326" i="17"/>
  <c r="M334" i="17"/>
  <c r="M342" i="17"/>
  <c r="M350" i="17"/>
  <c r="M358" i="17"/>
  <c r="M366" i="17"/>
  <c r="M374" i="17"/>
  <c r="M382" i="17"/>
  <c r="M390" i="17"/>
  <c r="M398" i="17"/>
  <c r="M406" i="17"/>
  <c r="M414" i="17"/>
  <c r="M422" i="17"/>
  <c r="M430" i="17"/>
  <c r="M438" i="17"/>
  <c r="M446" i="17"/>
  <c r="M454" i="17"/>
  <c r="M462" i="17"/>
  <c r="M470" i="17"/>
  <c r="M478" i="17"/>
  <c r="M486" i="17"/>
  <c r="M494" i="17"/>
  <c r="M502" i="17"/>
  <c r="M510" i="17"/>
  <c r="N519" i="17"/>
  <c r="N424" i="17"/>
  <c r="N432" i="17"/>
  <c r="N440" i="17"/>
  <c r="N448" i="17"/>
  <c r="N456" i="17"/>
  <c r="N464" i="17"/>
  <c r="N472" i="17"/>
  <c r="N480" i="17"/>
  <c r="N488" i="17"/>
  <c r="N496" i="17"/>
  <c r="N504" i="17"/>
  <c r="N512" i="17"/>
  <c r="N518" i="17"/>
  <c r="N526" i="17"/>
  <c r="N534" i="17"/>
  <c r="N542" i="17"/>
  <c r="M556" i="17"/>
  <c r="M572" i="17"/>
  <c r="M588" i="17"/>
  <c r="N525" i="17"/>
  <c r="N533" i="17"/>
  <c r="N541" i="17"/>
  <c r="N555" i="17"/>
  <c r="N571" i="17"/>
  <c r="N587" i="17"/>
  <c r="N548" i="17"/>
  <c r="N556" i="17"/>
  <c r="N564" i="17"/>
  <c r="N572" i="17"/>
  <c r="N580" i="17"/>
  <c r="N588" i="17"/>
  <c r="M596" i="17"/>
  <c r="M604" i="17"/>
  <c r="M612" i="17"/>
  <c r="M601" i="17"/>
  <c r="M609" i="17"/>
  <c r="Y58" i="17"/>
  <c r="X365" i="17" l="1"/>
  <c r="X339" i="17"/>
  <c r="Y160" i="17"/>
  <c r="F627" i="17"/>
  <c r="X305" i="17"/>
  <c r="E627" i="17"/>
  <c r="N627" i="17"/>
  <c r="M627" i="17"/>
  <c r="J627" i="17"/>
  <c r="D627" i="17"/>
  <c r="L627" i="17"/>
  <c r="K627" i="17"/>
  <c r="I627" i="17"/>
  <c r="P627" i="17"/>
  <c r="O627" i="17"/>
  <c r="C627" i="17"/>
  <c r="G627" i="17"/>
  <c r="R592" i="17"/>
  <c r="S592" i="17" s="1"/>
  <c r="H624" i="17"/>
  <c r="G624" i="17"/>
  <c r="R628" i="17"/>
  <c r="S628" i="17" s="1"/>
  <c r="M625" i="17"/>
  <c r="H625" i="17"/>
  <c r="G625" i="17"/>
  <c r="Q628" i="17"/>
  <c r="D637" i="17" s="1"/>
  <c r="R609" i="17"/>
  <c r="S609" i="17" s="1"/>
  <c r="Q577" i="17"/>
  <c r="U577" i="17" s="1"/>
  <c r="Q545" i="17"/>
  <c r="U545" i="17" s="1"/>
  <c r="R539" i="17"/>
  <c r="S539" i="17" s="1"/>
  <c r="R567" i="17"/>
  <c r="S567" i="17" s="1"/>
  <c r="Q523" i="17"/>
  <c r="U523" i="17" s="1"/>
  <c r="R492" i="17"/>
  <c r="S492" i="17" s="1"/>
  <c r="R460" i="17"/>
  <c r="S460" i="17" s="1"/>
  <c r="R428" i="17"/>
  <c r="S428" i="17" s="1"/>
  <c r="R499" i="17"/>
  <c r="S499" i="17" s="1"/>
  <c r="R467" i="17"/>
  <c r="S467" i="17" s="1"/>
  <c r="R435" i="17"/>
  <c r="S435" i="17" s="1"/>
  <c r="R403" i="17"/>
  <c r="S403" i="17" s="1"/>
  <c r="R371" i="17"/>
  <c r="S371" i="17" s="1"/>
  <c r="R339" i="17"/>
  <c r="S339" i="17" s="1"/>
  <c r="Q409" i="17"/>
  <c r="U409" i="17" s="1"/>
  <c r="Q606" i="17"/>
  <c r="U606" i="17" s="1"/>
  <c r="R574" i="17"/>
  <c r="S574" i="17" s="1"/>
  <c r="Q592" i="17"/>
  <c r="U592" i="17" s="1"/>
  <c r="Q536" i="17"/>
  <c r="U536" i="17" s="1"/>
  <c r="R561" i="17"/>
  <c r="S561" i="17" s="1"/>
  <c r="R520" i="17"/>
  <c r="S520" i="17" s="1"/>
  <c r="Q489" i="17"/>
  <c r="U489" i="17" s="1"/>
  <c r="Q457" i="17"/>
  <c r="U457" i="17" s="1"/>
  <c r="Q425" i="17"/>
  <c r="U425" i="17" s="1"/>
  <c r="Q496" i="17"/>
  <c r="U496" i="17" s="1"/>
  <c r="Q464" i="17"/>
  <c r="U464" i="17" s="1"/>
  <c r="Q432" i="17"/>
  <c r="U432" i="17" s="1"/>
  <c r="Q400" i="17"/>
  <c r="U400" i="17" s="1"/>
  <c r="Q368" i="17"/>
  <c r="U368" i="17" s="1"/>
  <c r="Q336" i="17"/>
  <c r="U336" i="17" s="1"/>
  <c r="R390" i="17"/>
  <c r="S390" i="17" s="1"/>
  <c r="R372" i="17"/>
  <c r="S372" i="17" s="1"/>
  <c r="R356" i="17"/>
  <c r="S356" i="17" s="1"/>
  <c r="R340" i="17"/>
  <c r="S340" i="17" s="1"/>
  <c r="R324" i="17"/>
  <c r="S324" i="17" s="1"/>
  <c r="Q308" i="17"/>
  <c r="U308" i="17" s="1"/>
  <c r="Q292" i="17"/>
  <c r="U292" i="17" s="1"/>
  <c r="Q276" i="17"/>
  <c r="U276" i="17" s="1"/>
  <c r="Q260" i="17"/>
  <c r="U260" i="17" s="1"/>
  <c r="Q244" i="17"/>
  <c r="U244" i="17" s="1"/>
  <c r="Q228" i="17"/>
  <c r="U228" i="17" s="1"/>
  <c r="Q212" i="17"/>
  <c r="U212" i="17" s="1"/>
  <c r="Q196" i="17"/>
  <c r="U196" i="17" s="1"/>
  <c r="Q180" i="17"/>
  <c r="U180" i="17" s="1"/>
  <c r="Q164" i="17"/>
  <c r="U164" i="17" s="1"/>
  <c r="Q148" i="17"/>
  <c r="U148" i="17" s="1"/>
  <c r="Q132" i="17"/>
  <c r="U132" i="17" s="1"/>
  <c r="Q116" i="17"/>
  <c r="U116" i="17" s="1"/>
  <c r="Q305" i="17"/>
  <c r="U305" i="17" s="1"/>
  <c r="Q289" i="17"/>
  <c r="U289" i="17" s="1"/>
  <c r="Q273" i="17"/>
  <c r="U273" i="17" s="1"/>
  <c r="Q257" i="17"/>
  <c r="U257" i="17" s="1"/>
  <c r="Q241" i="17"/>
  <c r="U241" i="17" s="1"/>
  <c r="Q225" i="17"/>
  <c r="U225" i="17" s="1"/>
  <c r="Q209" i="17"/>
  <c r="U209" i="17" s="1"/>
  <c r="Q193" i="17"/>
  <c r="U193" i="17" s="1"/>
  <c r="Q177" i="17"/>
  <c r="U177" i="17" s="1"/>
  <c r="Q161" i="17"/>
  <c r="U161" i="17" s="1"/>
  <c r="Q145" i="17"/>
  <c r="U145" i="17" s="1"/>
  <c r="Q129" i="17"/>
  <c r="U129" i="17" s="1"/>
  <c r="Q318" i="17"/>
  <c r="U318" i="17" s="1"/>
  <c r="Q397" i="17"/>
  <c r="U397" i="17" s="1"/>
  <c r="Q381" i="17"/>
  <c r="U381" i="17" s="1"/>
  <c r="Q365" i="17"/>
  <c r="U365" i="17" s="1"/>
  <c r="Q349" i="17"/>
  <c r="U349" i="17" s="1"/>
  <c r="Q333" i="17"/>
  <c r="U333" i="17" s="1"/>
  <c r="Q317" i="17"/>
  <c r="U317" i="17" s="1"/>
  <c r="R301" i="17"/>
  <c r="S301" i="17" s="1"/>
  <c r="R285" i="17"/>
  <c r="S285" i="17" s="1"/>
  <c r="R269" i="17"/>
  <c r="S269" i="17" s="1"/>
  <c r="R253" i="17"/>
  <c r="S253" i="17" s="1"/>
  <c r="R237" i="17"/>
  <c r="S237" i="17" s="1"/>
  <c r="R221" i="17"/>
  <c r="S221" i="17" s="1"/>
  <c r="R205" i="17"/>
  <c r="S205" i="17" s="1"/>
  <c r="R189" i="17"/>
  <c r="S189" i="17" s="1"/>
  <c r="R173" i="17"/>
  <c r="S173" i="17" s="1"/>
  <c r="R157" i="17"/>
  <c r="S157" i="17" s="1"/>
  <c r="R141" i="17"/>
  <c r="S141" i="17" s="1"/>
  <c r="R125" i="17"/>
  <c r="S125" i="17" s="1"/>
  <c r="R314" i="17"/>
  <c r="S314" i="17" s="1"/>
  <c r="R298" i="17"/>
  <c r="S298" i="17" s="1"/>
  <c r="R282" i="17"/>
  <c r="S282" i="17" s="1"/>
  <c r="R266" i="17"/>
  <c r="S266" i="17" s="1"/>
  <c r="R250" i="17"/>
  <c r="S250" i="17" s="1"/>
  <c r="R234" i="17"/>
  <c r="S234" i="17" s="1"/>
  <c r="R218" i="17"/>
  <c r="S218" i="17" s="1"/>
  <c r="R202" i="17"/>
  <c r="S202" i="17" s="1"/>
  <c r="R186" i="17"/>
  <c r="S186" i="17" s="1"/>
  <c r="R170" i="17"/>
  <c r="S170" i="17" s="1"/>
  <c r="R154" i="17"/>
  <c r="S154" i="17" s="1"/>
  <c r="R138" i="17"/>
  <c r="S138" i="17" s="1"/>
  <c r="R122" i="17"/>
  <c r="S122" i="17" s="1"/>
  <c r="Q121" i="17"/>
  <c r="U121" i="17" s="1"/>
  <c r="Q13" i="17"/>
  <c r="U13" i="17" s="1"/>
  <c r="Q29" i="17"/>
  <c r="U29" i="17" s="1"/>
  <c r="Q45" i="17"/>
  <c r="U45" i="17" s="1"/>
  <c r="Q61" i="17"/>
  <c r="U61" i="17" s="1"/>
  <c r="Q77" i="17"/>
  <c r="U77" i="17" s="1"/>
  <c r="Q93" i="17"/>
  <c r="U93" i="17" s="1"/>
  <c r="Q109" i="17"/>
  <c r="U109" i="17" s="1"/>
  <c r="R23" i="17"/>
  <c r="S23" i="17" s="1"/>
  <c r="R31" i="17"/>
  <c r="S31" i="17" s="1"/>
  <c r="R39" i="17"/>
  <c r="S39" i="17" s="1"/>
  <c r="R47" i="17"/>
  <c r="S47" i="17" s="1"/>
  <c r="R55" i="17"/>
  <c r="S55" i="17" s="1"/>
  <c r="R63" i="17"/>
  <c r="S63" i="17" s="1"/>
  <c r="R71" i="17"/>
  <c r="S71" i="17" s="1"/>
  <c r="R79" i="17"/>
  <c r="S79" i="17" s="1"/>
  <c r="R87" i="17"/>
  <c r="S87" i="17" s="1"/>
  <c r="R95" i="17"/>
  <c r="S95" i="17" s="1"/>
  <c r="R103" i="17"/>
  <c r="S103" i="17" s="1"/>
  <c r="R16" i="17"/>
  <c r="S16" i="17" s="1"/>
  <c r="R32" i="17"/>
  <c r="S32" i="17" s="1"/>
  <c r="R48" i="17"/>
  <c r="S48" i="17" s="1"/>
  <c r="R64" i="17"/>
  <c r="S64" i="17" s="1"/>
  <c r="R80" i="17"/>
  <c r="S80" i="17" s="1"/>
  <c r="R96" i="17"/>
  <c r="S96" i="17" s="1"/>
  <c r="Q622" i="17"/>
  <c r="D632" i="17" s="1"/>
  <c r="R392" i="17"/>
  <c r="S392" i="17" s="1"/>
  <c r="R410" i="17"/>
  <c r="S410" i="17" s="1"/>
  <c r="Q338" i="17"/>
  <c r="U338" i="17" s="1"/>
  <c r="Q354" i="17"/>
  <c r="U354" i="17" s="1"/>
  <c r="Q370" i="17"/>
  <c r="U370" i="17" s="1"/>
  <c r="Q386" i="17"/>
  <c r="U386" i="17" s="1"/>
  <c r="Q402" i="17"/>
  <c r="U402" i="17" s="1"/>
  <c r="Q418" i="17"/>
  <c r="U418" i="17" s="1"/>
  <c r="Q434" i="17"/>
  <c r="U434" i="17" s="1"/>
  <c r="Q450" i="17"/>
  <c r="U450" i="17" s="1"/>
  <c r="Q466" i="17"/>
  <c r="U466" i="17" s="1"/>
  <c r="Q482" i="17"/>
  <c r="U482" i="17" s="1"/>
  <c r="Q498" i="17"/>
  <c r="U498" i="17" s="1"/>
  <c r="Q514" i="17"/>
  <c r="U514" i="17" s="1"/>
  <c r="Q427" i="17"/>
  <c r="U427" i="17" s="1"/>
  <c r="Q443" i="17"/>
  <c r="U443" i="17" s="1"/>
  <c r="Q459" i="17"/>
  <c r="U459" i="17" s="1"/>
  <c r="Q475" i="17"/>
  <c r="U475" i="17" s="1"/>
  <c r="Q491" i="17"/>
  <c r="U491" i="17" s="1"/>
  <c r="Q507" i="17"/>
  <c r="U507" i="17" s="1"/>
  <c r="R522" i="17"/>
  <c r="S522" i="17" s="1"/>
  <c r="R538" i="17"/>
  <c r="S538" i="17" s="1"/>
  <c r="R565" i="17"/>
  <c r="S565" i="17" s="1"/>
  <c r="Q522" i="17"/>
  <c r="U522" i="17" s="1"/>
  <c r="Q538" i="17"/>
  <c r="U538" i="17" s="1"/>
  <c r="Q564" i="17"/>
  <c r="U564" i="17" s="1"/>
  <c r="R544" i="17"/>
  <c r="S544" i="17" s="1"/>
  <c r="R560" i="17"/>
  <c r="S560" i="17" s="1"/>
  <c r="R576" i="17"/>
  <c r="S576" i="17" s="1"/>
  <c r="Q608" i="17"/>
  <c r="U608" i="17" s="1"/>
  <c r="Q605" i="17"/>
  <c r="U605" i="17" s="1"/>
  <c r="Q411" i="17"/>
  <c r="U411" i="17" s="1"/>
  <c r="R325" i="17"/>
  <c r="S325" i="17" s="1"/>
  <c r="R341" i="17"/>
  <c r="S341" i="17" s="1"/>
  <c r="R357" i="17"/>
  <c r="S357" i="17" s="1"/>
  <c r="R373" i="17"/>
  <c r="S373" i="17" s="1"/>
  <c r="R389" i="17"/>
  <c r="S389" i="17" s="1"/>
  <c r="R405" i="17"/>
  <c r="S405" i="17" s="1"/>
  <c r="R421" i="17"/>
  <c r="S421" i="17" s="1"/>
  <c r="R437" i="17"/>
  <c r="S437" i="17" s="1"/>
  <c r="R453" i="17"/>
  <c r="S453" i="17" s="1"/>
  <c r="R469" i="17"/>
  <c r="S469" i="17" s="1"/>
  <c r="R485" i="17"/>
  <c r="S485" i="17" s="1"/>
  <c r="R501" i="17"/>
  <c r="S501" i="17" s="1"/>
  <c r="R517" i="17"/>
  <c r="S517" i="17" s="1"/>
  <c r="R430" i="17"/>
  <c r="S430" i="17" s="1"/>
  <c r="R446" i="17"/>
  <c r="S446" i="17" s="1"/>
  <c r="R462" i="17"/>
  <c r="S462" i="17" s="1"/>
  <c r="R478" i="17"/>
  <c r="S478" i="17" s="1"/>
  <c r="R494" i="17"/>
  <c r="S494" i="17" s="1"/>
  <c r="R510" i="17"/>
  <c r="S510" i="17" s="1"/>
  <c r="Q525" i="17"/>
  <c r="U525" i="17" s="1"/>
  <c r="Q541" i="17"/>
  <c r="U541" i="17" s="1"/>
  <c r="R571" i="17"/>
  <c r="S571" i="17" s="1"/>
  <c r="R601" i="17"/>
  <c r="S601" i="17" s="1"/>
  <c r="Q569" i="17"/>
  <c r="U569" i="17" s="1"/>
  <c r="Q582" i="17"/>
  <c r="U582" i="17" s="1"/>
  <c r="R531" i="17"/>
  <c r="S531" i="17" s="1"/>
  <c r="R551" i="17"/>
  <c r="S551" i="17" s="1"/>
  <c r="R516" i="17"/>
  <c r="S516" i="17" s="1"/>
  <c r="R484" i="17"/>
  <c r="S484" i="17" s="1"/>
  <c r="R452" i="17"/>
  <c r="S452" i="17" s="1"/>
  <c r="R420" i="17"/>
  <c r="S420" i="17" s="1"/>
  <c r="R491" i="17"/>
  <c r="S491" i="17" s="1"/>
  <c r="R459" i="17"/>
  <c r="S459" i="17" s="1"/>
  <c r="R427" i="17"/>
  <c r="S427" i="17" s="1"/>
  <c r="R395" i="17"/>
  <c r="S395" i="17" s="1"/>
  <c r="R363" i="17"/>
  <c r="S363" i="17" s="1"/>
  <c r="R331" i="17"/>
  <c r="S331" i="17" s="1"/>
  <c r="Q611" i="17"/>
  <c r="U611" i="17" s="1"/>
  <c r="Q598" i="17"/>
  <c r="U598" i="17" s="1"/>
  <c r="R566" i="17"/>
  <c r="S566" i="17" s="1"/>
  <c r="Q576" i="17"/>
  <c r="U576" i="17" s="1"/>
  <c r="Q528" i="17"/>
  <c r="U528" i="17" s="1"/>
  <c r="R545" i="17"/>
  <c r="S545" i="17" s="1"/>
  <c r="Q513" i="17"/>
  <c r="U513" i="17" s="1"/>
  <c r="Q481" i="17"/>
  <c r="U481" i="17" s="1"/>
  <c r="Q449" i="17"/>
  <c r="U449" i="17" s="1"/>
  <c r="Q417" i="17"/>
  <c r="U417" i="17" s="1"/>
  <c r="Q488" i="17"/>
  <c r="U488" i="17" s="1"/>
  <c r="Q456" i="17"/>
  <c r="U456" i="17" s="1"/>
  <c r="Q424" i="17"/>
  <c r="U424" i="17" s="1"/>
  <c r="Q392" i="17"/>
  <c r="U392" i="17" s="1"/>
  <c r="Q360" i="17"/>
  <c r="U360" i="17" s="1"/>
  <c r="Q320" i="17"/>
  <c r="U320" i="17" s="1"/>
  <c r="R384" i="17"/>
  <c r="S384" i="17" s="1"/>
  <c r="R368" i="17"/>
  <c r="S368" i="17" s="1"/>
  <c r="R352" i="17"/>
  <c r="S352" i="17" s="1"/>
  <c r="R336" i="17"/>
  <c r="S336" i="17" s="1"/>
  <c r="R320" i="17"/>
  <c r="S320" i="17" s="1"/>
  <c r="Q304" i="17"/>
  <c r="U304" i="17" s="1"/>
  <c r="Q288" i="17"/>
  <c r="U288" i="17" s="1"/>
  <c r="Q272" i="17"/>
  <c r="U272" i="17" s="1"/>
  <c r="Q256" i="17"/>
  <c r="U256" i="17" s="1"/>
  <c r="Q240" i="17"/>
  <c r="U240" i="17" s="1"/>
  <c r="Q224" i="17"/>
  <c r="U224" i="17" s="1"/>
  <c r="Q208" i="17"/>
  <c r="U208" i="17" s="1"/>
  <c r="Q192" i="17"/>
  <c r="U192" i="17" s="1"/>
  <c r="Q176" i="17"/>
  <c r="U176" i="17" s="1"/>
  <c r="Q160" i="17"/>
  <c r="U160" i="17" s="1"/>
  <c r="Q144" i="17"/>
  <c r="U144" i="17" s="1"/>
  <c r="Q128" i="17"/>
  <c r="U128" i="17" s="1"/>
  <c r="Q112" i="17"/>
  <c r="U112" i="17" s="1"/>
  <c r="Q301" i="17"/>
  <c r="U301" i="17" s="1"/>
  <c r="Q285" i="17"/>
  <c r="U285" i="17" s="1"/>
  <c r="Q269" i="17"/>
  <c r="U269" i="17" s="1"/>
  <c r="Q253" i="17"/>
  <c r="U253" i="17" s="1"/>
  <c r="Q237" i="17"/>
  <c r="U237" i="17" s="1"/>
  <c r="Q221" i="17"/>
  <c r="U221" i="17" s="1"/>
  <c r="Q205" i="17"/>
  <c r="U205" i="17" s="1"/>
  <c r="Q189" i="17"/>
  <c r="U189" i="17" s="1"/>
  <c r="Q173" i="17"/>
  <c r="U173" i="17" s="1"/>
  <c r="Q157" i="17"/>
  <c r="U157" i="17" s="1"/>
  <c r="Q141" i="17"/>
  <c r="U141" i="17" s="1"/>
  <c r="Q125" i="17"/>
  <c r="U125" i="17" s="1"/>
  <c r="R412" i="17"/>
  <c r="S412" i="17" s="1"/>
  <c r="Q393" i="17"/>
  <c r="U393" i="17" s="1"/>
  <c r="Q377" i="17"/>
  <c r="U377" i="17" s="1"/>
  <c r="Q361" i="17"/>
  <c r="U361" i="17" s="1"/>
  <c r="Q345" i="17"/>
  <c r="U345" i="17" s="1"/>
  <c r="Q329" i="17"/>
  <c r="U329" i="17" s="1"/>
  <c r="R313" i="17"/>
  <c r="S313" i="17" s="1"/>
  <c r="R297" i="17"/>
  <c r="S297" i="17" s="1"/>
  <c r="R281" i="17"/>
  <c r="S281" i="17" s="1"/>
  <c r="R265" i="17"/>
  <c r="S265" i="17" s="1"/>
  <c r="R249" i="17"/>
  <c r="S249" i="17" s="1"/>
  <c r="R233" i="17"/>
  <c r="S233" i="17" s="1"/>
  <c r="R217" i="17"/>
  <c r="S217" i="17" s="1"/>
  <c r="R201" i="17"/>
  <c r="S201" i="17" s="1"/>
  <c r="R185" i="17"/>
  <c r="S185" i="17" s="1"/>
  <c r="R169" i="17"/>
  <c r="S169" i="17" s="1"/>
  <c r="R153" i="17"/>
  <c r="S153" i="17" s="1"/>
  <c r="R137" i="17"/>
  <c r="S137" i="17" s="1"/>
  <c r="R121" i="17"/>
  <c r="S121" i="17" s="1"/>
  <c r="R310" i="17"/>
  <c r="S310" i="17" s="1"/>
  <c r="R294" i="17"/>
  <c r="S294" i="17" s="1"/>
  <c r="R278" i="17"/>
  <c r="S278" i="17" s="1"/>
  <c r="R262" i="17"/>
  <c r="S262" i="17" s="1"/>
  <c r="R246" i="17"/>
  <c r="S246" i="17" s="1"/>
  <c r="R230" i="17"/>
  <c r="S230" i="17" s="1"/>
  <c r="R214" i="17"/>
  <c r="S214" i="17" s="1"/>
  <c r="R198" i="17"/>
  <c r="S198" i="17" s="1"/>
  <c r="R182" i="17"/>
  <c r="S182" i="17" s="1"/>
  <c r="R166" i="17"/>
  <c r="S166" i="17" s="1"/>
  <c r="R150" i="17"/>
  <c r="S150" i="17" s="1"/>
  <c r="R134" i="17"/>
  <c r="S134" i="17" s="1"/>
  <c r="R118" i="17"/>
  <c r="S118" i="17" s="1"/>
  <c r="R114" i="17"/>
  <c r="S114" i="17" s="1"/>
  <c r="Q17" i="17"/>
  <c r="U17" i="17" s="1"/>
  <c r="Q33" i="17"/>
  <c r="U33" i="17" s="1"/>
  <c r="Q49" i="17"/>
  <c r="U49" i="17" s="1"/>
  <c r="Q65" i="17"/>
  <c r="U65" i="17" s="1"/>
  <c r="Q81" i="17"/>
  <c r="U81" i="17" s="1"/>
  <c r="Q97" i="17"/>
  <c r="U97" i="17" s="1"/>
  <c r="R15" i="17"/>
  <c r="S15" i="17" s="1"/>
  <c r="R25" i="17"/>
  <c r="S25" i="17" s="1"/>
  <c r="R33" i="17"/>
  <c r="S33" i="17" s="1"/>
  <c r="R41" i="17"/>
  <c r="S41" i="17" s="1"/>
  <c r="R49" i="17"/>
  <c r="S49" i="17" s="1"/>
  <c r="R57" i="17"/>
  <c r="S57" i="17" s="1"/>
  <c r="R65" i="17"/>
  <c r="S65" i="17" s="1"/>
  <c r="R73" i="17"/>
  <c r="S73" i="17" s="1"/>
  <c r="R81" i="17"/>
  <c r="S81" i="17" s="1"/>
  <c r="R89" i="17"/>
  <c r="S89" i="17" s="1"/>
  <c r="R97" i="17"/>
  <c r="S97" i="17" s="1"/>
  <c r="R105" i="17"/>
  <c r="S105" i="17" s="1"/>
  <c r="R20" i="17"/>
  <c r="S20" i="17" s="1"/>
  <c r="R36" i="17"/>
  <c r="S36" i="17" s="1"/>
  <c r="R52" i="17"/>
  <c r="S52" i="17" s="1"/>
  <c r="R68" i="17"/>
  <c r="S68" i="17" s="1"/>
  <c r="R84" i="17"/>
  <c r="S84" i="17" s="1"/>
  <c r="R100" i="17"/>
  <c r="S100" i="17" s="1"/>
  <c r="R626" i="17"/>
  <c r="S626" i="17" s="1"/>
  <c r="R396" i="17"/>
  <c r="S396" i="17" s="1"/>
  <c r="Q316" i="17"/>
  <c r="U316" i="17" s="1"/>
  <c r="Q342" i="17"/>
  <c r="U342" i="17" s="1"/>
  <c r="Q358" i="17"/>
  <c r="U358" i="17" s="1"/>
  <c r="Q374" i="17"/>
  <c r="U374" i="17" s="1"/>
  <c r="Q390" i="17"/>
  <c r="U390" i="17" s="1"/>
  <c r="Q406" i="17"/>
  <c r="U406" i="17" s="1"/>
  <c r="Q422" i="17"/>
  <c r="U422" i="17" s="1"/>
  <c r="Q438" i="17"/>
  <c r="U438" i="17" s="1"/>
  <c r="Q454" i="17"/>
  <c r="U454" i="17" s="1"/>
  <c r="Q470" i="17"/>
  <c r="U470" i="17" s="1"/>
  <c r="Q486" i="17"/>
  <c r="U486" i="17" s="1"/>
  <c r="Q502" i="17"/>
  <c r="U502" i="17" s="1"/>
  <c r="Q518" i="17"/>
  <c r="U518" i="17" s="1"/>
  <c r="Q431" i="17"/>
  <c r="U431" i="17" s="1"/>
  <c r="Q447" i="17"/>
  <c r="U447" i="17" s="1"/>
  <c r="Q463" i="17"/>
  <c r="U463" i="17" s="1"/>
  <c r="Q479" i="17"/>
  <c r="U479" i="17" s="1"/>
  <c r="Q495" i="17"/>
  <c r="U495" i="17" s="1"/>
  <c r="Q511" i="17"/>
  <c r="U511" i="17" s="1"/>
  <c r="R526" i="17"/>
  <c r="S526" i="17" s="1"/>
  <c r="R542" i="17"/>
  <c r="S542" i="17" s="1"/>
  <c r="R573" i="17"/>
  <c r="S573" i="17" s="1"/>
  <c r="Q526" i="17"/>
  <c r="U526" i="17" s="1"/>
  <c r="Q542" i="17"/>
  <c r="U542" i="17" s="1"/>
  <c r="Q572" i="17"/>
  <c r="U572" i="17" s="1"/>
  <c r="R548" i="17"/>
  <c r="S548" i="17" s="1"/>
  <c r="R564" i="17"/>
  <c r="S564" i="17" s="1"/>
  <c r="R580" i="17"/>
  <c r="S580" i="17" s="1"/>
  <c r="Q596" i="17"/>
  <c r="U596" i="17" s="1"/>
  <c r="Q612" i="17"/>
  <c r="U612" i="17" s="1"/>
  <c r="Q609" i="17"/>
  <c r="U609" i="17" s="1"/>
  <c r="Q415" i="17"/>
  <c r="U415" i="17" s="1"/>
  <c r="R329" i="17"/>
  <c r="S329" i="17" s="1"/>
  <c r="R345" i="17"/>
  <c r="S345" i="17" s="1"/>
  <c r="R361" i="17"/>
  <c r="S361" i="17" s="1"/>
  <c r="R377" i="17"/>
  <c r="S377" i="17" s="1"/>
  <c r="R393" i="17"/>
  <c r="S393" i="17" s="1"/>
  <c r="R409" i="17"/>
  <c r="S409" i="17" s="1"/>
  <c r="R425" i="17"/>
  <c r="S425" i="17" s="1"/>
  <c r="R441" i="17"/>
  <c r="S441" i="17" s="1"/>
  <c r="R457" i="17"/>
  <c r="S457" i="17" s="1"/>
  <c r="R473" i="17"/>
  <c r="S473" i="17" s="1"/>
  <c r="R489" i="17"/>
  <c r="S489" i="17" s="1"/>
  <c r="R505" i="17"/>
  <c r="S505" i="17" s="1"/>
  <c r="R418" i="17"/>
  <c r="S418" i="17" s="1"/>
  <c r="R434" i="17"/>
  <c r="S434" i="17" s="1"/>
  <c r="R450" i="17"/>
  <c r="S450" i="17" s="1"/>
  <c r="R466" i="17"/>
  <c r="S466" i="17" s="1"/>
  <c r="R482" i="17"/>
  <c r="S482" i="17" s="1"/>
  <c r="R498" i="17"/>
  <c r="S498" i="17" s="1"/>
  <c r="R514" i="17"/>
  <c r="S514" i="17" s="1"/>
  <c r="Q529" i="17"/>
  <c r="U529" i="17" s="1"/>
  <c r="R547" i="17"/>
  <c r="S547" i="17" s="1"/>
  <c r="R579" i="17"/>
  <c r="S579" i="17" s="1"/>
  <c r="R521" i="17"/>
  <c r="S521" i="17" s="1"/>
  <c r="R537" i="17"/>
  <c r="S537" i="17" s="1"/>
  <c r="Q562" i="17"/>
  <c r="U562" i="17" s="1"/>
  <c r="Q594" i="17"/>
  <c r="U594" i="17" s="1"/>
  <c r="Q559" i="17"/>
  <c r="U559" i="17" s="1"/>
  <c r="Q575" i="17"/>
  <c r="U575" i="17" s="1"/>
  <c r="Q591" i="17"/>
  <c r="U591" i="17" s="1"/>
  <c r="R607" i="17"/>
  <c r="S607" i="17" s="1"/>
  <c r="R604" i="17"/>
  <c r="S604" i="17" s="1"/>
  <c r="R613" i="17"/>
  <c r="S613" i="17" s="1"/>
  <c r="Q549" i="17"/>
  <c r="U549" i="17" s="1"/>
  <c r="R575" i="17"/>
  <c r="S575" i="17" s="1"/>
  <c r="R496" i="17"/>
  <c r="S496" i="17" s="1"/>
  <c r="R432" i="17"/>
  <c r="S432" i="17" s="1"/>
  <c r="R471" i="17"/>
  <c r="S471" i="17" s="1"/>
  <c r="R407" i="17"/>
  <c r="S407" i="17" s="1"/>
  <c r="R343" i="17"/>
  <c r="S343" i="17" s="1"/>
  <c r="Q610" i="17"/>
  <c r="U610" i="17" s="1"/>
  <c r="R546" i="17"/>
  <c r="S546" i="17" s="1"/>
  <c r="R569" i="17"/>
  <c r="S569" i="17" s="1"/>
  <c r="Q493" i="17"/>
  <c r="U493" i="17" s="1"/>
  <c r="Q429" i="17"/>
  <c r="U429" i="17" s="1"/>
  <c r="Q468" i="17"/>
  <c r="U468" i="17" s="1"/>
  <c r="Q404" i="17"/>
  <c r="U404" i="17" s="1"/>
  <c r="Q340" i="17"/>
  <c r="U340" i="17" s="1"/>
  <c r="R374" i="17"/>
  <c r="S374" i="17" s="1"/>
  <c r="R342" i="17"/>
  <c r="S342" i="17" s="1"/>
  <c r="Q310" i="17"/>
  <c r="U310" i="17" s="1"/>
  <c r="Q278" i="17"/>
  <c r="U278" i="17" s="1"/>
  <c r="Q246" i="17"/>
  <c r="U246" i="17" s="1"/>
  <c r="Q214" i="17"/>
  <c r="U214" i="17" s="1"/>
  <c r="Q182" i="17"/>
  <c r="U182" i="17" s="1"/>
  <c r="Q150" i="17"/>
  <c r="U150" i="17" s="1"/>
  <c r="Q118" i="17"/>
  <c r="U118" i="17" s="1"/>
  <c r="Q291" i="17"/>
  <c r="U291" i="17" s="1"/>
  <c r="Q259" i="17"/>
  <c r="U259" i="17" s="1"/>
  <c r="Q227" i="17"/>
  <c r="U227" i="17" s="1"/>
  <c r="Q195" i="17"/>
  <c r="U195" i="17" s="1"/>
  <c r="Q163" i="17"/>
  <c r="U163" i="17" s="1"/>
  <c r="Q131" i="17"/>
  <c r="U131" i="17" s="1"/>
  <c r="Q399" i="17"/>
  <c r="U399" i="17" s="1"/>
  <c r="Q367" i="17"/>
  <c r="U367" i="17" s="1"/>
  <c r="Q335" i="17"/>
  <c r="U335" i="17" s="1"/>
  <c r="R303" i="17"/>
  <c r="S303" i="17" s="1"/>
  <c r="R271" i="17"/>
  <c r="S271" i="17" s="1"/>
  <c r="R239" i="17"/>
  <c r="S239" i="17" s="1"/>
  <c r="R207" i="17"/>
  <c r="S207" i="17" s="1"/>
  <c r="R175" i="17"/>
  <c r="S175" i="17" s="1"/>
  <c r="R143" i="17"/>
  <c r="S143" i="17" s="1"/>
  <c r="R111" i="17"/>
  <c r="S111" i="17" s="1"/>
  <c r="R284" i="17"/>
  <c r="S284" i="17" s="1"/>
  <c r="R252" i="17"/>
  <c r="S252" i="17" s="1"/>
  <c r="R220" i="17"/>
  <c r="S220" i="17" s="1"/>
  <c r="R188" i="17"/>
  <c r="S188" i="17" s="1"/>
  <c r="R156" i="17"/>
  <c r="S156" i="17" s="1"/>
  <c r="R124" i="17"/>
  <c r="S124" i="17" s="1"/>
  <c r="Q18" i="17"/>
  <c r="Q43" i="17"/>
  <c r="U43" i="17" s="1"/>
  <c r="Q75" i="17"/>
  <c r="U75" i="17" s="1"/>
  <c r="Q107" i="17"/>
  <c r="U107" i="17" s="1"/>
  <c r="Q30" i="17"/>
  <c r="U30" i="17" s="1"/>
  <c r="Q46" i="17"/>
  <c r="U46" i="17" s="1"/>
  <c r="Q62" i="17"/>
  <c r="U62" i="17" s="1"/>
  <c r="Q78" i="17"/>
  <c r="U78" i="17" s="1"/>
  <c r="Q94" i="17"/>
  <c r="U94" i="17" s="1"/>
  <c r="R14" i="17"/>
  <c r="S14" i="17" s="1"/>
  <c r="R46" i="17"/>
  <c r="S46" i="17" s="1"/>
  <c r="R78" i="17"/>
  <c r="S78" i="17" s="1"/>
  <c r="R622" i="17"/>
  <c r="S622" i="17" s="1"/>
  <c r="Q557" i="17"/>
  <c r="U557" i="17" s="1"/>
  <c r="R504" i="17"/>
  <c r="S504" i="17" s="1"/>
  <c r="R479" i="17"/>
  <c r="S479" i="17" s="1"/>
  <c r="R351" i="17"/>
  <c r="S351" i="17" s="1"/>
  <c r="R554" i="17"/>
  <c r="S554" i="17" s="1"/>
  <c r="Q501" i="17"/>
  <c r="U501" i="17" s="1"/>
  <c r="Q476" i="17"/>
  <c r="U476" i="17" s="1"/>
  <c r="Q348" i="17"/>
  <c r="U348" i="17" s="1"/>
  <c r="R346" i="17"/>
  <c r="S346" i="17" s="1"/>
  <c r="Q282" i="17"/>
  <c r="U282" i="17" s="1"/>
  <c r="Q218" i="17"/>
  <c r="U218" i="17" s="1"/>
  <c r="Q154" i="17"/>
  <c r="U154" i="17" s="1"/>
  <c r="Q295" i="17"/>
  <c r="U295" i="17" s="1"/>
  <c r="Q231" i="17"/>
  <c r="U231" i="17" s="1"/>
  <c r="Q167" i="17"/>
  <c r="U167" i="17" s="1"/>
  <c r="Q403" i="17"/>
  <c r="U403" i="17" s="1"/>
  <c r="Q339" i="17"/>
  <c r="U339" i="17" s="1"/>
  <c r="R275" i="17"/>
  <c r="S275" i="17" s="1"/>
  <c r="R211" i="17"/>
  <c r="S211" i="17" s="1"/>
  <c r="R147" i="17"/>
  <c r="S147" i="17" s="1"/>
  <c r="R288" i="17"/>
  <c r="S288" i="17" s="1"/>
  <c r="R224" i="17"/>
  <c r="S224" i="17" s="1"/>
  <c r="R160" i="17"/>
  <c r="S160" i="17" s="1"/>
  <c r="Q14" i="17"/>
  <c r="U14" i="17" s="1"/>
  <c r="Q71" i="17"/>
  <c r="U71" i="17" s="1"/>
  <c r="Q28" i="17"/>
  <c r="U28" i="17" s="1"/>
  <c r="Q60" i="17"/>
  <c r="U60" i="17" s="1"/>
  <c r="Q92" i="17"/>
  <c r="U92" i="17" s="1"/>
  <c r="R42" i="17"/>
  <c r="S42" i="17" s="1"/>
  <c r="R106" i="17"/>
  <c r="S106" i="17" s="1"/>
  <c r="R488" i="17"/>
  <c r="S488" i="17" s="1"/>
  <c r="R335" i="17"/>
  <c r="S335" i="17" s="1"/>
  <c r="Q485" i="17"/>
  <c r="U485" i="17" s="1"/>
  <c r="Q328" i="17"/>
  <c r="U328" i="17" s="1"/>
  <c r="Q274" i="17"/>
  <c r="U274" i="17" s="1"/>
  <c r="Q146" i="17"/>
  <c r="U146" i="17" s="1"/>
  <c r="Q223" i="17"/>
  <c r="U223" i="17" s="1"/>
  <c r="Q395" i="17"/>
  <c r="U395" i="17" s="1"/>
  <c r="R267" i="17"/>
  <c r="S267" i="17" s="1"/>
  <c r="R139" i="17"/>
  <c r="S139" i="17" s="1"/>
  <c r="R216" i="17"/>
  <c r="S216" i="17" s="1"/>
  <c r="Q15" i="17"/>
  <c r="U15" i="17" s="1"/>
  <c r="Q32" i="17"/>
  <c r="U32" i="17" s="1"/>
  <c r="Q96" i="17"/>
  <c r="U96" i="17" s="1"/>
  <c r="Q626" i="17"/>
  <c r="D636" i="17" s="1"/>
  <c r="R367" i="17"/>
  <c r="S367" i="17" s="1"/>
  <c r="Q364" i="17"/>
  <c r="U364" i="17" s="1"/>
  <c r="Q162" i="17"/>
  <c r="U162" i="17" s="1"/>
  <c r="R416" i="17"/>
  <c r="S416" i="17" s="1"/>
  <c r="R155" i="17"/>
  <c r="S155" i="17" s="1"/>
  <c r="Q117" i="17"/>
  <c r="Q88" i="17"/>
  <c r="U88" i="17" s="1"/>
  <c r="R431" i="17"/>
  <c r="S431" i="17" s="1"/>
  <c r="Q194" i="17"/>
  <c r="U194" i="17" s="1"/>
  <c r="R187" i="17"/>
  <c r="S187" i="17" s="1"/>
  <c r="Q72" i="17"/>
  <c r="U72" i="17" s="1"/>
  <c r="Q258" i="17"/>
  <c r="U258" i="17" s="1"/>
  <c r="Q40" i="17"/>
  <c r="U40" i="17" s="1"/>
  <c r="Q104" i="17"/>
  <c r="U104" i="17" s="1"/>
  <c r="R533" i="17"/>
  <c r="S533" i="17" s="1"/>
  <c r="Q554" i="17"/>
  <c r="U554" i="17" s="1"/>
  <c r="Q586" i="17"/>
  <c r="U586" i="17" s="1"/>
  <c r="Q555" i="17"/>
  <c r="U555" i="17" s="1"/>
  <c r="Q571" i="17"/>
  <c r="U571" i="17" s="1"/>
  <c r="Q587" i="17"/>
  <c r="U587" i="17" s="1"/>
  <c r="R603" i="17"/>
  <c r="S603" i="17" s="1"/>
  <c r="R600" i="17"/>
  <c r="S600" i="17" s="1"/>
  <c r="Q565" i="17"/>
  <c r="U565" i="17" s="1"/>
  <c r="R527" i="17"/>
  <c r="S527" i="17" s="1"/>
  <c r="R512" i="17"/>
  <c r="S512" i="17" s="1"/>
  <c r="R448" i="17"/>
  <c r="S448" i="17" s="1"/>
  <c r="R487" i="17"/>
  <c r="S487" i="17" s="1"/>
  <c r="R423" i="17"/>
  <c r="S423" i="17" s="1"/>
  <c r="R359" i="17"/>
  <c r="S359" i="17" s="1"/>
  <c r="Q607" i="17"/>
  <c r="U607" i="17" s="1"/>
  <c r="R562" i="17"/>
  <c r="S562" i="17" s="1"/>
  <c r="Q524" i="17"/>
  <c r="U524" i="17" s="1"/>
  <c r="Q509" i="17"/>
  <c r="U509" i="17" s="1"/>
  <c r="Q445" i="17"/>
  <c r="U445" i="17" s="1"/>
  <c r="Q484" i="17"/>
  <c r="U484" i="17" s="1"/>
  <c r="Q420" i="17"/>
  <c r="U420" i="17" s="1"/>
  <c r="Q356" i="17"/>
  <c r="U356" i="17" s="1"/>
  <c r="R382" i="17"/>
  <c r="S382" i="17" s="1"/>
  <c r="R350" i="17"/>
  <c r="S350" i="17" s="1"/>
  <c r="R318" i="17"/>
  <c r="S318" i="17" s="1"/>
  <c r="Q286" i="17"/>
  <c r="U286" i="17" s="1"/>
  <c r="Q254" i="17"/>
  <c r="U254" i="17" s="1"/>
  <c r="Q222" i="17"/>
  <c r="U222" i="17" s="1"/>
  <c r="Q190" i="17"/>
  <c r="U190" i="17" s="1"/>
  <c r="Q158" i="17"/>
  <c r="U158" i="17" s="1"/>
  <c r="Q126" i="17"/>
  <c r="U126" i="17" s="1"/>
  <c r="Q299" i="17"/>
  <c r="U299" i="17" s="1"/>
  <c r="Q267" i="17"/>
  <c r="U267" i="17" s="1"/>
  <c r="Q235" i="17"/>
  <c r="U235" i="17" s="1"/>
  <c r="Q203" i="17"/>
  <c r="U203" i="17" s="1"/>
  <c r="Q171" i="17"/>
  <c r="U171" i="17" s="1"/>
  <c r="Q139" i="17"/>
  <c r="U139" i="17" s="1"/>
  <c r="R408" i="17"/>
  <c r="S408" i="17" s="1"/>
  <c r="Q375" i="17"/>
  <c r="U375" i="17" s="1"/>
  <c r="Q343" i="17"/>
  <c r="U343" i="17" s="1"/>
  <c r="R311" i="17"/>
  <c r="S311" i="17" s="1"/>
  <c r="R279" i="17"/>
  <c r="S279" i="17" s="1"/>
  <c r="R247" i="17"/>
  <c r="S247" i="17" s="1"/>
  <c r="R215" i="17"/>
  <c r="S215" i="17" s="1"/>
  <c r="R183" i="17"/>
  <c r="S183" i="17" s="1"/>
  <c r="R151" i="17"/>
  <c r="S151" i="17" s="1"/>
  <c r="R119" i="17"/>
  <c r="S119" i="17" s="1"/>
  <c r="R292" i="17"/>
  <c r="S292" i="17" s="1"/>
  <c r="R260" i="17"/>
  <c r="S260" i="17" s="1"/>
  <c r="R228" i="17"/>
  <c r="S228" i="17" s="1"/>
  <c r="R196" i="17"/>
  <c r="S196" i="17" s="1"/>
  <c r="R164" i="17"/>
  <c r="S164" i="17" s="1"/>
  <c r="R132" i="17"/>
  <c r="S132" i="17" s="1"/>
  <c r="R112" i="17"/>
  <c r="S112" i="17" s="1"/>
  <c r="Q35" i="17"/>
  <c r="U35" i="17" s="1"/>
  <c r="Q67" i="17"/>
  <c r="U67" i="17" s="1"/>
  <c r="Q99" i="17"/>
  <c r="U99" i="17" s="1"/>
  <c r="Q26" i="17"/>
  <c r="U26" i="17" s="1"/>
  <c r="Q42" i="17"/>
  <c r="U42" i="17" s="1"/>
  <c r="Q58" i="17"/>
  <c r="U58" i="17" s="1"/>
  <c r="Q74" i="17"/>
  <c r="U74" i="17" s="1"/>
  <c r="Q90" i="17"/>
  <c r="U90" i="17" s="1"/>
  <c r="Q106" i="17"/>
  <c r="U106" i="17" s="1"/>
  <c r="R38" i="17"/>
  <c r="S38" i="17" s="1"/>
  <c r="R70" i="17"/>
  <c r="S70" i="17" s="1"/>
  <c r="R102" i="17"/>
  <c r="S102" i="17" s="1"/>
  <c r="Q589" i="17"/>
  <c r="U589" i="17" s="1"/>
  <c r="Q535" i="17"/>
  <c r="U535" i="17" s="1"/>
  <c r="R511" i="17"/>
  <c r="S511" i="17" s="1"/>
  <c r="R383" i="17"/>
  <c r="S383" i="17" s="1"/>
  <c r="R586" i="17"/>
  <c r="S586" i="17" s="1"/>
  <c r="R532" i="17"/>
  <c r="S532" i="17" s="1"/>
  <c r="Q508" i="17"/>
  <c r="U508" i="17" s="1"/>
  <c r="Q380" i="17"/>
  <c r="U380" i="17" s="1"/>
  <c r="R362" i="17"/>
  <c r="S362" i="17" s="1"/>
  <c r="Q298" i="17"/>
  <c r="U298" i="17" s="1"/>
  <c r="Q234" i="17"/>
  <c r="U234" i="17" s="1"/>
  <c r="Q170" i="17"/>
  <c r="U170" i="17" s="1"/>
  <c r="Q311" i="17"/>
  <c r="U311" i="17" s="1"/>
  <c r="Q247" i="17"/>
  <c r="U247" i="17" s="1"/>
  <c r="Q183" i="17"/>
  <c r="U183" i="17" s="1"/>
  <c r="Q330" i="17"/>
  <c r="Q355" i="17"/>
  <c r="U355" i="17" s="1"/>
  <c r="R291" i="17"/>
  <c r="S291" i="17" s="1"/>
  <c r="R227" i="17"/>
  <c r="S227" i="17" s="1"/>
  <c r="R163" i="17"/>
  <c r="S163" i="17" s="1"/>
  <c r="R304" i="17"/>
  <c r="S304" i="17" s="1"/>
  <c r="R240" i="17"/>
  <c r="S240" i="17" s="1"/>
  <c r="R176" i="17"/>
  <c r="S176" i="17" s="1"/>
  <c r="Q115" i="17"/>
  <c r="U115" i="17" s="1"/>
  <c r="Q55" i="17"/>
  <c r="U55" i="17" s="1"/>
  <c r="Q20" i="17"/>
  <c r="U20" i="17" s="1"/>
  <c r="Q52" i="17"/>
  <c r="U52" i="17" s="1"/>
  <c r="Q84" i="17"/>
  <c r="U84" i="17" s="1"/>
  <c r="R26" i="17"/>
  <c r="S26" i="17" s="1"/>
  <c r="R90" i="17"/>
  <c r="S90" i="17" s="1"/>
  <c r="R559" i="17"/>
  <c r="S559" i="17" s="1"/>
  <c r="R399" i="17"/>
  <c r="S399" i="17" s="1"/>
  <c r="R553" i="17"/>
  <c r="S553" i="17" s="1"/>
  <c r="Q396" i="17"/>
  <c r="U396" i="17" s="1"/>
  <c r="Q306" i="17"/>
  <c r="U306" i="17" s="1"/>
  <c r="Q178" i="17"/>
  <c r="U178" i="17" s="1"/>
  <c r="Q255" i="17"/>
  <c r="U255" i="17" s="1"/>
  <c r="Q127" i="17"/>
  <c r="U127" i="17" s="1"/>
  <c r="R299" i="17"/>
  <c r="S299" i="17" s="1"/>
  <c r="R171" i="17"/>
  <c r="S171" i="17" s="1"/>
  <c r="R248" i="17"/>
  <c r="S248" i="17" s="1"/>
  <c r="R120" i="17"/>
  <c r="S120" i="17" s="1"/>
  <c r="R13" i="17"/>
  <c r="S13" i="17" s="1"/>
  <c r="Q80" i="17"/>
  <c r="U80" i="17" s="1"/>
  <c r="R82" i="17"/>
  <c r="S82" i="17" s="1"/>
  <c r="R495" i="17"/>
  <c r="S495" i="17" s="1"/>
  <c r="Q492" i="17"/>
  <c r="U492" i="17" s="1"/>
  <c r="Q226" i="17"/>
  <c r="U226" i="17" s="1"/>
  <c r="Q175" i="17"/>
  <c r="U175" i="17" s="1"/>
  <c r="R219" i="17"/>
  <c r="S219" i="17" s="1"/>
  <c r="R168" i="17"/>
  <c r="S168" i="17" s="1"/>
  <c r="Q56" i="17"/>
  <c r="U56" i="17" s="1"/>
  <c r="R535" i="17"/>
  <c r="S535" i="17" s="1"/>
  <c r="R322" i="17"/>
  <c r="S322" i="17" s="1"/>
  <c r="Q315" i="17"/>
  <c r="U315" i="17" s="1"/>
  <c r="Q95" i="17"/>
  <c r="U95" i="17" s="1"/>
  <c r="Q453" i="17"/>
  <c r="U453" i="17" s="1"/>
  <c r="R200" i="17"/>
  <c r="S200" i="17" s="1"/>
  <c r="R123" i="17"/>
  <c r="S123" i="17" s="1"/>
  <c r="Q379" i="17"/>
  <c r="U379" i="17" s="1"/>
  <c r="R606" i="17"/>
  <c r="S606" i="17" s="1"/>
  <c r="Q593" i="17"/>
  <c r="U593" i="17" s="1"/>
  <c r="Q561" i="17"/>
  <c r="U561" i="17" s="1"/>
  <c r="Q566" i="17"/>
  <c r="U566" i="17" s="1"/>
  <c r="R523" i="17"/>
  <c r="S523" i="17" s="1"/>
  <c r="Q539" i="17"/>
  <c r="U539" i="17" s="1"/>
  <c r="R508" i="17"/>
  <c r="S508" i="17" s="1"/>
  <c r="R476" i="17"/>
  <c r="S476" i="17" s="1"/>
  <c r="R444" i="17"/>
  <c r="S444" i="17" s="1"/>
  <c r="R515" i="17"/>
  <c r="S515" i="17" s="1"/>
  <c r="R483" i="17"/>
  <c r="S483" i="17" s="1"/>
  <c r="R451" i="17"/>
  <c r="S451" i="17" s="1"/>
  <c r="R419" i="17"/>
  <c r="S419" i="17" s="1"/>
  <c r="R387" i="17"/>
  <c r="S387" i="17" s="1"/>
  <c r="R355" i="17"/>
  <c r="S355" i="17" s="1"/>
  <c r="R323" i="17"/>
  <c r="S323" i="17" s="1"/>
  <c r="Q603" i="17"/>
  <c r="U603" i="17" s="1"/>
  <c r="R590" i="17"/>
  <c r="S590" i="17" s="1"/>
  <c r="R558" i="17"/>
  <c r="S558" i="17" s="1"/>
  <c r="Q560" i="17"/>
  <c r="U560" i="17" s="1"/>
  <c r="R593" i="17"/>
  <c r="S593" i="17" s="1"/>
  <c r="R536" i="17"/>
  <c r="S536" i="17" s="1"/>
  <c r="Q505" i="17"/>
  <c r="U505" i="17" s="1"/>
  <c r="Q473" i="17"/>
  <c r="U473" i="17" s="1"/>
  <c r="Q441" i="17"/>
  <c r="U441" i="17" s="1"/>
  <c r="Q512" i="17"/>
  <c r="U512" i="17" s="1"/>
  <c r="Q480" i="17"/>
  <c r="U480" i="17" s="1"/>
  <c r="Q448" i="17"/>
  <c r="U448" i="17" s="1"/>
  <c r="Q416" i="17"/>
  <c r="U416" i="17" s="1"/>
  <c r="Q384" i="17"/>
  <c r="U384" i="17" s="1"/>
  <c r="Q352" i="17"/>
  <c r="U352" i="17" s="1"/>
  <c r="R406" i="17"/>
  <c r="S406" i="17" s="1"/>
  <c r="R380" i="17"/>
  <c r="S380" i="17" s="1"/>
  <c r="R364" i="17"/>
  <c r="S364" i="17" s="1"/>
  <c r="R348" i="17"/>
  <c r="S348" i="17" s="1"/>
  <c r="R332" i="17"/>
  <c r="S332" i="17" s="1"/>
  <c r="R316" i="17"/>
  <c r="S316" i="17" s="1"/>
  <c r="Q300" i="17"/>
  <c r="Q284" i="17"/>
  <c r="U284" i="17" s="1"/>
  <c r="Q268" i="17"/>
  <c r="U268" i="17" s="1"/>
  <c r="Q252" i="17"/>
  <c r="U252" i="17" s="1"/>
  <c r="Q236" i="17"/>
  <c r="U236" i="17" s="1"/>
  <c r="Q220" i="17"/>
  <c r="U220" i="17" s="1"/>
  <c r="Q204" i="17"/>
  <c r="U204" i="17" s="1"/>
  <c r="Q188" i="17"/>
  <c r="U188" i="17" s="1"/>
  <c r="Q172" i="17"/>
  <c r="U172" i="17" s="1"/>
  <c r="Q156" i="17"/>
  <c r="U156" i="17" s="1"/>
  <c r="Q140" i="17"/>
  <c r="U140" i="17" s="1"/>
  <c r="Q124" i="17"/>
  <c r="U124" i="17" s="1"/>
  <c r="Q313" i="17"/>
  <c r="U313" i="17" s="1"/>
  <c r="Q297" i="17"/>
  <c r="U297" i="17" s="1"/>
  <c r="Q281" i="17"/>
  <c r="U281" i="17" s="1"/>
  <c r="Q265" i="17"/>
  <c r="U265" i="17" s="1"/>
  <c r="Q249" i="17"/>
  <c r="U249" i="17" s="1"/>
  <c r="Q233" i="17"/>
  <c r="U233" i="17" s="1"/>
  <c r="Q217" i="17"/>
  <c r="U217" i="17" s="1"/>
  <c r="Q201" i="17"/>
  <c r="U201" i="17" s="1"/>
  <c r="Q185" i="17"/>
  <c r="U185" i="17" s="1"/>
  <c r="Q169" i="17"/>
  <c r="U169" i="17" s="1"/>
  <c r="Q153" i="17"/>
  <c r="U153" i="17" s="1"/>
  <c r="Q137" i="17"/>
  <c r="U137" i="17" s="1"/>
  <c r="Q334" i="17"/>
  <c r="U334" i="17" s="1"/>
  <c r="Q405" i="17"/>
  <c r="U405" i="17" s="1"/>
  <c r="Q389" i="17"/>
  <c r="U389" i="17" s="1"/>
  <c r="Q373" i="17"/>
  <c r="U373" i="17" s="1"/>
  <c r="Q357" i="17"/>
  <c r="U357" i="17" s="1"/>
  <c r="Q341" i="17"/>
  <c r="U341" i="17" s="1"/>
  <c r="Q325" i="17"/>
  <c r="U325" i="17" s="1"/>
  <c r="R309" i="17"/>
  <c r="S309" i="17" s="1"/>
  <c r="R293" i="17"/>
  <c r="S293" i="17" s="1"/>
  <c r="R277" i="17"/>
  <c r="S277" i="17" s="1"/>
  <c r="R261" i="17"/>
  <c r="S261" i="17" s="1"/>
  <c r="R245" i="17"/>
  <c r="S245" i="17" s="1"/>
  <c r="R229" i="17"/>
  <c r="S229" i="17" s="1"/>
  <c r="R213" i="17"/>
  <c r="S213" i="17" s="1"/>
  <c r="R197" i="17"/>
  <c r="S197" i="17" s="1"/>
  <c r="R181" i="17"/>
  <c r="S181" i="17" s="1"/>
  <c r="R165" i="17"/>
  <c r="S165" i="17" s="1"/>
  <c r="R149" i="17"/>
  <c r="S149" i="17" s="1"/>
  <c r="R133" i="17"/>
  <c r="S133" i="17" s="1"/>
  <c r="R117" i="17"/>
  <c r="S117" i="17" s="1"/>
  <c r="R306" i="17"/>
  <c r="S306" i="17" s="1"/>
  <c r="R290" i="17"/>
  <c r="S290" i="17" s="1"/>
  <c r="R274" i="17"/>
  <c r="S274" i="17" s="1"/>
  <c r="R258" i="17"/>
  <c r="S258" i="17" s="1"/>
  <c r="R242" i="17"/>
  <c r="S242" i="17" s="1"/>
  <c r="R226" i="17"/>
  <c r="S226" i="17" s="1"/>
  <c r="R210" i="17"/>
  <c r="S210" i="17" s="1"/>
  <c r="R194" i="17"/>
  <c r="S194" i="17" s="1"/>
  <c r="R178" i="17"/>
  <c r="S178" i="17" s="1"/>
  <c r="R162" i="17"/>
  <c r="S162" i="17" s="1"/>
  <c r="R146" i="17"/>
  <c r="S146" i="17" s="1"/>
  <c r="R130" i="17"/>
  <c r="S130" i="17" s="1"/>
  <c r="Q119" i="17"/>
  <c r="U119" i="17" s="1"/>
  <c r="R110" i="17"/>
  <c r="S110" i="17" s="1"/>
  <c r="Q21" i="17"/>
  <c r="U21" i="17" s="1"/>
  <c r="Q37" i="17"/>
  <c r="U37" i="17" s="1"/>
  <c r="Q53" i="17"/>
  <c r="U53" i="17" s="1"/>
  <c r="Q69" i="17"/>
  <c r="U69" i="17" s="1"/>
  <c r="Q85" i="17"/>
  <c r="U85" i="17" s="1"/>
  <c r="Q101" i="17"/>
  <c r="U101" i="17" s="1"/>
  <c r="R19" i="17"/>
  <c r="S19" i="17" s="1"/>
  <c r="R27" i="17"/>
  <c r="S27" i="17" s="1"/>
  <c r="R35" i="17"/>
  <c r="S35" i="17" s="1"/>
  <c r="R43" i="17"/>
  <c r="S43" i="17" s="1"/>
  <c r="R51" i="17"/>
  <c r="S51" i="17" s="1"/>
  <c r="R59" i="17"/>
  <c r="S59" i="17" s="1"/>
  <c r="R67" i="17"/>
  <c r="S67" i="17" s="1"/>
  <c r="R75" i="17"/>
  <c r="S75" i="17" s="1"/>
  <c r="R83" i="17"/>
  <c r="S83" i="17" s="1"/>
  <c r="R91" i="17"/>
  <c r="S91" i="17" s="1"/>
  <c r="R99" i="17"/>
  <c r="S99" i="17" s="1"/>
  <c r="R107" i="17"/>
  <c r="S107" i="17" s="1"/>
  <c r="R24" i="17"/>
  <c r="S24" i="17" s="1"/>
  <c r="R40" i="17"/>
  <c r="S40" i="17" s="1"/>
  <c r="R56" i="17"/>
  <c r="S56" i="17" s="1"/>
  <c r="R72" i="17"/>
  <c r="S72" i="17" s="1"/>
  <c r="R88" i="17"/>
  <c r="S88" i="17" s="1"/>
  <c r="R104" i="17"/>
  <c r="S104" i="17" s="1"/>
  <c r="R623" i="17"/>
  <c r="S623" i="17" s="1"/>
  <c r="R400" i="17"/>
  <c r="S400" i="17" s="1"/>
  <c r="Q324" i="17"/>
  <c r="U324" i="17" s="1"/>
  <c r="Q346" i="17"/>
  <c r="U346" i="17" s="1"/>
  <c r="Q362" i="17"/>
  <c r="U362" i="17" s="1"/>
  <c r="Q378" i="17"/>
  <c r="U378" i="17" s="1"/>
  <c r="Q394" i="17"/>
  <c r="U394" i="17" s="1"/>
  <c r="Q410" i="17"/>
  <c r="U410" i="17" s="1"/>
  <c r="Q426" i="17"/>
  <c r="U426" i="17" s="1"/>
  <c r="Q442" i="17"/>
  <c r="U442" i="17" s="1"/>
  <c r="Q458" i="17"/>
  <c r="U458" i="17" s="1"/>
  <c r="Q474" i="17"/>
  <c r="U474" i="17" s="1"/>
  <c r="Q490" i="17"/>
  <c r="U490" i="17" s="1"/>
  <c r="Q506" i="17"/>
  <c r="U506" i="17" s="1"/>
  <c r="Q419" i="17"/>
  <c r="U419" i="17" s="1"/>
  <c r="Q435" i="17"/>
  <c r="U435" i="17" s="1"/>
  <c r="Q451" i="17"/>
  <c r="U451" i="17" s="1"/>
  <c r="Q467" i="17"/>
  <c r="U467" i="17" s="1"/>
  <c r="Q483" i="17"/>
  <c r="U483" i="17" s="1"/>
  <c r="Q499" i="17"/>
  <c r="U499" i="17" s="1"/>
  <c r="Q515" i="17"/>
  <c r="U515" i="17" s="1"/>
  <c r="R530" i="17"/>
  <c r="S530" i="17" s="1"/>
  <c r="R549" i="17"/>
  <c r="S549" i="17" s="1"/>
  <c r="R581" i="17"/>
  <c r="S581" i="17" s="1"/>
  <c r="Q530" i="17"/>
  <c r="U530" i="17" s="1"/>
  <c r="Q548" i="17"/>
  <c r="U548" i="17" s="1"/>
  <c r="Q580" i="17"/>
  <c r="U580" i="17" s="1"/>
  <c r="R552" i="17"/>
  <c r="S552" i="17" s="1"/>
  <c r="R568" i="17"/>
  <c r="S568" i="17" s="1"/>
  <c r="R584" i="17"/>
  <c r="S584" i="17" s="1"/>
  <c r="Q600" i="17"/>
  <c r="U600" i="17" s="1"/>
  <c r="Q597" i="17"/>
  <c r="U597" i="17" s="1"/>
  <c r="Q613" i="17"/>
  <c r="R317" i="17"/>
  <c r="S317" i="17" s="1"/>
  <c r="R333" i="17"/>
  <c r="S333" i="17" s="1"/>
  <c r="R349" i="17"/>
  <c r="S349" i="17" s="1"/>
  <c r="R365" i="17"/>
  <c r="S365" i="17" s="1"/>
  <c r="R381" i="17"/>
  <c r="S381" i="17" s="1"/>
  <c r="R397" i="17"/>
  <c r="S397" i="17" s="1"/>
  <c r="R413" i="17"/>
  <c r="S413" i="17" s="1"/>
  <c r="R429" i="17"/>
  <c r="S429" i="17" s="1"/>
  <c r="R445" i="17"/>
  <c r="S445" i="17" s="1"/>
  <c r="R461" i="17"/>
  <c r="S461" i="17" s="1"/>
  <c r="R477" i="17"/>
  <c r="S477" i="17" s="1"/>
  <c r="R493" i="17"/>
  <c r="S493" i="17" s="1"/>
  <c r="R509" i="17"/>
  <c r="S509" i="17" s="1"/>
  <c r="R422" i="17"/>
  <c r="S422" i="17" s="1"/>
  <c r="R438" i="17"/>
  <c r="S438" i="17" s="1"/>
  <c r="R454" i="17"/>
  <c r="S454" i="17" s="1"/>
  <c r="R470" i="17"/>
  <c r="S470" i="17" s="1"/>
  <c r="R486" i="17"/>
  <c r="S486" i="17" s="1"/>
  <c r="R502" i="17"/>
  <c r="S502" i="17" s="1"/>
  <c r="R519" i="17"/>
  <c r="S519" i="17" s="1"/>
  <c r="Q533" i="17"/>
  <c r="U533" i="17" s="1"/>
  <c r="R555" i="17"/>
  <c r="S555" i="17" s="1"/>
  <c r="R587" i="17"/>
  <c r="S587" i="17" s="1"/>
  <c r="R598" i="17"/>
  <c r="S598" i="17" s="1"/>
  <c r="Q585" i="17"/>
  <c r="U585" i="17" s="1"/>
  <c r="Q553" i="17"/>
  <c r="U553" i="17" s="1"/>
  <c r="Q550" i="17"/>
  <c r="U550" i="17" s="1"/>
  <c r="R583" i="17"/>
  <c r="S583" i="17" s="1"/>
  <c r="Q531" i="17"/>
  <c r="U531" i="17" s="1"/>
  <c r="R500" i="17"/>
  <c r="S500" i="17" s="1"/>
  <c r="R468" i="17"/>
  <c r="S468" i="17" s="1"/>
  <c r="R436" i="17"/>
  <c r="S436" i="17" s="1"/>
  <c r="R507" i="17"/>
  <c r="S507" i="17" s="1"/>
  <c r="R475" i="17"/>
  <c r="S475" i="17" s="1"/>
  <c r="R443" i="17"/>
  <c r="S443" i="17" s="1"/>
  <c r="R411" i="17"/>
  <c r="S411" i="17" s="1"/>
  <c r="R379" i="17"/>
  <c r="S379" i="17" s="1"/>
  <c r="R347" i="17"/>
  <c r="S347" i="17" s="1"/>
  <c r="R315" i="17"/>
  <c r="S315" i="17" s="1"/>
  <c r="Q595" i="17"/>
  <c r="U595" i="17" s="1"/>
  <c r="R582" i="17"/>
  <c r="S582" i="17" s="1"/>
  <c r="R550" i="17"/>
  <c r="S550" i="17" s="1"/>
  <c r="Q544" i="17"/>
  <c r="U544" i="17" s="1"/>
  <c r="R577" i="17"/>
  <c r="S577" i="17" s="1"/>
  <c r="R528" i="17"/>
  <c r="S528" i="17" s="1"/>
  <c r="Q497" i="17"/>
  <c r="U497" i="17" s="1"/>
  <c r="Q465" i="17"/>
  <c r="U465" i="17" s="1"/>
  <c r="Q433" i="17"/>
  <c r="U433" i="17" s="1"/>
  <c r="Q504" i="17"/>
  <c r="U504" i="17" s="1"/>
  <c r="Q472" i="17"/>
  <c r="U472" i="17" s="1"/>
  <c r="Q440" i="17"/>
  <c r="U440" i="17" s="1"/>
  <c r="Q408" i="17"/>
  <c r="U408" i="17" s="1"/>
  <c r="Q376" i="17"/>
  <c r="U376" i="17" s="1"/>
  <c r="Q344" i="17"/>
  <c r="U344" i="17" s="1"/>
  <c r="R398" i="17"/>
  <c r="S398" i="17" s="1"/>
  <c r="R376" i="17"/>
  <c r="S376" i="17" s="1"/>
  <c r="R360" i="17"/>
  <c r="S360" i="17" s="1"/>
  <c r="R344" i="17"/>
  <c r="S344" i="17" s="1"/>
  <c r="R328" i="17"/>
  <c r="S328" i="17" s="1"/>
  <c r="Q312" i="17"/>
  <c r="U312" i="17" s="1"/>
  <c r="Q296" i="17"/>
  <c r="U296" i="17" s="1"/>
  <c r="Q280" i="17"/>
  <c r="U280" i="17" s="1"/>
  <c r="Q264" i="17"/>
  <c r="U264" i="17" s="1"/>
  <c r="Q248" i="17"/>
  <c r="U248" i="17" s="1"/>
  <c r="Q232" i="17"/>
  <c r="U232" i="17" s="1"/>
  <c r="Q216" i="17"/>
  <c r="U216" i="17" s="1"/>
  <c r="Q200" i="17"/>
  <c r="U200" i="17" s="1"/>
  <c r="Q184" i="17"/>
  <c r="U184" i="17" s="1"/>
  <c r="Q168" i="17"/>
  <c r="U168" i="17" s="1"/>
  <c r="Q152" i="17"/>
  <c r="U152" i="17" s="1"/>
  <c r="Q136" i="17"/>
  <c r="U136" i="17" s="1"/>
  <c r="Q120" i="17"/>
  <c r="U120" i="17" s="1"/>
  <c r="Q309" i="17"/>
  <c r="U309" i="17" s="1"/>
  <c r="Q293" i="17"/>
  <c r="Q277" i="17"/>
  <c r="U277" i="17" s="1"/>
  <c r="Q261" i="17"/>
  <c r="U261" i="17" s="1"/>
  <c r="Q245" i="17"/>
  <c r="U245" i="17" s="1"/>
  <c r="Q229" i="17"/>
  <c r="U229" i="17" s="1"/>
  <c r="Q213" i="17"/>
  <c r="U213" i="17" s="1"/>
  <c r="Q197" i="17"/>
  <c r="U197" i="17" s="1"/>
  <c r="Q181" i="17"/>
  <c r="U181" i="17" s="1"/>
  <c r="Q165" i="17"/>
  <c r="U165" i="17" s="1"/>
  <c r="Q149" i="17"/>
  <c r="U149" i="17" s="1"/>
  <c r="Q133" i="17"/>
  <c r="U133" i="17" s="1"/>
  <c r="Q326" i="17"/>
  <c r="U326" i="17" s="1"/>
  <c r="Q401" i="17"/>
  <c r="U401" i="17" s="1"/>
  <c r="Q385" i="17"/>
  <c r="U385" i="17" s="1"/>
  <c r="Q369" i="17"/>
  <c r="U369" i="17" s="1"/>
  <c r="Q353" i="17"/>
  <c r="U353" i="17" s="1"/>
  <c r="Q337" i="17"/>
  <c r="U337" i="17" s="1"/>
  <c r="Q321" i="17"/>
  <c r="U321" i="17" s="1"/>
  <c r="R305" i="17"/>
  <c r="S305" i="17" s="1"/>
  <c r="R289" i="17"/>
  <c r="S289" i="17" s="1"/>
  <c r="R273" i="17"/>
  <c r="S273" i="17" s="1"/>
  <c r="R257" i="17"/>
  <c r="S257" i="17" s="1"/>
  <c r="R241" i="17"/>
  <c r="S241" i="17" s="1"/>
  <c r="R225" i="17"/>
  <c r="S225" i="17" s="1"/>
  <c r="R209" i="17"/>
  <c r="S209" i="17" s="1"/>
  <c r="R193" i="17"/>
  <c r="S193" i="17" s="1"/>
  <c r="R177" i="17"/>
  <c r="S177" i="17" s="1"/>
  <c r="R161" i="17"/>
  <c r="S161" i="17" s="1"/>
  <c r="R145" i="17"/>
  <c r="S145" i="17" s="1"/>
  <c r="R129" i="17"/>
  <c r="S129" i="17" s="1"/>
  <c r="R113" i="17"/>
  <c r="S113" i="17" s="1"/>
  <c r="R302" i="17"/>
  <c r="S302" i="17" s="1"/>
  <c r="R286" i="17"/>
  <c r="S286" i="17" s="1"/>
  <c r="R270" i="17"/>
  <c r="S270" i="17" s="1"/>
  <c r="R254" i="17"/>
  <c r="S254" i="17" s="1"/>
  <c r="R238" i="17"/>
  <c r="S238" i="17" s="1"/>
  <c r="R222" i="17"/>
  <c r="S222" i="17" s="1"/>
  <c r="R206" i="17"/>
  <c r="S206" i="17" s="1"/>
  <c r="R190" i="17"/>
  <c r="S190" i="17" s="1"/>
  <c r="R174" i="17"/>
  <c r="S174" i="17" s="1"/>
  <c r="R158" i="17"/>
  <c r="S158" i="17" s="1"/>
  <c r="R142" i="17"/>
  <c r="S142" i="17" s="1"/>
  <c r="R126" i="17"/>
  <c r="S126" i="17" s="1"/>
  <c r="Q113" i="17"/>
  <c r="U113" i="17" s="1"/>
  <c r="Q16" i="17"/>
  <c r="U16" i="17" s="1"/>
  <c r="Q25" i="17"/>
  <c r="U25" i="17" s="1"/>
  <c r="Q41" i="17"/>
  <c r="U41" i="17" s="1"/>
  <c r="Q57" i="17"/>
  <c r="U57" i="17" s="1"/>
  <c r="Q73" i="17"/>
  <c r="U73" i="17" s="1"/>
  <c r="Q89" i="17"/>
  <c r="U89" i="17" s="1"/>
  <c r="Q105" i="17"/>
  <c r="U105" i="17" s="1"/>
  <c r="R21" i="17"/>
  <c r="S21" i="17" s="1"/>
  <c r="R29" i="17"/>
  <c r="S29" i="17" s="1"/>
  <c r="R37" i="17"/>
  <c r="S37" i="17" s="1"/>
  <c r="R45" i="17"/>
  <c r="S45" i="17" s="1"/>
  <c r="R53" i="17"/>
  <c r="S53" i="17" s="1"/>
  <c r="R61" i="17"/>
  <c r="S61" i="17" s="1"/>
  <c r="R69" i="17"/>
  <c r="S69" i="17" s="1"/>
  <c r="R77" i="17"/>
  <c r="S77" i="17" s="1"/>
  <c r="R85" i="17"/>
  <c r="S85" i="17" s="1"/>
  <c r="R93" i="17"/>
  <c r="S93" i="17" s="1"/>
  <c r="R101" i="17"/>
  <c r="S101" i="17" s="1"/>
  <c r="R109" i="17"/>
  <c r="S109" i="17" s="1"/>
  <c r="R28" i="17"/>
  <c r="S28" i="17" s="1"/>
  <c r="R44" i="17"/>
  <c r="S44" i="17" s="1"/>
  <c r="R60" i="17"/>
  <c r="S60" i="17" s="1"/>
  <c r="R76" i="17"/>
  <c r="S76" i="17" s="1"/>
  <c r="R92" i="17"/>
  <c r="S92" i="17" s="1"/>
  <c r="R108" i="17"/>
  <c r="S108" i="17" s="1"/>
  <c r="R388" i="17"/>
  <c r="S388" i="17" s="1"/>
  <c r="R404" i="17"/>
  <c r="S404" i="17" s="1"/>
  <c r="Q332" i="17"/>
  <c r="U332" i="17" s="1"/>
  <c r="Q350" i="17"/>
  <c r="U350" i="17" s="1"/>
  <c r="Q366" i="17"/>
  <c r="U366" i="17" s="1"/>
  <c r="Q382" i="17"/>
  <c r="U382" i="17" s="1"/>
  <c r="Q398" i="17"/>
  <c r="U398" i="17" s="1"/>
  <c r="Q414" i="17"/>
  <c r="U414" i="17" s="1"/>
  <c r="Q430" i="17"/>
  <c r="Q446" i="17"/>
  <c r="U446" i="17" s="1"/>
  <c r="Q462" i="17"/>
  <c r="U462" i="17" s="1"/>
  <c r="Q478" i="17"/>
  <c r="U478" i="17" s="1"/>
  <c r="Q494" i="17"/>
  <c r="U494" i="17" s="1"/>
  <c r="Q510" i="17"/>
  <c r="U510" i="17" s="1"/>
  <c r="Q423" i="17"/>
  <c r="U423" i="17" s="1"/>
  <c r="Q439" i="17"/>
  <c r="U439" i="17" s="1"/>
  <c r="Q455" i="17"/>
  <c r="U455" i="17" s="1"/>
  <c r="Q471" i="17"/>
  <c r="U471" i="17" s="1"/>
  <c r="Q487" i="17"/>
  <c r="Q503" i="17"/>
  <c r="U503" i="17" s="1"/>
  <c r="R518" i="17"/>
  <c r="S518" i="17" s="1"/>
  <c r="R534" i="17"/>
  <c r="S534" i="17" s="1"/>
  <c r="R557" i="17"/>
  <c r="S557" i="17" s="1"/>
  <c r="R589" i="17"/>
  <c r="S589" i="17" s="1"/>
  <c r="Q534" i="17"/>
  <c r="U534" i="17" s="1"/>
  <c r="Q556" i="17"/>
  <c r="U556" i="17" s="1"/>
  <c r="Q588" i="17"/>
  <c r="U588" i="17" s="1"/>
  <c r="R556" i="17"/>
  <c r="S556" i="17" s="1"/>
  <c r="R572" i="17"/>
  <c r="S572" i="17" s="1"/>
  <c r="R588" i="17"/>
  <c r="S588" i="17" s="1"/>
  <c r="Q604" i="17"/>
  <c r="U604" i="17" s="1"/>
  <c r="Q601" i="17"/>
  <c r="U601" i="17" s="1"/>
  <c r="Q407" i="17"/>
  <c r="U407" i="17" s="1"/>
  <c r="R321" i="17"/>
  <c r="S321" i="17" s="1"/>
  <c r="R337" i="17"/>
  <c r="S337" i="17" s="1"/>
  <c r="R353" i="17"/>
  <c r="S353" i="17" s="1"/>
  <c r="R369" i="17"/>
  <c r="S369" i="17" s="1"/>
  <c r="R385" i="17"/>
  <c r="S385" i="17" s="1"/>
  <c r="R401" i="17"/>
  <c r="S401" i="17" s="1"/>
  <c r="R417" i="17"/>
  <c r="S417" i="17" s="1"/>
  <c r="R433" i="17"/>
  <c r="S433" i="17" s="1"/>
  <c r="R449" i="17"/>
  <c r="S449" i="17" s="1"/>
  <c r="R465" i="17"/>
  <c r="S465" i="17" s="1"/>
  <c r="R481" i="17"/>
  <c r="S481" i="17" s="1"/>
  <c r="R497" i="17"/>
  <c r="S497" i="17" s="1"/>
  <c r="R513" i="17"/>
  <c r="S513" i="17" s="1"/>
  <c r="R426" i="17"/>
  <c r="S426" i="17" s="1"/>
  <c r="R442" i="17"/>
  <c r="S442" i="17" s="1"/>
  <c r="R458" i="17"/>
  <c r="S458" i="17" s="1"/>
  <c r="R474" i="17"/>
  <c r="S474" i="17" s="1"/>
  <c r="R490" i="17"/>
  <c r="S490" i="17" s="1"/>
  <c r="R506" i="17"/>
  <c r="S506" i="17" s="1"/>
  <c r="Q521" i="17"/>
  <c r="U521" i="17" s="1"/>
  <c r="Q537" i="17"/>
  <c r="U537" i="17" s="1"/>
  <c r="R563" i="17"/>
  <c r="S563" i="17" s="1"/>
  <c r="R525" i="17"/>
  <c r="S525" i="17" s="1"/>
  <c r="R529" i="17"/>
  <c r="S529" i="17" s="1"/>
  <c r="Q546" i="17"/>
  <c r="U546" i="17" s="1"/>
  <c r="Q578" i="17"/>
  <c r="U578" i="17" s="1"/>
  <c r="Q551" i="17"/>
  <c r="U551" i="17" s="1"/>
  <c r="Q567" i="17"/>
  <c r="U567" i="17" s="1"/>
  <c r="Q583" i="17"/>
  <c r="U583" i="17" s="1"/>
  <c r="R599" i="17"/>
  <c r="S599" i="17" s="1"/>
  <c r="R596" i="17"/>
  <c r="S596" i="17" s="1"/>
  <c r="R612" i="17"/>
  <c r="S612" i="17" s="1"/>
  <c r="Q581" i="17"/>
  <c r="U581" i="17" s="1"/>
  <c r="R543" i="17"/>
  <c r="S543" i="17" s="1"/>
  <c r="Q527" i="17"/>
  <c r="U527" i="17" s="1"/>
  <c r="R464" i="17"/>
  <c r="S464" i="17" s="1"/>
  <c r="R503" i="17"/>
  <c r="S503" i="17" s="1"/>
  <c r="R439" i="17"/>
  <c r="S439" i="17" s="1"/>
  <c r="R375" i="17"/>
  <c r="S375" i="17" s="1"/>
  <c r="Q413" i="17"/>
  <c r="U413" i="17" s="1"/>
  <c r="R578" i="17"/>
  <c r="S578" i="17" s="1"/>
  <c r="Q540" i="17"/>
  <c r="U540" i="17" s="1"/>
  <c r="R524" i="17"/>
  <c r="S524" i="17" s="1"/>
  <c r="Q461" i="17"/>
  <c r="U461" i="17" s="1"/>
  <c r="Q500" i="17"/>
  <c r="U500" i="17" s="1"/>
  <c r="Q436" i="17"/>
  <c r="U436" i="17" s="1"/>
  <c r="Q372" i="17"/>
  <c r="U372" i="17" s="1"/>
  <c r="R394" i="17"/>
  <c r="S394" i="17" s="1"/>
  <c r="R358" i="17"/>
  <c r="S358" i="17" s="1"/>
  <c r="R326" i="17"/>
  <c r="S326" i="17" s="1"/>
  <c r="Q294" i="17"/>
  <c r="U294" i="17" s="1"/>
  <c r="Q262" i="17"/>
  <c r="U262" i="17" s="1"/>
  <c r="Q230" i="17"/>
  <c r="U230" i="17" s="1"/>
  <c r="Q198" i="17"/>
  <c r="U198" i="17" s="1"/>
  <c r="Q166" i="17"/>
  <c r="U166" i="17" s="1"/>
  <c r="Q134" i="17"/>
  <c r="U134" i="17" s="1"/>
  <c r="Q307" i="17"/>
  <c r="U307" i="17" s="1"/>
  <c r="Q275" i="17"/>
  <c r="U275" i="17" s="1"/>
  <c r="Q243" i="17"/>
  <c r="U243" i="17" s="1"/>
  <c r="Q211" i="17"/>
  <c r="U211" i="17" s="1"/>
  <c r="Q179" i="17"/>
  <c r="U179" i="17" s="1"/>
  <c r="Q147" i="17"/>
  <c r="U147" i="17" s="1"/>
  <c r="Q322" i="17"/>
  <c r="U322" i="17" s="1"/>
  <c r="Q383" i="17"/>
  <c r="U383" i="17" s="1"/>
  <c r="Q351" i="17"/>
  <c r="U351" i="17" s="1"/>
  <c r="Q319" i="17"/>
  <c r="U319" i="17" s="1"/>
  <c r="R287" i="17"/>
  <c r="S287" i="17" s="1"/>
  <c r="R255" i="17"/>
  <c r="S255" i="17" s="1"/>
  <c r="R223" i="17"/>
  <c r="S223" i="17" s="1"/>
  <c r="R191" i="17"/>
  <c r="S191" i="17" s="1"/>
  <c r="R159" i="17"/>
  <c r="S159" i="17" s="1"/>
  <c r="R127" i="17"/>
  <c r="S127" i="17" s="1"/>
  <c r="R300" i="17"/>
  <c r="S300" i="17" s="1"/>
  <c r="R268" i="17"/>
  <c r="S268" i="17" s="1"/>
  <c r="R236" i="17"/>
  <c r="S236" i="17" s="1"/>
  <c r="R204" i="17"/>
  <c r="S204" i="17" s="1"/>
  <c r="R172" i="17"/>
  <c r="S172" i="17" s="1"/>
  <c r="R140" i="17"/>
  <c r="S140" i="17" s="1"/>
  <c r="Q111" i="17"/>
  <c r="U111" i="17" s="1"/>
  <c r="Q27" i="17"/>
  <c r="U27" i="17" s="1"/>
  <c r="Q59" i="17"/>
  <c r="U59" i="17" s="1"/>
  <c r="Q91" i="17"/>
  <c r="U91" i="17" s="1"/>
  <c r="Q22" i="17"/>
  <c r="Q38" i="17"/>
  <c r="U38" i="17" s="1"/>
  <c r="Q54" i="17"/>
  <c r="U54" i="17" s="1"/>
  <c r="Q70" i="17"/>
  <c r="U70" i="17" s="1"/>
  <c r="Q86" i="17"/>
  <c r="Q102" i="17"/>
  <c r="U102" i="17" s="1"/>
  <c r="R30" i="17"/>
  <c r="S30" i="17" s="1"/>
  <c r="R62" i="17"/>
  <c r="S62" i="17" s="1"/>
  <c r="R94" i="17"/>
  <c r="S94" i="17" s="1"/>
  <c r="R602" i="17"/>
  <c r="S602" i="17" s="1"/>
  <c r="R591" i="17"/>
  <c r="S591" i="17" s="1"/>
  <c r="R440" i="17"/>
  <c r="S440" i="17" s="1"/>
  <c r="R415" i="17"/>
  <c r="S415" i="17" s="1"/>
  <c r="Q599" i="17"/>
  <c r="U599" i="17" s="1"/>
  <c r="R585" i="17"/>
  <c r="S585" i="17" s="1"/>
  <c r="Q437" i="17"/>
  <c r="U437" i="17" s="1"/>
  <c r="Q412" i="17"/>
  <c r="U412" i="17" s="1"/>
  <c r="R378" i="17"/>
  <c r="S378" i="17" s="1"/>
  <c r="Q314" i="17"/>
  <c r="U314" i="17" s="1"/>
  <c r="Q250" i="17"/>
  <c r="U250" i="17" s="1"/>
  <c r="Q186" i="17"/>
  <c r="U186" i="17" s="1"/>
  <c r="Q122" i="17"/>
  <c r="U122" i="17" s="1"/>
  <c r="Q263" i="17"/>
  <c r="U263" i="17" s="1"/>
  <c r="Q199" i="17"/>
  <c r="U199" i="17" s="1"/>
  <c r="Q135" i="17"/>
  <c r="U135" i="17" s="1"/>
  <c r="Q371" i="17"/>
  <c r="U371" i="17" s="1"/>
  <c r="R307" i="17"/>
  <c r="S307" i="17" s="1"/>
  <c r="R243" i="17"/>
  <c r="S243" i="17" s="1"/>
  <c r="R179" i="17"/>
  <c r="S179" i="17" s="1"/>
  <c r="R115" i="17"/>
  <c r="S115" i="17" s="1"/>
  <c r="R256" i="17"/>
  <c r="S256" i="17" s="1"/>
  <c r="R192" i="17"/>
  <c r="S192" i="17" s="1"/>
  <c r="R128" i="17"/>
  <c r="S128" i="17" s="1"/>
  <c r="Q39" i="17"/>
  <c r="U39" i="17" s="1"/>
  <c r="Q103" i="17"/>
  <c r="U103" i="17" s="1"/>
  <c r="Q44" i="17"/>
  <c r="U44" i="17" s="1"/>
  <c r="Q76" i="17"/>
  <c r="U76" i="17" s="1"/>
  <c r="Q108" i="17"/>
  <c r="U108" i="17" s="1"/>
  <c r="R74" i="17"/>
  <c r="S74" i="17" s="1"/>
  <c r="Q590" i="17"/>
  <c r="U590" i="17" s="1"/>
  <c r="R463" i="17"/>
  <c r="S463" i="17" s="1"/>
  <c r="Q584" i="17"/>
  <c r="Q460" i="17"/>
  <c r="U460" i="17" s="1"/>
  <c r="R338" i="17"/>
  <c r="S338" i="17" s="1"/>
  <c r="Q210" i="17"/>
  <c r="U210" i="17" s="1"/>
  <c r="Q287" i="17"/>
  <c r="U287" i="17" s="1"/>
  <c r="Q159" i="17"/>
  <c r="U159" i="17" s="1"/>
  <c r="Q331" i="17"/>
  <c r="U331" i="17" s="1"/>
  <c r="R203" i="17"/>
  <c r="S203" i="17" s="1"/>
  <c r="R280" i="17"/>
  <c r="S280" i="17" s="1"/>
  <c r="R152" i="17"/>
  <c r="S152" i="17" s="1"/>
  <c r="Q79" i="17"/>
  <c r="U79" i="17" s="1"/>
  <c r="Q64" i="17"/>
  <c r="U64" i="17" s="1"/>
  <c r="R50" i="17"/>
  <c r="S50" i="17" s="1"/>
  <c r="Q519" i="17"/>
  <c r="U519" i="17" s="1"/>
  <c r="Q517" i="17"/>
  <c r="U517" i="17" s="1"/>
  <c r="Q290" i="17"/>
  <c r="U290" i="17" s="1"/>
  <c r="Q239" i="17"/>
  <c r="U239" i="17" s="1"/>
  <c r="R283" i="17"/>
  <c r="S283" i="17" s="1"/>
  <c r="R232" i="17"/>
  <c r="S232" i="17" s="1"/>
  <c r="Q24" i="17"/>
  <c r="U24" i="17" s="1"/>
  <c r="R98" i="17"/>
  <c r="S98" i="17" s="1"/>
  <c r="Q428" i="17"/>
  <c r="U428" i="17" s="1"/>
  <c r="Q143" i="17"/>
  <c r="U143" i="17" s="1"/>
  <c r="R136" i="17"/>
  <c r="S136" i="17" s="1"/>
  <c r="R456" i="17"/>
  <c r="S456" i="17" s="1"/>
  <c r="R251" i="17"/>
  <c r="S251" i="17" s="1"/>
  <c r="Q130" i="17"/>
  <c r="Q31" i="17"/>
  <c r="U31" i="17" s="1"/>
  <c r="R541" i="17"/>
  <c r="S541" i="17" s="1"/>
  <c r="Q570" i="17"/>
  <c r="U570" i="17" s="1"/>
  <c r="Q547" i="17"/>
  <c r="U547" i="17" s="1"/>
  <c r="Q563" i="17"/>
  <c r="U563" i="17" s="1"/>
  <c r="Q579" i="17"/>
  <c r="U579" i="17" s="1"/>
  <c r="R595" i="17"/>
  <c r="S595" i="17" s="1"/>
  <c r="R611" i="17"/>
  <c r="S611" i="17" s="1"/>
  <c r="R608" i="17"/>
  <c r="S608" i="17" s="1"/>
  <c r="R597" i="17"/>
  <c r="S597" i="17" s="1"/>
  <c r="Q574" i="17"/>
  <c r="U574" i="17" s="1"/>
  <c r="Q543" i="17"/>
  <c r="U543" i="17" s="1"/>
  <c r="R480" i="17"/>
  <c r="S480" i="17" s="1"/>
  <c r="Q520" i="17"/>
  <c r="U520" i="17" s="1"/>
  <c r="R455" i="17"/>
  <c r="S455" i="17" s="1"/>
  <c r="R391" i="17"/>
  <c r="S391" i="17" s="1"/>
  <c r="R327" i="17"/>
  <c r="S327" i="17" s="1"/>
  <c r="R594" i="17"/>
  <c r="S594" i="17" s="1"/>
  <c r="Q568" i="17"/>
  <c r="U568" i="17" s="1"/>
  <c r="R540" i="17"/>
  <c r="S540" i="17" s="1"/>
  <c r="Q477" i="17"/>
  <c r="U477" i="17" s="1"/>
  <c r="Q516" i="17"/>
  <c r="U516" i="17" s="1"/>
  <c r="Q452" i="17"/>
  <c r="U452" i="17" s="1"/>
  <c r="Q388" i="17"/>
  <c r="U388" i="17" s="1"/>
  <c r="R414" i="17"/>
  <c r="S414" i="17" s="1"/>
  <c r="R366" i="17"/>
  <c r="S366" i="17" s="1"/>
  <c r="R334" i="17"/>
  <c r="S334" i="17" s="1"/>
  <c r="Q302" i="17"/>
  <c r="U302" i="17" s="1"/>
  <c r="Q270" i="17"/>
  <c r="U270" i="17" s="1"/>
  <c r="Q238" i="17"/>
  <c r="Q206" i="17"/>
  <c r="U206" i="17" s="1"/>
  <c r="Q174" i="17"/>
  <c r="U174" i="17" s="1"/>
  <c r="Q142" i="17"/>
  <c r="U142" i="17" s="1"/>
  <c r="Q110" i="17"/>
  <c r="Q283" i="17"/>
  <c r="U283" i="17" s="1"/>
  <c r="Q251" i="17"/>
  <c r="U251" i="17" s="1"/>
  <c r="Q219" i="17"/>
  <c r="U219" i="17" s="1"/>
  <c r="Q187" i="17"/>
  <c r="U187" i="17" s="1"/>
  <c r="Q155" i="17"/>
  <c r="U155" i="17" s="1"/>
  <c r="Q123" i="17"/>
  <c r="U123" i="17" s="1"/>
  <c r="Q391" i="17"/>
  <c r="Q359" i="17"/>
  <c r="U359" i="17" s="1"/>
  <c r="Q327" i="17"/>
  <c r="U327" i="17" s="1"/>
  <c r="R295" i="17"/>
  <c r="S295" i="17" s="1"/>
  <c r="R263" i="17"/>
  <c r="S263" i="17" s="1"/>
  <c r="R231" i="17"/>
  <c r="S231" i="17" s="1"/>
  <c r="R199" i="17"/>
  <c r="S199" i="17" s="1"/>
  <c r="R167" i="17"/>
  <c r="S167" i="17" s="1"/>
  <c r="R135" i="17"/>
  <c r="S135" i="17" s="1"/>
  <c r="R308" i="17"/>
  <c r="S308" i="17" s="1"/>
  <c r="R276" i="17"/>
  <c r="S276" i="17" s="1"/>
  <c r="R244" i="17"/>
  <c r="S244" i="17" s="1"/>
  <c r="R212" i="17"/>
  <c r="S212" i="17" s="1"/>
  <c r="R180" i="17"/>
  <c r="S180" i="17" s="1"/>
  <c r="R148" i="17"/>
  <c r="S148" i="17" s="1"/>
  <c r="R116" i="17"/>
  <c r="S116" i="17" s="1"/>
  <c r="Q19" i="17"/>
  <c r="U19" i="17" s="1"/>
  <c r="Q51" i="17"/>
  <c r="U51" i="17" s="1"/>
  <c r="Q83" i="17"/>
  <c r="U83" i="17" s="1"/>
  <c r="R17" i="17"/>
  <c r="S17" i="17" s="1"/>
  <c r="Q34" i="17"/>
  <c r="U34" i="17" s="1"/>
  <c r="Q50" i="17"/>
  <c r="U50" i="17" s="1"/>
  <c r="Q66" i="17"/>
  <c r="U66" i="17" s="1"/>
  <c r="Q82" i="17"/>
  <c r="U82" i="17" s="1"/>
  <c r="Q98" i="17"/>
  <c r="U98" i="17" s="1"/>
  <c r="R22" i="17"/>
  <c r="S22" i="17" s="1"/>
  <c r="R54" i="17"/>
  <c r="S54" i="17" s="1"/>
  <c r="R86" i="17"/>
  <c r="S86" i="17" s="1"/>
  <c r="Q623" i="17"/>
  <c r="D633" i="17" s="1"/>
  <c r="Q558" i="17"/>
  <c r="U558" i="17" s="1"/>
  <c r="R472" i="17"/>
  <c r="S472" i="17" s="1"/>
  <c r="R447" i="17"/>
  <c r="S447" i="17" s="1"/>
  <c r="R319" i="17"/>
  <c r="S319" i="17" s="1"/>
  <c r="Q552" i="17"/>
  <c r="U552" i="17" s="1"/>
  <c r="Q469" i="17"/>
  <c r="Q444" i="17"/>
  <c r="U444" i="17" s="1"/>
  <c r="R402" i="17"/>
  <c r="S402" i="17" s="1"/>
  <c r="R330" i="17"/>
  <c r="S330" i="17" s="1"/>
  <c r="Q266" i="17"/>
  <c r="U266" i="17" s="1"/>
  <c r="Q202" i="17"/>
  <c r="U202" i="17" s="1"/>
  <c r="Q138" i="17"/>
  <c r="U138" i="17" s="1"/>
  <c r="Q279" i="17"/>
  <c r="U279" i="17" s="1"/>
  <c r="Q215" i="17"/>
  <c r="U215" i="17" s="1"/>
  <c r="Q151" i="17"/>
  <c r="U151" i="17" s="1"/>
  <c r="Q387" i="17"/>
  <c r="U387" i="17" s="1"/>
  <c r="Q323" i="17"/>
  <c r="U323" i="17" s="1"/>
  <c r="R259" i="17"/>
  <c r="S259" i="17" s="1"/>
  <c r="R195" i="17"/>
  <c r="S195" i="17" s="1"/>
  <c r="R131" i="17"/>
  <c r="S131" i="17" s="1"/>
  <c r="R272" i="17"/>
  <c r="S272" i="17" s="1"/>
  <c r="R208" i="17"/>
  <c r="S208" i="17" s="1"/>
  <c r="R144" i="17"/>
  <c r="S144" i="17" s="1"/>
  <c r="Q23" i="17"/>
  <c r="U23" i="17" s="1"/>
  <c r="Q87" i="17"/>
  <c r="U87" i="17" s="1"/>
  <c r="Q36" i="17"/>
  <c r="U36" i="17" s="1"/>
  <c r="Q68" i="17"/>
  <c r="U68" i="17" s="1"/>
  <c r="Q100" i="17"/>
  <c r="U100" i="17" s="1"/>
  <c r="R58" i="17"/>
  <c r="S58" i="17" s="1"/>
  <c r="R605" i="17"/>
  <c r="S605" i="17" s="1"/>
  <c r="R424" i="17"/>
  <c r="S424" i="17" s="1"/>
  <c r="Q602" i="17"/>
  <c r="U602" i="17" s="1"/>
  <c r="Q421" i="17"/>
  <c r="U421" i="17" s="1"/>
  <c r="R370" i="17"/>
  <c r="S370" i="17" s="1"/>
  <c r="Q242" i="17"/>
  <c r="U242" i="17" s="1"/>
  <c r="Q114" i="17"/>
  <c r="U114" i="17" s="1"/>
  <c r="Q191" i="17"/>
  <c r="U191" i="17" s="1"/>
  <c r="Q363" i="17"/>
  <c r="U363" i="17" s="1"/>
  <c r="R235" i="17"/>
  <c r="S235" i="17" s="1"/>
  <c r="R312" i="17"/>
  <c r="S312" i="17" s="1"/>
  <c r="R184" i="17"/>
  <c r="S184" i="17" s="1"/>
  <c r="Q47" i="17"/>
  <c r="U47" i="17" s="1"/>
  <c r="Q48" i="17"/>
  <c r="U48" i="17" s="1"/>
  <c r="R18" i="17"/>
  <c r="S18" i="17" s="1"/>
  <c r="Q573" i="17"/>
  <c r="U573" i="17" s="1"/>
  <c r="R570" i="17"/>
  <c r="S570" i="17" s="1"/>
  <c r="R354" i="17"/>
  <c r="S354" i="17" s="1"/>
  <c r="Q303" i="17"/>
  <c r="U303" i="17" s="1"/>
  <c r="Q347" i="17"/>
  <c r="U347" i="17" s="1"/>
  <c r="R296" i="17"/>
  <c r="S296" i="17" s="1"/>
  <c r="Q63" i="17"/>
  <c r="U63" i="17" s="1"/>
  <c r="R34" i="17"/>
  <c r="S34" i="17" s="1"/>
  <c r="Q532" i="17"/>
  <c r="U532" i="17" s="1"/>
  <c r="Q271" i="17"/>
  <c r="U271" i="17" s="1"/>
  <c r="R264" i="17"/>
  <c r="S264" i="17" s="1"/>
  <c r="R66" i="17"/>
  <c r="S66" i="17" s="1"/>
  <c r="Q207" i="17"/>
  <c r="U207" i="17" s="1"/>
  <c r="R386" i="17"/>
  <c r="S386" i="17" s="1"/>
  <c r="R610" i="17"/>
  <c r="S610" i="17" s="1"/>
  <c r="X583" i="17"/>
  <c r="X430" i="17"/>
  <c r="X190" i="17"/>
  <c r="Y240" i="17"/>
  <c r="X315" i="17"/>
  <c r="X194" i="17"/>
  <c r="X195" i="17"/>
  <c r="X463" i="17"/>
  <c r="Y187" i="17"/>
  <c r="X559" i="17"/>
  <c r="X368" i="17"/>
  <c r="Y559" i="17"/>
  <c r="Y574" i="17"/>
  <c r="X208" i="17"/>
  <c r="Y579" i="17"/>
  <c r="Y530" i="17"/>
  <c r="Y177" i="17"/>
  <c r="X251" i="17"/>
  <c r="Y426" i="17"/>
  <c r="Y490" i="17"/>
  <c r="X561" i="17"/>
  <c r="X322" i="17"/>
  <c r="X566" i="17"/>
  <c r="Y421" i="17"/>
  <c r="X495" i="17"/>
  <c r="X557" i="17"/>
  <c r="X626" i="17"/>
  <c r="Y155" i="17"/>
  <c r="X258" i="17"/>
  <c r="Y318" i="17"/>
  <c r="X130" i="17"/>
  <c r="Y551" i="17"/>
  <c r="X241" i="17"/>
  <c r="Y469" i="17"/>
  <c r="X81" i="17"/>
  <c r="X511" i="17"/>
  <c r="X162" i="17"/>
  <c r="X555" i="17"/>
  <c r="X524" i="17"/>
  <c r="Y382" i="17"/>
  <c r="X254" i="17"/>
  <c r="X126" i="17"/>
  <c r="X35" i="17"/>
  <c r="X589" i="17"/>
  <c r="Y291" i="17"/>
  <c r="Y163" i="17"/>
  <c r="X127" i="17"/>
  <c r="X226" i="17"/>
  <c r="Y322" i="17"/>
  <c r="Y305" i="17"/>
  <c r="Y203" i="17"/>
  <c r="Y333" i="17"/>
  <c r="Y381" i="17"/>
  <c r="Y502" i="17"/>
  <c r="X471" i="17"/>
  <c r="Y533" i="17"/>
  <c r="Y335" i="17"/>
  <c r="Y351" i="17"/>
  <c r="Y367" i="17"/>
  <c r="Y383" i="17"/>
  <c r="Y399" i="17"/>
  <c r="Y431" i="17"/>
  <c r="Y586" i="17"/>
  <c r="Y554" i="17"/>
  <c r="Y532" i="17"/>
  <c r="X508" i="17"/>
  <c r="X476" i="17"/>
  <c r="X380" i="17"/>
  <c r="X348" i="17"/>
  <c r="X509" i="17"/>
  <c r="X445" i="17"/>
  <c r="Y553" i="17"/>
  <c r="X56" i="17"/>
  <c r="X611" i="17"/>
  <c r="X316" i="17"/>
  <c r="Y606" i="17"/>
  <c r="Y444" i="17"/>
  <c r="Y483" i="17"/>
  <c r="Y558" i="17"/>
  <c r="X480" i="17"/>
  <c r="X416" i="17"/>
  <c r="X352" i="17"/>
  <c r="Y406" i="17"/>
  <c r="X362" i="17"/>
  <c r="X426" i="17"/>
  <c r="X458" i="17"/>
  <c r="X490" i="17"/>
  <c r="X548" i="17"/>
  <c r="Y568" i="17"/>
  <c r="Y438" i="17"/>
  <c r="Y470" i="17"/>
  <c r="Y500" i="17"/>
  <c r="Y241" i="17"/>
  <c r="Y474" i="17"/>
  <c r="Y563" i="17"/>
  <c r="Y529" i="17"/>
  <c r="X551" i="17"/>
  <c r="Y503" i="17"/>
  <c r="Y358" i="17"/>
  <c r="X294" i="17"/>
  <c r="X230" i="17"/>
  <c r="X166" i="17"/>
  <c r="X307" i="17"/>
  <c r="Y602" i="17"/>
  <c r="Y591" i="17"/>
  <c r="X331" i="17"/>
  <c r="X64" i="17"/>
  <c r="X290" i="17"/>
  <c r="Y283" i="17"/>
  <c r="Y136" i="17"/>
  <c r="X574" i="17"/>
  <c r="X520" i="17"/>
  <c r="Y391" i="17"/>
  <c r="X215" i="17"/>
  <c r="X100" i="17"/>
  <c r="Y605" i="17"/>
  <c r="X48" i="17"/>
  <c r="Y354" i="17"/>
  <c r="X303" i="17"/>
  <c r="X271" i="17"/>
  <c r="Y81" i="17"/>
  <c r="Y150" i="17"/>
  <c r="X523" i="17"/>
  <c r="X522" i="17"/>
  <c r="Y565" i="17"/>
  <c r="X255" i="17"/>
  <c r="X17" i="17"/>
  <c r="X203" i="17"/>
  <c r="X432" i="17"/>
  <c r="X496" i="17"/>
  <c r="X417" i="17"/>
  <c r="X513" i="17"/>
  <c r="Y520" i="17"/>
  <c r="X330" i="17"/>
  <c r="Y592" i="17"/>
  <c r="M624" i="17"/>
  <c r="N624" i="17"/>
  <c r="X407" i="17"/>
  <c r="X497" i="17"/>
  <c r="X275" i="17"/>
  <c r="X134" i="17"/>
  <c r="X198" i="17"/>
  <c r="X262" i="17"/>
  <c r="Y326" i="17"/>
  <c r="X384" i="17"/>
  <c r="X448" i="17"/>
  <c r="X512" i="17"/>
  <c r="Y442" i="17"/>
  <c r="Y458" i="17"/>
  <c r="Y506" i="17"/>
  <c r="Y536" i="17"/>
  <c r="X560" i="17"/>
  <c r="Y590" i="17"/>
  <c r="X593" i="17"/>
  <c r="Y400" i="17"/>
  <c r="X394" i="17"/>
  <c r="X600" i="17"/>
  <c r="X613" i="17"/>
  <c r="Y360" i="17"/>
  <c r="X296" i="17"/>
  <c r="X232" i="17"/>
  <c r="X168" i="17"/>
  <c r="X159" i="17"/>
  <c r="X16" i="17"/>
  <c r="X219" i="17"/>
  <c r="X155" i="17"/>
  <c r="X57" i="17"/>
  <c r="X41" i="17"/>
  <c r="Y376" i="17"/>
  <c r="X248" i="17"/>
  <c r="X136" i="17"/>
  <c r="X277" i="17"/>
  <c r="X213" i="17"/>
  <c r="Y612" i="17"/>
  <c r="Y549" i="17"/>
  <c r="X531" i="17"/>
  <c r="Y475" i="17"/>
  <c r="Y443" i="17"/>
  <c r="Y379" i="17"/>
  <c r="Y315" i="17"/>
  <c r="X325" i="17"/>
  <c r="Y309" i="17"/>
  <c r="Y293" i="17"/>
  <c r="Y277" i="17"/>
  <c r="Y261" i="17"/>
  <c r="Y245" i="17"/>
  <c r="Y229" i="17"/>
  <c r="Y213" i="17"/>
  <c r="Y197" i="17"/>
  <c r="Y181" i="17"/>
  <c r="Y165" i="17"/>
  <c r="Y149" i="17"/>
  <c r="Y133" i="17"/>
  <c r="Y117" i="17"/>
  <c r="Y306" i="17"/>
  <c r="Y290" i="17"/>
  <c r="Y274" i="17"/>
  <c r="Y258" i="17"/>
  <c r="Y242" i="17"/>
  <c r="Y226" i="17"/>
  <c r="Y210" i="17"/>
  <c r="Y194" i="17"/>
  <c r="Y178" i="17"/>
  <c r="Y162" i="17"/>
  <c r="X113" i="17"/>
  <c r="X578" i="17"/>
  <c r="X546" i="17"/>
  <c r="X515" i="17"/>
  <c r="X499" i="17"/>
  <c r="X483" i="17"/>
  <c r="X467" i="17"/>
  <c r="X383" i="17"/>
  <c r="X351" i="17"/>
  <c r="X319" i="17"/>
  <c r="Y287" i="17"/>
  <c r="Y255" i="17"/>
  <c r="Y223" i="17"/>
  <c r="Y191" i="17"/>
  <c r="Y159" i="17"/>
  <c r="X197" i="17"/>
  <c r="X165" i="17"/>
  <c r="X34" i="17"/>
  <c r="X50" i="17"/>
  <c r="X66" i="17"/>
  <c r="X82" i="17"/>
  <c r="X98" i="17"/>
  <c r="X425" i="17"/>
  <c r="X457" i="17"/>
  <c r="X489" i="17"/>
  <c r="X207" i="17"/>
  <c r="X328" i="17"/>
  <c r="X360" i="17"/>
  <c r="X392" i="17"/>
  <c r="X424" i="17"/>
  <c r="X456" i="17"/>
  <c r="X488" i="17"/>
  <c r="Y434" i="17"/>
  <c r="Y498" i="17"/>
  <c r="X576" i="17"/>
  <c r="Y543" i="17"/>
  <c r="Y566" i="17"/>
  <c r="X598" i="17"/>
  <c r="X553" i="17"/>
  <c r="X585" i="17"/>
  <c r="X160" i="17"/>
  <c r="X192" i="17"/>
  <c r="X224" i="17"/>
  <c r="X256" i="17"/>
  <c r="X288" i="17"/>
  <c r="Y320" i="17"/>
  <c r="Y352" i="17"/>
  <c r="Y384" i="17"/>
  <c r="X474" i="17"/>
  <c r="X506" i="17"/>
  <c r="Y552" i="17"/>
  <c r="Y584" i="17"/>
  <c r="X144" i="17"/>
  <c r="X112" i="17"/>
  <c r="X285" i="17"/>
  <c r="X253" i="17"/>
  <c r="X221" i="17"/>
  <c r="Y515" i="17"/>
  <c r="X27" i="17"/>
  <c r="X91" i="17"/>
  <c r="Y17" i="17"/>
  <c r="X143" i="17"/>
  <c r="X36" i="17"/>
  <c r="X25" i="17"/>
  <c r="Y74" i="17"/>
  <c r="X312" i="17"/>
  <c r="X577" i="17"/>
  <c r="Y339" i="17"/>
  <c r="X592" i="17"/>
  <c r="Y390" i="17"/>
  <c r="X148" i="17"/>
  <c r="X289" i="17"/>
  <c r="X225" i="17"/>
  <c r="X397" i="17"/>
  <c r="X450" i="17"/>
  <c r="X459" i="17"/>
  <c r="Y538" i="17"/>
  <c r="X538" i="17"/>
  <c r="X605" i="17"/>
  <c r="X411" i="17"/>
  <c r="Y357" i="17"/>
  <c r="Y437" i="17"/>
  <c r="Y453" i="17"/>
  <c r="Y485" i="17"/>
  <c r="Y501" i="17"/>
  <c r="Y531" i="17"/>
  <c r="X449" i="17"/>
  <c r="Y336" i="17"/>
  <c r="X173" i="17"/>
  <c r="X33" i="17"/>
  <c r="Y68" i="17"/>
  <c r="X518" i="17"/>
  <c r="X431" i="17"/>
  <c r="X447" i="17"/>
  <c r="X479" i="17"/>
  <c r="Y466" i="17"/>
  <c r="Y521" i="17"/>
  <c r="X575" i="17"/>
  <c r="Y471" i="17"/>
  <c r="X493" i="17"/>
  <c r="Y374" i="17"/>
  <c r="X310" i="17"/>
  <c r="X246" i="17"/>
  <c r="X182" i="17"/>
  <c r="X118" i="17"/>
  <c r="X107" i="17"/>
  <c r="X274" i="17"/>
  <c r="X146" i="17"/>
  <c r="X395" i="17"/>
  <c r="Y267" i="17"/>
  <c r="X587" i="17"/>
  <c r="Y600" i="17"/>
  <c r="Y423" i="17"/>
  <c r="Y350" i="17"/>
  <c r="X286" i="17"/>
  <c r="X222" i="17"/>
  <c r="X158" i="17"/>
  <c r="X299" i="17"/>
  <c r="X267" i="17"/>
  <c r="Y151" i="17"/>
  <c r="Y112" i="17"/>
  <c r="X535" i="17"/>
  <c r="Y511" i="17"/>
  <c r="X247" i="17"/>
  <c r="X355" i="17"/>
  <c r="Y227" i="17"/>
  <c r="Y304" i="17"/>
  <c r="Y90" i="17"/>
  <c r="X306" i="17"/>
  <c r="X178" i="17"/>
  <c r="Y299" i="17"/>
  <c r="Y248" i="17"/>
  <c r="Y120" i="17"/>
  <c r="X379" i="17"/>
  <c r="X19" i="17"/>
  <c r="Y61" i="17"/>
  <c r="Y109" i="17"/>
  <c r="X137" i="17"/>
  <c r="Y110" i="17"/>
  <c r="Y142" i="17"/>
  <c r="Y158" i="17"/>
  <c r="Y190" i="17"/>
  <c r="Y238" i="17"/>
  <c r="Y270" i="17"/>
  <c r="Y286" i="17"/>
  <c r="Y113" i="17"/>
  <c r="Y456" i="17"/>
  <c r="X590" i="17"/>
  <c r="Y557" i="17"/>
  <c r="Y589" i="17"/>
  <c r="X573" i="17"/>
  <c r="X85" i="17"/>
  <c r="Y264" i="17"/>
  <c r="Y296" i="17"/>
  <c r="Y179" i="17"/>
  <c r="Y251" i="17"/>
  <c r="Y317" i="17"/>
  <c r="Y365" i="17"/>
  <c r="Y422" i="17"/>
  <c r="Y454" i="17"/>
  <c r="Y486" i="17"/>
  <c r="X533" i="17"/>
  <c r="X532" i="17"/>
  <c r="X540" i="17"/>
  <c r="X603" i="17"/>
  <c r="X287" i="17"/>
  <c r="X114" i="17"/>
  <c r="X210" i="17"/>
  <c r="X242" i="17"/>
  <c r="Y338" i="17"/>
  <c r="Y370" i="17"/>
  <c r="Y583" i="17"/>
  <c r="Y596" i="17"/>
  <c r="Y598" i="17"/>
  <c r="X189" i="17"/>
  <c r="Y41" i="17"/>
  <c r="Y49" i="17"/>
  <c r="Y57" i="17"/>
  <c r="Y105" i="17"/>
  <c r="Y20" i="17"/>
  <c r="Y36" i="17"/>
  <c r="Y84" i="17"/>
  <c r="X60" i="17"/>
  <c r="Y139" i="17"/>
  <c r="Y216" i="17"/>
  <c r="X139" i="17"/>
  <c r="Y176" i="17"/>
  <c r="X175" i="17"/>
  <c r="X51" i="17"/>
  <c r="Y66" i="17"/>
  <c r="X76" i="17"/>
  <c r="X69" i="17"/>
  <c r="Y280" i="17"/>
  <c r="Y232" i="17"/>
  <c r="Y152" i="17"/>
  <c r="X157" i="17"/>
  <c r="Y89" i="17"/>
  <c r="X68" i="17"/>
  <c r="Y42" i="17"/>
  <c r="X622" i="17"/>
  <c r="X318" i="17"/>
  <c r="Y372" i="17"/>
  <c r="Y356" i="17"/>
  <c r="Y340" i="17"/>
  <c r="Y324" i="17"/>
  <c r="X308" i="17"/>
  <c r="X292" i="17"/>
  <c r="X276" i="17"/>
  <c r="X260" i="17"/>
  <c r="X244" i="17"/>
  <c r="X228" i="17"/>
  <c r="X212" i="17"/>
  <c r="X196" i="17"/>
  <c r="X180" i="17"/>
  <c r="X164" i="17"/>
  <c r="X370" i="17"/>
  <c r="X607" i="17"/>
  <c r="Y562" i="17"/>
  <c r="X484" i="17"/>
  <c r="X420" i="17"/>
  <c r="X356" i="17"/>
  <c r="X485" i="17"/>
  <c r="X453" i="17"/>
  <c r="X317" i="17"/>
  <c r="Y301" i="17"/>
  <c r="Y285" i="17"/>
  <c r="Y269" i="17"/>
  <c r="Y253" i="17"/>
  <c r="Y237" i="17"/>
  <c r="Y221" i="17"/>
  <c r="Y205" i="17"/>
  <c r="Y189" i="17"/>
  <c r="Y173" i="17"/>
  <c r="Y157" i="17"/>
  <c r="Y141" i="17"/>
  <c r="Y125" i="17"/>
  <c r="Y314" i="17"/>
  <c r="Y298" i="17"/>
  <c r="Y282" i="17"/>
  <c r="Y266" i="17"/>
  <c r="Y250" i="17"/>
  <c r="Y234" i="17"/>
  <c r="Y218" i="17"/>
  <c r="Y202" i="17"/>
  <c r="Y186" i="17"/>
  <c r="Y170" i="17"/>
  <c r="X193" i="17"/>
  <c r="X161" i="17"/>
  <c r="X129" i="17"/>
  <c r="X14" i="17"/>
  <c r="X30" i="17"/>
  <c r="X46" i="17"/>
  <c r="X62" i="17"/>
  <c r="X78" i="17"/>
  <c r="X94" i="17"/>
  <c r="X609" i="17"/>
  <c r="X612" i="17"/>
  <c r="X596" i="17"/>
  <c r="Y580" i="17"/>
  <c r="Y564" i="17"/>
  <c r="Y548" i="17"/>
  <c r="Y571" i="17"/>
  <c r="Y541" i="17"/>
  <c r="Y448" i="17"/>
  <c r="Y432" i="17"/>
  <c r="Y519" i="17"/>
  <c r="X502" i="17"/>
  <c r="X486" i="17"/>
  <c r="X470" i="17"/>
  <c r="X454" i="17"/>
  <c r="X438" i="17"/>
  <c r="X406" i="17"/>
  <c r="X390" i="17"/>
  <c r="X374" i="17"/>
  <c r="X358" i="17"/>
  <c r="X342" i="17"/>
  <c r="X326" i="17"/>
  <c r="Y412" i="17"/>
  <c r="X268" i="17"/>
  <c r="X252" i="17"/>
  <c r="X236" i="17"/>
  <c r="X220" i="17"/>
  <c r="X204" i="17"/>
  <c r="X188" i="17"/>
  <c r="X172" i="17"/>
  <c r="X156" i="17"/>
  <c r="X608" i="17"/>
  <c r="Y544" i="17"/>
  <c r="Y428" i="17"/>
  <c r="X466" i="17"/>
  <c r="X402" i="17"/>
  <c r="Y613" i="17"/>
  <c r="X549" i="17"/>
  <c r="X610" i="17"/>
  <c r="Y546" i="17"/>
  <c r="Y539" i="17"/>
  <c r="X568" i="17"/>
  <c r="Y462" i="17"/>
  <c r="X468" i="17"/>
  <c r="X404" i="17"/>
  <c r="X340" i="17"/>
  <c r="Y346" i="17"/>
  <c r="X282" i="17"/>
  <c r="X218" i="17"/>
  <c r="X154" i="17"/>
  <c r="X295" i="17"/>
  <c r="X469" i="17"/>
  <c r="X353" i="17"/>
  <c r="X177" i="17"/>
  <c r="X145" i="17"/>
  <c r="X259" i="17"/>
  <c r="X227" i="17"/>
  <c r="Y608" i="17"/>
  <c r="Y595" i="17"/>
  <c r="X563" i="17"/>
  <c r="X529" i="17"/>
  <c r="X399" i="17"/>
  <c r="X367" i="17"/>
  <c r="X335" i="17"/>
  <c r="Y303" i="17"/>
  <c r="Y271" i="17"/>
  <c r="Y239" i="17"/>
  <c r="Y207" i="17"/>
  <c r="Y175" i="17"/>
  <c r="X125" i="17"/>
  <c r="Y15" i="17"/>
  <c r="Y23" i="17"/>
  <c r="Y31" i="17"/>
  <c r="Y39" i="17"/>
  <c r="Y47" i="17"/>
  <c r="Y55" i="17"/>
  <c r="Y63" i="17"/>
  <c r="Y71" i="17"/>
  <c r="Y79" i="17"/>
  <c r="Y87" i="17"/>
  <c r="Y95" i="17"/>
  <c r="Y103" i="17"/>
  <c r="X18" i="17"/>
  <c r="X26" i="17"/>
  <c r="X42" i="17"/>
  <c r="X58" i="17"/>
  <c r="X74" i="17"/>
  <c r="X90" i="17"/>
  <c r="X106" i="17"/>
  <c r="X333" i="17"/>
  <c r="X349" i="17"/>
  <c r="Y327" i="17"/>
  <c r="Y343" i="17"/>
  <c r="Y359" i="17"/>
  <c r="Y375" i="17"/>
  <c r="X481" i="17"/>
  <c r="X527" i="17"/>
  <c r="X526" i="17"/>
  <c r="X542" i="17"/>
  <c r="X591" i="17"/>
  <c r="Y604" i="17"/>
  <c r="X291" i="17"/>
  <c r="X150" i="17"/>
  <c r="X214" i="17"/>
  <c r="X278" i="17"/>
  <c r="Y342" i="17"/>
  <c r="X320" i="17"/>
  <c r="X336" i="17"/>
  <c r="X400" i="17"/>
  <c r="X464" i="17"/>
  <c r="Y535" i="17"/>
  <c r="X606" i="17"/>
  <c r="X545" i="17"/>
  <c r="Y609" i="17"/>
  <c r="X209" i="17"/>
  <c r="X257" i="17"/>
  <c r="X273" i="17"/>
  <c r="X116" i="17"/>
  <c r="X132" i="17"/>
  <c r="X176" i="17"/>
  <c r="X240" i="17"/>
  <c r="X272" i="17"/>
  <c r="X304" i="17"/>
  <c r="Y368" i="17"/>
  <c r="Y420" i="17"/>
  <c r="Y452" i="17"/>
  <c r="Y484" i="17"/>
  <c r="Y516" i="17"/>
  <c r="X514" i="17"/>
  <c r="X386" i="17"/>
  <c r="X128" i="17"/>
  <c r="X301" i="17"/>
  <c r="X269" i="17"/>
  <c r="X237" i="17"/>
  <c r="X205" i="17"/>
  <c r="X602" i="17"/>
  <c r="Y570" i="17"/>
  <c r="X552" i="17"/>
  <c r="X492" i="17"/>
  <c r="X460" i="17"/>
  <c r="X428" i="17"/>
  <c r="X396" i="17"/>
  <c r="X364" i="17"/>
  <c r="X332" i="17"/>
  <c r="Y402" i="17"/>
  <c r="X461" i="17"/>
  <c r="Y467" i="17"/>
  <c r="Y435" i="17"/>
  <c r="Y371" i="17"/>
  <c r="X409" i="17"/>
  <c r="X345" i="17"/>
  <c r="Y289" i="17"/>
  <c r="Y273" i="17"/>
  <c r="Y225" i="17"/>
  <c r="Y209" i="17"/>
  <c r="Y161" i="17"/>
  <c r="Y145" i="17"/>
  <c r="Y262" i="17"/>
  <c r="Y230" i="17"/>
  <c r="X185" i="17"/>
  <c r="X121" i="17"/>
  <c r="X235" i="17"/>
  <c r="Y585" i="17"/>
  <c r="X554" i="17"/>
  <c r="X455" i="17"/>
  <c r="X423" i="17"/>
  <c r="Y429" i="17"/>
  <c r="Y397" i="17"/>
  <c r="X403" i="17"/>
  <c r="X371" i="17"/>
  <c r="Y275" i="17"/>
  <c r="Y243" i="17"/>
  <c r="Y147" i="17"/>
  <c r="Y115" i="17"/>
  <c r="Y224" i="17"/>
  <c r="Y192" i="17"/>
  <c r="X171" i="17"/>
  <c r="Y13" i="17"/>
  <c r="Y29" i="17"/>
  <c r="Y77" i="17"/>
  <c r="Y93" i="17"/>
  <c r="Y44" i="17"/>
  <c r="X43" i="17"/>
  <c r="X75" i="17"/>
  <c r="X101" i="17"/>
  <c r="X32" i="17"/>
  <c r="X80" i="17"/>
  <c r="X96" i="17"/>
  <c r="Y18" i="17"/>
  <c r="Y50" i="17"/>
  <c r="X49" i="17"/>
  <c r="X97" i="17"/>
  <c r="Y254" i="17"/>
  <c r="Y222" i="17"/>
  <c r="X169" i="17"/>
  <c r="Y569" i="17"/>
  <c r="X541" i="17"/>
  <c r="Y517" i="17"/>
  <c r="Y389" i="17"/>
  <c r="X363" i="17"/>
  <c r="Y235" i="17"/>
  <c r="Y312" i="17"/>
  <c r="Y184" i="17"/>
  <c r="Y33" i="17"/>
  <c r="Y97" i="17"/>
  <c r="Y52" i="17"/>
  <c r="X83" i="17"/>
  <c r="Y626" i="17"/>
  <c r="X20" i="17"/>
  <c r="X84" i="17"/>
  <c r="Y26" i="17"/>
  <c r="Y73" i="17"/>
  <c r="X28" i="17"/>
  <c r="X92" i="17"/>
  <c r="X570" i="17"/>
  <c r="Y405" i="17"/>
  <c r="Y25" i="17"/>
  <c r="Y200" i="17"/>
  <c r="Y123" i="17"/>
  <c r="X199" i="17"/>
  <c r="X67" i="17"/>
  <c r="X263" i="17"/>
  <c r="X63" i="17"/>
  <c r="X314" i="17"/>
  <c r="Y577" i="17"/>
  <c r="Y409" i="17"/>
  <c r="Y220" i="17"/>
  <c r="Y542" i="17"/>
  <c r="Y316" i="17"/>
  <c r="X581" i="17"/>
  <c r="Y494" i="17"/>
  <c r="X186" i="17"/>
  <c r="X582" i="17"/>
  <c r="X435" i="17"/>
  <c r="Y480" i="17"/>
  <c r="Y380" i="17"/>
  <c r="X338" i="17"/>
  <c r="X184" i="17"/>
  <c r="Y430" i="17"/>
  <c r="Y378" i="17"/>
  <c r="X250" i="17"/>
  <c r="X122" i="17"/>
  <c r="X567" i="17"/>
  <c r="Y114" i="17"/>
  <c r="Y473" i="17"/>
  <c r="Y345" i="17"/>
  <c r="Y284" i="17"/>
  <c r="Y156" i="17"/>
  <c r="X437" i="17"/>
  <c r="Y32" i="17"/>
  <c r="X119" i="17"/>
  <c r="Y70" i="17"/>
  <c r="Y525" i="17"/>
  <c r="Y512" i="17"/>
  <c r="X422" i="17"/>
  <c r="Y348" i="17"/>
  <c r="X284" i="17"/>
  <c r="X564" i="17"/>
  <c r="X309" i="17"/>
  <c r="X245" i="17"/>
  <c r="Y578" i="17"/>
  <c r="Y524" i="17"/>
  <c r="X500" i="17"/>
  <c r="X436" i="17"/>
  <c r="X372" i="17"/>
  <c r="Y410" i="17"/>
  <c r="Y146" i="17"/>
  <c r="X528" i="17"/>
  <c r="Y505" i="17"/>
  <c r="Y441" i="17"/>
  <c r="Y377" i="17"/>
  <c r="X415" i="17"/>
  <c r="Y143" i="17"/>
  <c r="Y411" i="17"/>
  <c r="X385" i="17"/>
  <c r="Y96" i="17"/>
  <c r="X77" i="17"/>
  <c r="X37" i="17"/>
  <c r="X539" i="17"/>
  <c r="Y476" i="17"/>
  <c r="Y451" i="17"/>
  <c r="Y130" i="17"/>
  <c r="X419" i="17"/>
  <c r="X451" i="17"/>
  <c r="Y445" i="17"/>
  <c r="Y461" i="17"/>
  <c r="Y493" i="17"/>
  <c r="Y509" i="17"/>
  <c r="Y347" i="17"/>
  <c r="X321" i="17"/>
  <c r="Y257" i="17"/>
  <c r="Y193" i="17"/>
  <c r="Y129" i="17"/>
  <c r="Y302" i="17"/>
  <c r="Y206" i="17"/>
  <c r="Y174" i="17"/>
  <c r="Y126" i="17"/>
  <c r="X73" i="17"/>
  <c r="Y45" i="17"/>
  <c r="Y60" i="17"/>
  <c r="Y76" i="17"/>
  <c r="Y108" i="17"/>
  <c r="X111" i="17"/>
  <c r="X44" i="17"/>
  <c r="X108" i="17"/>
  <c r="X572" i="17"/>
  <c r="Y526" i="17"/>
  <c r="Y496" i="17"/>
  <c r="Y464" i="17"/>
  <c r="Y396" i="17"/>
  <c r="Y364" i="17"/>
  <c r="Y332" i="17"/>
  <c r="X300" i="17"/>
  <c r="Y492" i="17"/>
  <c r="X223" i="17"/>
  <c r="Y573" i="17"/>
  <c r="X543" i="17"/>
  <c r="X465" i="17"/>
  <c r="X433" i="17"/>
  <c r="Y487" i="17"/>
  <c r="Y455" i="17"/>
  <c r="Y439" i="17"/>
  <c r="Y407" i="17"/>
  <c r="X413" i="17"/>
  <c r="X381" i="17"/>
  <c r="Y545" i="17"/>
  <c r="Y489" i="17"/>
  <c r="Y457" i="17"/>
  <c r="Y425" i="17"/>
  <c r="Y393" i="17"/>
  <c r="Y361" i="17"/>
  <c r="Y329" i="17"/>
  <c r="Y111" i="17"/>
  <c r="Y252" i="17"/>
  <c r="Y188" i="17"/>
  <c r="Y124" i="17"/>
  <c r="X501" i="17"/>
  <c r="X429" i="17"/>
  <c r="Y499" i="17"/>
  <c r="Y403" i="17"/>
  <c r="X377" i="17"/>
  <c r="Y121" i="17"/>
  <c r="Y294" i="17"/>
  <c r="Y198" i="17"/>
  <c r="Y166" i="17"/>
  <c r="Y134" i="17"/>
  <c r="Y603" i="17"/>
  <c r="X525" i="17"/>
  <c r="X487" i="17"/>
  <c r="Y373" i="17"/>
  <c r="Y341" i="17"/>
  <c r="Y325" i="17"/>
  <c r="X347" i="17"/>
  <c r="Y307" i="17"/>
  <c r="Y211" i="17"/>
  <c r="Y171" i="17"/>
  <c r="Y288" i="17"/>
  <c r="Y256" i="17"/>
  <c r="Y168" i="17"/>
  <c r="Y128" i="17"/>
  <c r="X123" i="17"/>
  <c r="Y65" i="17"/>
  <c r="X99" i="17"/>
  <c r="X131" i="17"/>
  <c r="Y64" i="17"/>
  <c r="X31" i="17"/>
  <c r="X95" i="17"/>
  <c r="X191" i="17"/>
  <c r="Y38" i="17"/>
  <c r="Y102" i="17"/>
  <c r="X52" i="17"/>
  <c r="Y82" i="17"/>
  <c r="Y106" i="17"/>
  <c r="X414" i="17"/>
  <c r="X398" i="17"/>
  <c r="X382" i="17"/>
  <c r="X366" i="17"/>
  <c r="X350" i="17"/>
  <c r="X334" i="17"/>
  <c r="Y404" i="17"/>
  <c r="Y388" i="17"/>
  <c r="Y344" i="17"/>
  <c r="X280" i="17"/>
  <c r="X216" i="17"/>
  <c r="X152" i="17"/>
  <c r="X120" i="17"/>
  <c r="X293" i="17"/>
  <c r="X261" i="17"/>
  <c r="X229" i="17"/>
  <c r="Y594" i="17"/>
  <c r="Y540" i="17"/>
  <c r="X516" i="17"/>
  <c r="X452" i="17"/>
  <c r="X388" i="17"/>
  <c r="X324" i="17"/>
  <c r="Y394" i="17"/>
  <c r="X517" i="17"/>
  <c r="X421" i="17"/>
  <c r="Y427" i="17"/>
  <c r="Y395" i="17"/>
  <c r="Y363" i="17"/>
  <c r="Y331" i="17"/>
  <c r="X401" i="17"/>
  <c r="X369" i="17"/>
  <c r="X337" i="17"/>
  <c r="Y561" i="17"/>
  <c r="X536" i="17"/>
  <c r="X181" i="17"/>
  <c r="X149" i="17"/>
  <c r="Y19" i="17"/>
  <c r="Y27" i="17"/>
  <c r="Y35" i="17"/>
  <c r="Y43" i="17"/>
  <c r="Y51" i="17"/>
  <c r="Y59" i="17"/>
  <c r="Y67" i="17"/>
  <c r="Y75" i="17"/>
  <c r="Y83" i="17"/>
  <c r="Y91" i="17"/>
  <c r="Y99" i="17"/>
  <c r="Y107" i="17"/>
  <c r="X133" i="17"/>
  <c r="X22" i="17"/>
  <c r="X38" i="17"/>
  <c r="X54" i="17"/>
  <c r="X70" i="17"/>
  <c r="X86" i="17"/>
  <c r="X102" i="17"/>
  <c r="X341" i="17"/>
  <c r="X357" i="17"/>
  <c r="X373" i="17"/>
  <c r="X389" i="17"/>
  <c r="X405" i="17"/>
  <c r="Y319" i="17"/>
  <c r="Y415" i="17"/>
  <c r="Y447" i="17"/>
  <c r="X441" i="17"/>
  <c r="X473" i="17"/>
  <c r="X505" i="17"/>
  <c r="Y593" i="17"/>
  <c r="Y398" i="17"/>
  <c r="Y414" i="17"/>
  <c r="X344" i="17"/>
  <c r="X376" i="17"/>
  <c r="X408" i="17"/>
  <c r="X440" i="17"/>
  <c r="X472" i="17"/>
  <c r="X504" i="17"/>
  <c r="Y528" i="17"/>
  <c r="X544" i="17"/>
  <c r="Y550" i="17"/>
  <c r="Y582" i="17"/>
  <c r="X595" i="17"/>
  <c r="X201" i="17"/>
  <c r="X217" i="17"/>
  <c r="X233" i="17"/>
  <c r="X249" i="17"/>
  <c r="X265" i="17"/>
  <c r="X281" i="17"/>
  <c r="X297" i="17"/>
  <c r="X313" i="17"/>
  <c r="X124" i="17"/>
  <c r="X140" i="17"/>
  <c r="X346" i="17"/>
  <c r="X378" i="17"/>
  <c r="X410" i="17"/>
  <c r="Y328" i="17"/>
  <c r="X264" i="17"/>
  <c r="X200" i="17"/>
  <c r="X599" i="17"/>
  <c r="X584" i="17"/>
  <c r="X444" i="17"/>
  <c r="X412" i="17"/>
  <c r="Y386" i="17"/>
  <c r="X477" i="17"/>
  <c r="Y419" i="17"/>
  <c r="Y387" i="17"/>
  <c r="Y355" i="17"/>
  <c r="Y323" i="17"/>
  <c r="X153" i="17"/>
  <c r="Y21" i="17"/>
  <c r="Y37" i="17"/>
  <c r="Y53" i="17"/>
  <c r="Y69" i="17"/>
  <c r="Y85" i="17"/>
  <c r="Y101" i="17"/>
  <c r="X24" i="17"/>
  <c r="Y127" i="17"/>
  <c r="Y300" i="17"/>
  <c r="Y268" i="17"/>
  <c r="Y236" i="17"/>
  <c r="Y204" i="17"/>
  <c r="Y172" i="17"/>
  <c r="Y140" i="17"/>
  <c r="Y507" i="17"/>
  <c r="X163" i="17"/>
  <c r="Y16" i="17"/>
  <c r="Y48" i="17"/>
  <c r="Y80" i="17"/>
  <c r="X15" i="17"/>
  <c r="X47" i="17"/>
  <c r="X79" i="17"/>
  <c r="Y622" i="17"/>
  <c r="X109" i="17"/>
  <c r="X151" i="17"/>
  <c r="Y22" i="17"/>
  <c r="Y54" i="17"/>
  <c r="Y86" i="17"/>
  <c r="X21" i="17"/>
  <c r="X53" i="17"/>
  <c r="X105" i="17"/>
  <c r="Y572" i="17"/>
  <c r="Y518" i="17"/>
  <c r="X494" i="17"/>
  <c r="Y433" i="17"/>
  <c r="Y279" i="17"/>
  <c r="Y228" i="17"/>
  <c r="J625" i="17"/>
  <c r="I625" i="17"/>
  <c r="C625" i="17"/>
  <c r="O625" i="17"/>
  <c r="D625" i="17"/>
  <c r="F625" i="17"/>
  <c r="P625" i="17"/>
  <c r="K625" i="17"/>
  <c r="E625" i="17"/>
  <c r="L625" i="17"/>
  <c r="I624" i="17"/>
  <c r="K624" i="17"/>
  <c r="C624" i="17"/>
  <c r="F624" i="17"/>
  <c r="P624" i="17"/>
  <c r="L624" i="17"/>
  <c r="J624" i="17"/>
  <c r="D624" i="17"/>
  <c r="E624" i="17"/>
  <c r="O624" i="17"/>
  <c r="X418" i="17"/>
  <c r="X354" i="17"/>
  <c r="Y392" i="17"/>
  <c r="X393" i="17"/>
  <c r="X361" i="17"/>
  <c r="X329" i="17"/>
  <c r="Y313" i="17"/>
  <c r="Y297" i="17"/>
  <c r="Y281" i="17"/>
  <c r="Y265" i="17"/>
  <c r="Y249" i="17"/>
  <c r="Y233" i="17"/>
  <c r="Y217" i="17"/>
  <c r="Y201" i="17"/>
  <c r="Y185" i="17"/>
  <c r="Y169" i="17"/>
  <c r="Y153" i="17"/>
  <c r="Y137" i="17"/>
  <c r="Y310" i="17"/>
  <c r="Y278" i="17"/>
  <c r="Y246" i="17"/>
  <c r="Y214" i="17"/>
  <c r="Y182" i="17"/>
  <c r="X141" i="17"/>
  <c r="X40" i="17"/>
  <c r="X72" i="17"/>
  <c r="X88" i="17"/>
  <c r="X104" i="17"/>
  <c r="N625" i="17"/>
  <c r="X604" i="17"/>
  <c r="Y587" i="17"/>
  <c r="X556" i="17"/>
  <c r="Y488" i="17"/>
  <c r="Y424" i="17"/>
  <c r="X462" i="17"/>
  <c r="Y601" i="17"/>
  <c r="X569" i="17"/>
  <c r="Y575" i="17"/>
  <c r="Y527" i="17"/>
  <c r="Y514" i="17"/>
  <c r="Y482" i="17"/>
  <c r="Y450" i="17"/>
  <c r="Y418" i="17"/>
  <c r="Y366" i="17"/>
  <c r="Y334" i="17"/>
  <c r="X302" i="17"/>
  <c r="X270" i="17"/>
  <c r="X238" i="17"/>
  <c r="X206" i="17"/>
  <c r="X174" i="17"/>
  <c r="X142" i="17"/>
  <c r="X110" i="17"/>
  <c r="X283" i="17"/>
  <c r="X597" i="17"/>
  <c r="Y560" i="17"/>
  <c r="Y547" i="17"/>
  <c r="X580" i="17"/>
  <c r="Y508" i="17"/>
  <c r="Y468" i="17"/>
  <c r="Y436" i="17"/>
  <c r="X482" i="17"/>
  <c r="X442" i="17"/>
  <c r="Y416" i="17"/>
  <c r="X239" i="17"/>
  <c r="Y607" i="17"/>
  <c r="X534" i="17"/>
  <c r="X558" i="17"/>
  <c r="X519" i="17"/>
  <c r="Y479" i="17"/>
  <c r="Y138" i="17"/>
  <c r="Y611" i="17"/>
  <c r="X521" i="17"/>
  <c r="Y497" i="17"/>
  <c r="Y369" i="17"/>
  <c r="X343" i="17"/>
  <c r="Y215" i="17"/>
  <c r="Y292" i="17"/>
  <c r="Y164" i="17"/>
  <c r="X601" i="17"/>
  <c r="Y588" i="17"/>
  <c r="Y556" i="17"/>
  <c r="Y555" i="17"/>
  <c r="X588" i="17"/>
  <c r="Y534" i="17"/>
  <c r="Y504" i="17"/>
  <c r="Y472" i="17"/>
  <c r="Y440" i="17"/>
  <c r="X510" i="17"/>
  <c r="X478" i="17"/>
  <c r="X446" i="17"/>
  <c r="Y576" i="17"/>
  <c r="Y537" i="17"/>
  <c r="Y522" i="17"/>
  <c r="Y460" i="17"/>
  <c r="X498" i="17"/>
  <c r="X434" i="17"/>
  <c r="Y408" i="17"/>
  <c r="Y610" i="17"/>
  <c r="Y597" i="17"/>
  <c r="X565" i="17"/>
  <c r="Y567" i="17"/>
  <c r="Y523" i="17"/>
  <c r="Y510" i="17"/>
  <c r="Y478" i="17"/>
  <c r="Y446" i="17"/>
  <c r="Y362" i="17"/>
  <c r="Y330" i="17"/>
  <c r="X298" i="17"/>
  <c r="X266" i="17"/>
  <c r="X234" i="17"/>
  <c r="X202" i="17"/>
  <c r="X170" i="17"/>
  <c r="X138" i="17"/>
  <c r="X311" i="17"/>
  <c r="X279" i="17"/>
  <c r="X231" i="17"/>
  <c r="Y599" i="17"/>
  <c r="Y581" i="17"/>
  <c r="X530" i="17"/>
  <c r="X550" i="17"/>
  <c r="Y495" i="17"/>
  <c r="Y463" i="17"/>
  <c r="X243" i="17"/>
  <c r="X547" i="17"/>
  <c r="X562" i="17"/>
  <c r="X491" i="17"/>
  <c r="X427" i="17"/>
  <c r="Y465" i="17"/>
  <c r="Y401" i="17"/>
  <c r="Y337" i="17"/>
  <c r="X375" i="17"/>
  <c r="Y311" i="17"/>
  <c r="Y247" i="17"/>
  <c r="Y183" i="17"/>
  <c r="Y119" i="17"/>
  <c r="Y260" i="17"/>
  <c r="Y196" i="17"/>
  <c r="Y132" i="17"/>
  <c r="X55" i="17"/>
  <c r="Y24" i="17"/>
  <c r="X135" i="17"/>
  <c r="Y62" i="17"/>
  <c r="Y88" i="17"/>
  <c r="X623" i="17"/>
  <c r="X29" i="17"/>
  <c r="X147" i="17"/>
  <c r="Y56" i="17"/>
  <c r="X23" i="17"/>
  <c r="X87" i="17"/>
  <c r="Y30" i="17"/>
  <c r="Y94" i="17"/>
  <c r="X61" i="17"/>
  <c r="Y154" i="17"/>
  <c r="Y122" i="17"/>
  <c r="X187" i="17"/>
  <c r="X211" i="17"/>
  <c r="X579" i="17"/>
  <c r="X594" i="17"/>
  <c r="X537" i="17"/>
  <c r="X507" i="17"/>
  <c r="X475" i="17"/>
  <c r="X443" i="17"/>
  <c r="Y513" i="17"/>
  <c r="Y481" i="17"/>
  <c r="Y449" i="17"/>
  <c r="Y417" i="17"/>
  <c r="Y385" i="17"/>
  <c r="Y353" i="17"/>
  <c r="Y321" i="17"/>
  <c r="X391" i="17"/>
  <c r="X359" i="17"/>
  <c r="X327" i="17"/>
  <c r="Y295" i="17"/>
  <c r="Y263" i="17"/>
  <c r="Y231" i="17"/>
  <c r="Y199" i="17"/>
  <c r="Y167" i="17"/>
  <c r="Y135" i="17"/>
  <c r="Y308" i="17"/>
  <c r="Y276" i="17"/>
  <c r="Y244" i="17"/>
  <c r="Y212" i="17"/>
  <c r="Y180" i="17"/>
  <c r="Y148" i="17"/>
  <c r="Y116" i="17"/>
  <c r="Y491" i="17"/>
  <c r="Y459" i="17"/>
  <c r="Y118" i="17"/>
  <c r="X179" i="17"/>
  <c r="X571" i="17"/>
  <c r="X586" i="17"/>
  <c r="X503" i="17"/>
  <c r="X439" i="17"/>
  <c r="Y477" i="17"/>
  <c r="Y413" i="17"/>
  <c r="Y349" i="17"/>
  <c r="X387" i="17"/>
  <c r="X323" i="17"/>
  <c r="Y259" i="17"/>
  <c r="Y195" i="17"/>
  <c r="Y131" i="17"/>
  <c r="Y272" i="17"/>
  <c r="Y208" i="17"/>
  <c r="Y144" i="17"/>
  <c r="Y28" i="17"/>
  <c r="Y92" i="17"/>
  <c r="X59" i="17"/>
  <c r="X183" i="17"/>
  <c r="X115" i="17"/>
  <c r="Y40" i="17"/>
  <c r="Y72" i="17"/>
  <c r="Y104" i="17"/>
  <c r="X39" i="17"/>
  <c r="X71" i="17"/>
  <c r="X103" i="17"/>
  <c r="X93" i="17"/>
  <c r="X167" i="17"/>
  <c r="Y14" i="17"/>
  <c r="Y46" i="17"/>
  <c r="Y78" i="17"/>
  <c r="X13" i="17"/>
  <c r="X45" i="17"/>
  <c r="X89" i="17"/>
  <c r="X117" i="17"/>
  <c r="Y34" i="17"/>
  <c r="Y98" i="17"/>
  <c r="X65" i="17"/>
  <c r="Y623" i="17"/>
  <c r="AB627" i="17" l="1"/>
  <c r="R627" i="17"/>
  <c r="S627" i="17" s="1"/>
  <c r="AA627" i="17"/>
  <c r="AD468" i="17"/>
  <c r="AE468" i="17" s="1"/>
  <c r="U469" i="17"/>
  <c r="AD390" i="17"/>
  <c r="AE390" i="17" s="1"/>
  <c r="U391" i="17"/>
  <c r="AD85" i="17"/>
  <c r="AE85" i="17" s="1"/>
  <c r="U86" i="17"/>
  <c r="AD21" i="17"/>
  <c r="AE21" i="17" s="1"/>
  <c r="U22" i="17"/>
  <c r="AD292" i="17"/>
  <c r="AE292" i="17" s="1"/>
  <c r="U293" i="17"/>
  <c r="AD613" i="17"/>
  <c r="AE613" i="17" s="1"/>
  <c r="U613" i="17"/>
  <c r="AD299" i="17"/>
  <c r="AE299" i="17" s="1"/>
  <c r="U300" i="17"/>
  <c r="AD329" i="17"/>
  <c r="AE329" i="17" s="1"/>
  <c r="U330" i="17"/>
  <c r="AD17" i="17"/>
  <c r="AE17" i="17" s="1"/>
  <c r="U18" i="17"/>
  <c r="AD109" i="17"/>
  <c r="AE109" i="17" s="1"/>
  <c r="U110" i="17"/>
  <c r="AD237" i="17"/>
  <c r="AE237" i="17" s="1"/>
  <c r="U238" i="17"/>
  <c r="AD129" i="17"/>
  <c r="AE129" i="17" s="1"/>
  <c r="U130" i="17"/>
  <c r="AD584" i="17"/>
  <c r="AE584" i="17" s="1"/>
  <c r="U584" i="17"/>
  <c r="AD487" i="17"/>
  <c r="AE487" i="17" s="1"/>
  <c r="U487" i="17"/>
  <c r="AD429" i="17"/>
  <c r="AE429" i="17" s="1"/>
  <c r="U430" i="17"/>
  <c r="AD116" i="17"/>
  <c r="AE116" i="17" s="1"/>
  <c r="U117" i="17"/>
  <c r="AD257" i="17"/>
  <c r="AE257" i="17" s="1"/>
  <c r="AD223" i="17"/>
  <c r="AE223" i="17" s="1"/>
  <c r="X625" i="17"/>
  <c r="AD216" i="17"/>
  <c r="AE216" i="17" s="1"/>
  <c r="AD123" i="17"/>
  <c r="AE123" i="17" s="1"/>
  <c r="AD226" i="17"/>
  <c r="AE226" i="17" s="1"/>
  <c r="AD511" i="17"/>
  <c r="AE511" i="17" s="1"/>
  <c r="AD422" i="17"/>
  <c r="AE422" i="17" s="1"/>
  <c r="AD114" i="17"/>
  <c r="AE114" i="17" s="1"/>
  <c r="AD315" i="17"/>
  <c r="AE315" i="17" s="1"/>
  <c r="AD259" i="17"/>
  <c r="AE259" i="17" s="1"/>
  <c r="AD499" i="17"/>
  <c r="AE499" i="17" s="1"/>
  <c r="AD256" i="17"/>
  <c r="AE256" i="17" s="1"/>
  <c r="AD437" i="17"/>
  <c r="AE437" i="17" s="1"/>
  <c r="AD353" i="17"/>
  <c r="AE353" i="17" s="1"/>
  <c r="AD454" i="17"/>
  <c r="AE454" i="17" s="1"/>
  <c r="AD55" i="17"/>
  <c r="AE55" i="17" s="1"/>
  <c r="AD405" i="17"/>
  <c r="AE405" i="17" s="1"/>
  <c r="AD269" i="17"/>
  <c r="AE269" i="17" s="1"/>
  <c r="AD68" i="17"/>
  <c r="AE68" i="17" s="1"/>
  <c r="AD105" i="17"/>
  <c r="AE105" i="17" s="1"/>
  <c r="AD32" i="17"/>
  <c r="AE32" i="17" s="1"/>
  <c r="AD449" i="17"/>
  <c r="AE449" i="17" s="1"/>
  <c r="AD385" i="17"/>
  <c r="AE385" i="17" s="1"/>
  <c r="AD147" i="17"/>
  <c r="AE147" i="17" s="1"/>
  <c r="AD488" i="17"/>
  <c r="AE488" i="17" s="1"/>
  <c r="AD341" i="17"/>
  <c r="AE341" i="17" s="1"/>
  <c r="AD540" i="17"/>
  <c r="AE540" i="17" s="1"/>
  <c r="AD263" i="17"/>
  <c r="AE263" i="17" s="1"/>
  <c r="AD507" i="17"/>
  <c r="AE507" i="17" s="1"/>
  <c r="AD97" i="17"/>
  <c r="AE97" i="17" s="1"/>
  <c r="AD64" i="17"/>
  <c r="AE64" i="17" s="1"/>
  <c r="AD527" i="17"/>
  <c r="AE527" i="17" s="1"/>
  <c r="AD555" i="17"/>
  <c r="AE555" i="17" s="1"/>
  <c r="AD445" i="17"/>
  <c r="AE445" i="17" s="1"/>
  <c r="AD400" i="17"/>
  <c r="AE400" i="17" s="1"/>
  <c r="AD514" i="17"/>
  <c r="AE514" i="17" s="1"/>
  <c r="AD333" i="17"/>
  <c r="AE333" i="17" s="1"/>
  <c r="AD342" i="17"/>
  <c r="AE342" i="17" s="1"/>
  <c r="AD525" i="17"/>
  <c r="AE525" i="17" s="1"/>
  <c r="AD234" i="17"/>
  <c r="AE234" i="17" s="1"/>
  <c r="AD253" i="17"/>
  <c r="AE253" i="17" s="1"/>
  <c r="AD143" i="17"/>
  <c r="AE143" i="17" s="1"/>
  <c r="AD490" i="17"/>
  <c r="AE490" i="17" s="1"/>
  <c r="AD369" i="17"/>
  <c r="AE369" i="17" s="1"/>
  <c r="AD419" i="17"/>
  <c r="AE419" i="17" s="1"/>
  <c r="AD307" i="17"/>
  <c r="AE307" i="17" s="1"/>
  <c r="AD81" i="17"/>
  <c r="AE81" i="17" s="1"/>
  <c r="AD471" i="17"/>
  <c r="AE471" i="17" s="1"/>
  <c r="AD537" i="17"/>
  <c r="AE537" i="17" s="1"/>
  <c r="AD241" i="17"/>
  <c r="AE241" i="17" s="1"/>
  <c r="AD551" i="17"/>
  <c r="AE551" i="17" s="1"/>
  <c r="AD383" i="17"/>
  <c r="AE383" i="17" s="1"/>
  <c r="AD331" i="17"/>
  <c r="AE331" i="17" s="1"/>
  <c r="AD274" i="17"/>
  <c r="AE274" i="17" s="1"/>
  <c r="AD47" i="17"/>
  <c r="AE47" i="17" s="1"/>
  <c r="AD567" i="17"/>
  <c r="AE567" i="17" s="1"/>
  <c r="AD413" i="17"/>
  <c r="AE413" i="17" s="1"/>
  <c r="AD322" i="17"/>
  <c r="AE322" i="17" s="1"/>
  <c r="AD151" i="17"/>
  <c r="AE151" i="17" s="1"/>
  <c r="AD539" i="17"/>
  <c r="AE539" i="17" s="1"/>
  <c r="AD170" i="17"/>
  <c r="AE170" i="17" s="1"/>
  <c r="AD27" i="17"/>
  <c r="AE27" i="17" s="1"/>
  <c r="AD231" i="17"/>
  <c r="AE231" i="17" s="1"/>
  <c r="AD16" i="17"/>
  <c r="AE16" i="17" s="1"/>
  <c r="AD175" i="17"/>
  <c r="AE175" i="17" s="1"/>
  <c r="AD466" i="17"/>
  <c r="AE466" i="17" s="1"/>
  <c r="AD60" i="17"/>
  <c r="AE60" i="17" s="1"/>
  <c r="AD28" i="17"/>
  <c r="AE28" i="17" s="1"/>
  <c r="AD304" i="17"/>
  <c r="AE304" i="17" s="1"/>
  <c r="AD195" i="17"/>
  <c r="AE195" i="17" s="1"/>
  <c r="R624" i="17"/>
  <c r="S624" i="17" s="1"/>
  <c r="AA624" i="17"/>
  <c r="E634" i="17" s="1"/>
  <c r="R625" i="17"/>
  <c r="S625" i="17" s="1"/>
  <c r="AA625" i="17"/>
  <c r="E635" i="17" s="1"/>
  <c r="AD372" i="17"/>
  <c r="AE372" i="17" s="1"/>
  <c r="AD280" i="17"/>
  <c r="AE280" i="17" s="1"/>
  <c r="AD590" i="17"/>
  <c r="AE590" i="17" s="1"/>
  <c r="AD71" i="17"/>
  <c r="AE71" i="17" s="1"/>
  <c r="AD493" i="17"/>
  <c r="AE493" i="17" s="1"/>
  <c r="AD319" i="17"/>
  <c r="AE319" i="17" s="1"/>
  <c r="AD73" i="17"/>
  <c r="AE73" i="17" s="1"/>
  <c r="AD111" i="17"/>
  <c r="AE111" i="17" s="1"/>
  <c r="AD131" i="17"/>
  <c r="AE131" i="17" s="1"/>
  <c r="AD427" i="17"/>
  <c r="AE427" i="17" s="1"/>
  <c r="AD298" i="17"/>
  <c r="AE298" i="17" s="1"/>
  <c r="Q627" i="17"/>
  <c r="AB624" i="17"/>
  <c r="Q624" i="17"/>
  <c r="D634" i="17" s="1"/>
  <c r="Q625" i="17"/>
  <c r="D635" i="17" s="1"/>
  <c r="AD394" i="17"/>
  <c r="AE394" i="17" s="1"/>
  <c r="AD72" i="17"/>
  <c r="AE72" i="17" s="1"/>
  <c r="AD378" i="17"/>
  <c r="AE378" i="17" s="1"/>
  <c r="AD246" i="17"/>
  <c r="AE246" i="17" s="1"/>
  <c r="AD80" i="17"/>
  <c r="AE80" i="17" s="1"/>
  <c r="AD305" i="17"/>
  <c r="AE305" i="17" s="1"/>
  <c r="AD348" i="17"/>
  <c r="AE348" i="17" s="1"/>
  <c r="AD411" i="17"/>
  <c r="AE411" i="17" s="1"/>
  <c r="AD276" i="17"/>
  <c r="AE276" i="17" s="1"/>
  <c r="AD472" i="17"/>
  <c r="AE472" i="17" s="1"/>
  <c r="AD63" i="17"/>
  <c r="AE63" i="17" s="1"/>
  <c r="AD477" i="17"/>
  <c r="AE477" i="17" s="1"/>
  <c r="AD475" i="17"/>
  <c r="AE475" i="17" s="1"/>
  <c r="AD347" i="17"/>
  <c r="AE347" i="17" s="1"/>
  <c r="AD447" i="17"/>
  <c r="AE447" i="17" s="1"/>
  <c r="AD513" i="17"/>
  <c r="AE513" i="17" s="1"/>
  <c r="AD586" i="17"/>
  <c r="AE586" i="17" s="1"/>
  <c r="AD476" i="17"/>
  <c r="AE476" i="17" s="1"/>
  <c r="AD371" i="17"/>
  <c r="AE371" i="17" s="1"/>
  <c r="AD431" i="17"/>
  <c r="AE431" i="17" s="1"/>
  <c r="AD140" i="17"/>
  <c r="AE140" i="17" s="1"/>
  <c r="AD349" i="17"/>
  <c r="AE349" i="17" s="1"/>
  <c r="AD316" i="17"/>
  <c r="AE316" i="17" s="1"/>
  <c r="AD232" i="17"/>
  <c r="AE232" i="17" s="1"/>
  <c r="AD296" i="17"/>
  <c r="AE296" i="17" s="1"/>
  <c r="AD535" i="17"/>
  <c r="AE535" i="17" s="1"/>
  <c r="AD139" i="17"/>
  <c r="AE139" i="17" s="1"/>
  <c r="AD439" i="17"/>
  <c r="AE439" i="17" s="1"/>
  <c r="AD503" i="17"/>
  <c r="AE503" i="17" s="1"/>
  <c r="AD303" i="17"/>
  <c r="AE303" i="17" s="1"/>
  <c r="AD290" i="17"/>
  <c r="AE290" i="17" s="1"/>
  <c r="AD301" i="17"/>
  <c r="AE301" i="17" s="1"/>
  <c r="AD239" i="17"/>
  <c r="AE239" i="17" s="1"/>
  <c r="AD375" i="17"/>
  <c r="AE375" i="17" s="1"/>
  <c r="AD407" i="17"/>
  <c r="AE407" i="17" s="1"/>
  <c r="AD587" i="17"/>
  <c r="AE587" i="17" s="1"/>
  <c r="AD158" i="17"/>
  <c r="AE158" i="17" s="1"/>
  <c r="AD57" i="17"/>
  <c r="AE57" i="17" s="1"/>
  <c r="AD67" i="17"/>
  <c r="AE67" i="17" s="1"/>
  <c r="AD344" i="17"/>
  <c r="AE344" i="17" s="1"/>
  <c r="AD258" i="17"/>
  <c r="AE258" i="17" s="1"/>
  <c r="AD251" i="17"/>
  <c r="AE251" i="17" s="1"/>
  <c r="AD504" i="17"/>
  <c r="AE504" i="17" s="1"/>
  <c r="AD566" i="17"/>
  <c r="AE566" i="17" s="1"/>
  <c r="AD399" i="17"/>
  <c r="AE399" i="17" s="1"/>
  <c r="AD112" i="17"/>
  <c r="AE112" i="17" s="1"/>
  <c r="AD203" i="17"/>
  <c r="AE203" i="17" s="1"/>
  <c r="AD465" i="17"/>
  <c r="AE465" i="17" s="1"/>
  <c r="AD286" i="17"/>
  <c r="AE286" i="17" s="1"/>
  <c r="AD208" i="17"/>
  <c r="AE208" i="17" s="1"/>
  <c r="AD512" i="17"/>
  <c r="AE512" i="17" s="1"/>
  <c r="AD412" i="17"/>
  <c r="AE412" i="17" s="1"/>
  <c r="AD121" i="17"/>
  <c r="AE121" i="17" s="1"/>
  <c r="AD571" i="17"/>
  <c r="AE571" i="17" s="1"/>
  <c r="AD600" i="17"/>
  <c r="AE600" i="17" s="1"/>
  <c r="AD15" i="17"/>
  <c r="AE15" i="17" s="1"/>
  <c r="AD168" i="17"/>
  <c r="AE168" i="17" s="1"/>
  <c r="AD393" i="17"/>
  <c r="AE393" i="17" s="1"/>
  <c r="AD554" i="17"/>
  <c r="AE554" i="17" s="1"/>
  <c r="AD458" i="17"/>
  <c r="AE458" i="17" s="1"/>
  <c r="AD314" i="17"/>
  <c r="AE314" i="17" s="1"/>
  <c r="AD36" i="17"/>
  <c r="AE36" i="17" s="1"/>
  <c r="AD346" i="17"/>
  <c r="AE346" i="17" s="1"/>
  <c r="AD592" i="17"/>
  <c r="AE592" i="17" s="1"/>
  <c r="AD376" i="17"/>
  <c r="AE376" i="17" s="1"/>
  <c r="AD377" i="17"/>
  <c r="AE377" i="17" s="1"/>
  <c r="AD240" i="17"/>
  <c r="AE240" i="17" s="1"/>
  <c r="AD330" i="17"/>
  <c r="AE330" i="17" s="1"/>
  <c r="AD354" i="17"/>
  <c r="AE354" i="17" s="1"/>
  <c r="AD209" i="17"/>
  <c r="AE209" i="17" s="1"/>
  <c r="AD379" i="17"/>
  <c r="AE379" i="17" s="1"/>
  <c r="AD167" i="17"/>
  <c r="AE167" i="17" s="1"/>
  <c r="AD495" i="17"/>
  <c r="AE495" i="17" s="1"/>
  <c r="AD275" i="17"/>
  <c r="AE275" i="17" s="1"/>
  <c r="AD508" i="17"/>
  <c r="AE508" i="17" s="1"/>
  <c r="AD560" i="17"/>
  <c r="AE560" i="17" s="1"/>
  <c r="AD497" i="17"/>
  <c r="AE497" i="17" s="1"/>
  <c r="AD599" i="17"/>
  <c r="AE599" i="17" s="1"/>
  <c r="AD277" i="17"/>
  <c r="AE277" i="17" s="1"/>
  <c r="AD443" i="17"/>
  <c r="AE443" i="17" s="1"/>
  <c r="AD127" i="17"/>
  <c r="AE127" i="17" s="1"/>
  <c r="AD355" i="17"/>
  <c r="AE355" i="17" s="1"/>
  <c r="AD583" i="17"/>
  <c r="AE583" i="17" s="1"/>
  <c r="AD594" i="17"/>
  <c r="AE594" i="17" s="1"/>
  <c r="AD595" i="17"/>
  <c r="AE595" i="17" s="1"/>
  <c r="AD547" i="17"/>
  <c r="AE547" i="17" s="1"/>
  <c r="AD563" i="17"/>
  <c r="AE563" i="17" s="1"/>
  <c r="AD320" i="17"/>
  <c r="AE320" i="17" s="1"/>
  <c r="AD591" i="17"/>
  <c r="AE591" i="17" s="1"/>
  <c r="AD559" i="17"/>
  <c r="AE559" i="17" s="1"/>
  <c r="AD183" i="17"/>
  <c r="AE183" i="17" s="1"/>
  <c r="AD593" i="17"/>
  <c r="AE593" i="17" s="1"/>
  <c r="AD205" i="17"/>
  <c r="AE205" i="17" s="1"/>
  <c r="AD89" i="17"/>
  <c r="AE89" i="17" s="1"/>
  <c r="AD154" i="17"/>
  <c r="AE154" i="17" s="1"/>
  <c r="AD338" i="17"/>
  <c r="AE338" i="17" s="1"/>
  <c r="AD402" i="17"/>
  <c r="AE402" i="17" s="1"/>
  <c r="AD577" i="17"/>
  <c r="AE577" i="17" s="1"/>
  <c r="AD284" i="17"/>
  <c r="AE284" i="17" s="1"/>
  <c r="AD602" i="17"/>
  <c r="AE602" i="17" s="1"/>
  <c r="AD428" i="17"/>
  <c r="AE428" i="17" s="1"/>
  <c r="AD396" i="17"/>
  <c r="AE396" i="17" s="1"/>
  <c r="AD35" i="17"/>
  <c r="AE35" i="17" s="1"/>
  <c r="AD573" i="17"/>
  <c r="AE573" i="17" s="1"/>
  <c r="AD182" i="17"/>
  <c r="AE182" i="17" s="1"/>
  <c r="AD532" i="17"/>
  <c r="AE532" i="17" s="1"/>
  <c r="AD557" i="17"/>
  <c r="AE557" i="17" s="1"/>
  <c r="AD550" i="17"/>
  <c r="AE550" i="17" s="1"/>
  <c r="AD217" i="17"/>
  <c r="AE217" i="17" s="1"/>
  <c r="AD321" i="17"/>
  <c r="AE321" i="17" s="1"/>
  <c r="AD481" i="17"/>
  <c r="AE481" i="17" s="1"/>
  <c r="AD332" i="17"/>
  <c r="AE332" i="17" s="1"/>
  <c r="AD496" i="17"/>
  <c r="AE496" i="17" s="1"/>
  <c r="AD339" i="17"/>
  <c r="AE339" i="17" s="1"/>
  <c r="AD300" i="17"/>
  <c r="AE300" i="17" s="1"/>
  <c r="AD77" i="17"/>
  <c r="AE77" i="17" s="1"/>
  <c r="AD45" i="17"/>
  <c r="AE45" i="17" s="1"/>
  <c r="AD13" i="17"/>
  <c r="AE13" i="17" s="1"/>
  <c r="AD102" i="17"/>
  <c r="AE102" i="17" s="1"/>
  <c r="AD91" i="17"/>
  <c r="AE91" i="17" s="1"/>
  <c r="AD178" i="17"/>
  <c r="AE178" i="17" s="1"/>
  <c r="AD442" i="17"/>
  <c r="AE442" i="17" s="1"/>
  <c r="AD552" i="17"/>
  <c r="AE552" i="17" s="1"/>
  <c r="AD173" i="17"/>
  <c r="AE173" i="17" s="1"/>
  <c r="AD574" i="17"/>
  <c r="AE574" i="17" s="1"/>
  <c r="AD520" i="17"/>
  <c r="AE520" i="17" s="1"/>
  <c r="AD242" i="17"/>
  <c r="AE242" i="17" s="1"/>
  <c r="AD31" i="17"/>
  <c r="AE31" i="17" s="1"/>
  <c r="AD367" i="17"/>
  <c r="AE367" i="17" s="1"/>
  <c r="AD43" i="17"/>
  <c r="AE43" i="17" s="1"/>
  <c r="AD51" i="17"/>
  <c r="AE51" i="17" s="1"/>
  <c r="AD523" i="17"/>
  <c r="AE523" i="17" s="1"/>
  <c r="AD79" i="17"/>
  <c r="AE79" i="17" s="1"/>
  <c r="AD313" i="17"/>
  <c r="AE313" i="17" s="1"/>
  <c r="AD220" i="17"/>
  <c r="AE220" i="17" s="1"/>
  <c r="AD150" i="17"/>
  <c r="AE150" i="17" s="1"/>
  <c r="AD408" i="17"/>
  <c r="AE408" i="17" s="1"/>
  <c r="AD41" i="17"/>
  <c r="AE41" i="17" s="1"/>
  <c r="AD384" i="17"/>
  <c r="AE384" i="17" s="1"/>
  <c r="AD92" i="17"/>
  <c r="AE92" i="17" s="1"/>
  <c r="AD106" i="17"/>
  <c r="AE106" i="17" s="1"/>
  <c r="AD98" i="17"/>
  <c r="AE98" i="17" s="1"/>
  <c r="AD66" i="17"/>
  <c r="AE66" i="17" s="1"/>
  <c r="AD194" i="17"/>
  <c r="AE194" i="17" s="1"/>
  <c r="AD366" i="17"/>
  <c r="AE366" i="17" s="1"/>
  <c r="AD450" i="17"/>
  <c r="AE450" i="17" s="1"/>
  <c r="AD526" i="17"/>
  <c r="AE526" i="17" s="1"/>
  <c r="AD589" i="17"/>
  <c r="AE589" i="17" s="1"/>
  <c r="AD565" i="17"/>
  <c r="AE565" i="17" s="1"/>
  <c r="AD581" i="17"/>
  <c r="AE581" i="17" s="1"/>
  <c r="AD169" i="17"/>
  <c r="AE169" i="17" s="1"/>
  <c r="AD273" i="17"/>
  <c r="AE273" i="17" s="1"/>
  <c r="AD548" i="17"/>
  <c r="AE548" i="17" s="1"/>
  <c r="AD588" i="17"/>
  <c r="AE588" i="17" s="1"/>
  <c r="AD306" i="17"/>
  <c r="AE306" i="17" s="1"/>
  <c r="AD157" i="17"/>
  <c r="AE157" i="17" s="1"/>
  <c r="AD189" i="17"/>
  <c r="AE189" i="17" s="1"/>
  <c r="AD221" i="17"/>
  <c r="AE221" i="17" s="1"/>
  <c r="AD99" i="17"/>
  <c r="AE99" i="17" s="1"/>
  <c r="AD444" i="17"/>
  <c r="AE444" i="17" s="1"/>
  <c r="AD128" i="17"/>
  <c r="AE128" i="17" s="1"/>
  <c r="AD144" i="17"/>
  <c r="AE144" i="17" s="1"/>
  <c r="AD464" i="17"/>
  <c r="AE464" i="17" s="1"/>
  <c r="AD395" i="17"/>
  <c r="AE395" i="17" s="1"/>
  <c r="AD491" i="17"/>
  <c r="AE491" i="17" s="1"/>
  <c r="AD191" i="17"/>
  <c r="AE191" i="17" s="1"/>
  <c r="AD247" i="17"/>
  <c r="AE247" i="17" s="1"/>
  <c r="AD361" i="17"/>
  <c r="AE361" i="17" s="1"/>
  <c r="AD417" i="17"/>
  <c r="AE417" i="17" s="1"/>
  <c r="AD343" i="17"/>
  <c r="AE343" i="17" s="1"/>
  <c r="AD415" i="17"/>
  <c r="AE415" i="17" s="1"/>
  <c r="AD479" i="17"/>
  <c r="AE479" i="17" s="1"/>
  <c r="AD248" i="17"/>
  <c r="AE248" i="17" s="1"/>
  <c r="AD264" i="17"/>
  <c r="AE264" i="17" s="1"/>
  <c r="AD278" i="17"/>
  <c r="AE278" i="17" s="1"/>
  <c r="AD198" i="17"/>
  <c r="AE198" i="17" s="1"/>
  <c r="AD219" i="17"/>
  <c r="AE219" i="17" s="1"/>
  <c r="AD531" i="17"/>
  <c r="AE531" i="17" s="1"/>
  <c r="AD459" i="17"/>
  <c r="AE459" i="17" s="1"/>
  <c r="AD460" i="17"/>
  <c r="AE460" i="17" s="1"/>
  <c r="AD272" i="17"/>
  <c r="AE272" i="17" s="1"/>
  <c r="AD236" i="17"/>
  <c r="AE236" i="17" s="1"/>
  <c r="AD463" i="17"/>
  <c r="AE463" i="17" s="1"/>
  <c r="AD605" i="17"/>
  <c r="AE605" i="17" s="1"/>
  <c r="AD104" i="17"/>
  <c r="AE104" i="17" s="1"/>
  <c r="AD118" i="17"/>
  <c r="AE118" i="17" s="1"/>
  <c r="AD435" i="17"/>
  <c r="AE435" i="17" s="1"/>
  <c r="AD309" i="17"/>
  <c r="AE309" i="17" s="1"/>
  <c r="AD312" i="17"/>
  <c r="AE312" i="17" s="1"/>
  <c r="AD166" i="17"/>
  <c r="AE166" i="17" s="1"/>
  <c r="AD432" i="17"/>
  <c r="AE432" i="17" s="1"/>
  <c r="AD40" i="17"/>
  <c r="AE40" i="17" s="1"/>
  <c r="AD126" i="17"/>
  <c r="AE126" i="17" s="1"/>
  <c r="AD190" i="17"/>
  <c r="AE190" i="17" s="1"/>
  <c r="AD108" i="17"/>
  <c r="AE108" i="17" s="1"/>
  <c r="AD76" i="17"/>
  <c r="AE76" i="17" s="1"/>
  <c r="AD162" i="17"/>
  <c r="AE162" i="17" s="1"/>
  <c r="AD250" i="17"/>
  <c r="AE250" i="17" s="1"/>
  <c r="AD334" i="17"/>
  <c r="AE334" i="17" s="1"/>
  <c r="AD418" i="17"/>
  <c r="AE418" i="17" s="1"/>
  <c r="AD536" i="17"/>
  <c r="AE536" i="17" s="1"/>
  <c r="AD222" i="17"/>
  <c r="AE222" i="17" s="1"/>
  <c r="AD254" i="17"/>
  <c r="AE254" i="17" s="1"/>
  <c r="AD530" i="17"/>
  <c r="AE530" i="17" s="1"/>
  <c r="AD230" i="17"/>
  <c r="AE230" i="17" s="1"/>
  <c r="AD262" i="17"/>
  <c r="AE262" i="17" s="1"/>
  <c r="AD302" i="17"/>
  <c r="AE302" i="17" s="1"/>
  <c r="AD249" i="17"/>
  <c r="AE249" i="17" s="1"/>
  <c r="AD281" i="17"/>
  <c r="AE281" i="17" s="1"/>
  <c r="AD433" i="17"/>
  <c r="AE433" i="17" s="1"/>
  <c r="AD245" i="17"/>
  <c r="AE245" i="17" s="1"/>
  <c r="AD285" i="17"/>
  <c r="AE285" i="17" s="1"/>
  <c r="AD576" i="17"/>
  <c r="AE576" i="17" s="1"/>
  <c r="AD184" i="17"/>
  <c r="AE184" i="17" s="1"/>
  <c r="AD492" i="17"/>
  <c r="AE492" i="17" s="1"/>
  <c r="AD192" i="17"/>
  <c r="AE192" i="17" s="1"/>
  <c r="AD364" i="17"/>
  <c r="AE364" i="17" s="1"/>
  <c r="AD380" i="17"/>
  <c r="AE380" i="17" s="1"/>
  <c r="AD416" i="17"/>
  <c r="AE416" i="17" s="1"/>
  <c r="AD448" i="17"/>
  <c r="AE448" i="17" s="1"/>
  <c r="AD311" i="17"/>
  <c r="AE311" i="17" s="1"/>
  <c r="AD575" i="17"/>
  <c r="AE575" i="17" s="1"/>
  <c r="AD224" i="17"/>
  <c r="AE224" i="17" s="1"/>
  <c r="AD171" i="17"/>
  <c r="AE171" i="17" s="1"/>
  <c r="AD336" i="17"/>
  <c r="AE336" i="17" s="1"/>
  <c r="AD606" i="17"/>
  <c r="AE606" i="17" s="1"/>
  <c r="AD271" i="17"/>
  <c r="AE271" i="17" s="1"/>
  <c r="AD461" i="17"/>
  <c r="AE461" i="17" s="1"/>
  <c r="AD601" i="17"/>
  <c r="AE601" i="17" s="1"/>
  <c r="AD363" i="17"/>
  <c r="AE363" i="17" s="1"/>
  <c r="AD351" i="17"/>
  <c r="AE351" i="17" s="1"/>
  <c r="AD480" i="17"/>
  <c r="AE480" i="17" s="1"/>
  <c r="AD100" i="17"/>
  <c r="AE100" i="17" s="1"/>
  <c r="AD335" i="17"/>
  <c r="AE335" i="17" s="1"/>
  <c r="AD294" i="17"/>
  <c r="AE294" i="17" s="1"/>
  <c r="AD267" i="17"/>
  <c r="AE267" i="17" s="1"/>
  <c r="AD365" i="17"/>
  <c r="AE365" i="17" s="1"/>
  <c r="AD543" i="17"/>
  <c r="AE543" i="17" s="1"/>
  <c r="AD52" i="17"/>
  <c r="AE52" i="17" s="1"/>
  <c r="AD14" i="17"/>
  <c r="AE14" i="17" s="1"/>
  <c r="AD436" i="17"/>
  <c r="AE436" i="17" s="1"/>
  <c r="AD500" i="17"/>
  <c r="AE500" i="17" s="1"/>
  <c r="AD310" i="17"/>
  <c r="AE310" i="17" s="1"/>
  <c r="AD564" i="17"/>
  <c r="AE564" i="17" s="1"/>
  <c r="AD604" i="17"/>
  <c r="AE604" i="17" s="1"/>
  <c r="AD107" i="17"/>
  <c r="AE107" i="17" s="1"/>
  <c r="AD34" i="17"/>
  <c r="AE34" i="17" s="1"/>
  <c r="AD96" i="17"/>
  <c r="AE96" i="17" s="1"/>
  <c r="AD110" i="17"/>
  <c r="AE110" i="17" s="1"/>
  <c r="AD84" i="17"/>
  <c r="AE84" i="17" s="1"/>
  <c r="AD44" i="17"/>
  <c r="AE44" i="17" s="1"/>
  <c r="AD146" i="17"/>
  <c r="AE146" i="17" s="1"/>
  <c r="AD122" i="17"/>
  <c r="AE122" i="17" s="1"/>
  <c r="AD138" i="17"/>
  <c r="AE138" i="17" s="1"/>
  <c r="AD370" i="17"/>
  <c r="AE370" i="17" s="1"/>
  <c r="AD386" i="17"/>
  <c r="AE386" i="17" s="1"/>
  <c r="AD519" i="17"/>
  <c r="AE519" i="17" s="1"/>
  <c r="AD524" i="17"/>
  <c r="AE524" i="17" s="1"/>
  <c r="AD426" i="17"/>
  <c r="AE426" i="17" s="1"/>
  <c r="AD434" i="17"/>
  <c r="AE434" i="17" s="1"/>
  <c r="AD561" i="17"/>
  <c r="AE561" i="17" s="1"/>
  <c r="AD518" i="17"/>
  <c r="AE518" i="17" s="1"/>
  <c r="AD522" i="17"/>
  <c r="AE522" i="17" s="1"/>
  <c r="AD538" i="17"/>
  <c r="AE538" i="17" s="1"/>
  <c r="AD214" i="17"/>
  <c r="AE214" i="17" s="1"/>
  <c r="AD113" i="17"/>
  <c r="AE113" i="17" s="1"/>
  <c r="AD153" i="17"/>
  <c r="AE153" i="17" s="1"/>
  <c r="AD225" i="17"/>
  <c r="AE225" i="17" s="1"/>
  <c r="AD289" i="17"/>
  <c r="AE289" i="17" s="1"/>
  <c r="AD572" i="17"/>
  <c r="AE572" i="17" s="1"/>
  <c r="AD505" i="17"/>
  <c r="AE505" i="17" s="1"/>
  <c r="AD282" i="17"/>
  <c r="AE282" i="17" s="1"/>
  <c r="AD197" i="17"/>
  <c r="AE197" i="17" s="1"/>
  <c r="AD603" i="17"/>
  <c r="AE603" i="17" s="1"/>
  <c r="AD75" i="17"/>
  <c r="AE75" i="17" s="1"/>
  <c r="AD609" i="17"/>
  <c r="AE609" i="17" s="1"/>
  <c r="AD252" i="17"/>
  <c r="AE252" i="17" s="1"/>
  <c r="AD345" i="17"/>
  <c r="AE345" i="17" s="1"/>
  <c r="AD357" i="17"/>
  <c r="AE357" i="17" s="1"/>
  <c r="AD61" i="17"/>
  <c r="AE61" i="17" s="1"/>
  <c r="AD53" i="17"/>
  <c r="AE53" i="17" s="1"/>
  <c r="AD163" i="17"/>
  <c r="AE163" i="17" s="1"/>
  <c r="AD288" i="17"/>
  <c r="AE288" i="17" s="1"/>
  <c r="AD59" i="17"/>
  <c r="AE59" i="17" s="1"/>
  <c r="AD283" i="17"/>
  <c r="AE283" i="17" s="1"/>
  <c r="AD207" i="17"/>
  <c r="AE207" i="17" s="1"/>
  <c r="AD39" i="17"/>
  <c r="AE39" i="17" s="1"/>
  <c r="AD210" i="17"/>
  <c r="AE210" i="17" s="1"/>
  <c r="AD186" i="17"/>
  <c r="AE186" i="17" s="1"/>
  <c r="AD528" i="17"/>
  <c r="AE528" i="17" s="1"/>
  <c r="AD78" i="17"/>
  <c r="AE78" i="17" s="1"/>
  <c r="AD489" i="17"/>
  <c r="AE489" i="17" s="1"/>
  <c r="AD33" i="17"/>
  <c r="AE33" i="17" s="1"/>
  <c r="AD196" i="17"/>
  <c r="AE196" i="17" s="1"/>
  <c r="AD360" i="17"/>
  <c r="AE360" i="17" s="1"/>
  <c r="AD409" i="17"/>
  <c r="AE409" i="17" s="1"/>
  <c r="AD509" i="17"/>
  <c r="AE509" i="17" s="1"/>
  <c r="AD86" i="17"/>
  <c r="AE86" i="17" s="1"/>
  <c r="AD22" i="17"/>
  <c r="AE22" i="17" s="1"/>
  <c r="AD297" i="17"/>
  <c r="AE297" i="17" s="1"/>
  <c r="AD179" i="17"/>
  <c r="AE179" i="17" s="1"/>
  <c r="AD373" i="17"/>
  <c r="AE373" i="17" s="1"/>
  <c r="AD546" i="17"/>
  <c r="AE546" i="17" s="1"/>
  <c r="AD238" i="17"/>
  <c r="AE238" i="17" s="1"/>
  <c r="AD562" i="17"/>
  <c r="AE562" i="17" s="1"/>
  <c r="AD541" i="17"/>
  <c r="AE541" i="17" s="1"/>
  <c r="AD187" i="17"/>
  <c r="AE187" i="17" s="1"/>
  <c r="AD608" i="17"/>
  <c r="AE608" i="17" s="1"/>
  <c r="AD325" i="17"/>
  <c r="AE325" i="17" s="1"/>
  <c r="AD469" i="17"/>
  <c r="AE469" i="17" s="1"/>
  <c r="AD467" i="17"/>
  <c r="AE467" i="17" s="1"/>
  <c r="AD56" i="17"/>
  <c r="AE56" i="17" s="1"/>
  <c r="AD174" i="17"/>
  <c r="AE174" i="17" s="1"/>
  <c r="AD46" i="17"/>
  <c r="AE46" i="17" s="1"/>
  <c r="AD410" i="17"/>
  <c r="AE410" i="17" s="1"/>
  <c r="AD438" i="17"/>
  <c r="AE438" i="17" s="1"/>
  <c r="AD446" i="17"/>
  <c r="AE446" i="17" s="1"/>
  <c r="AD478" i="17"/>
  <c r="AE478" i="17" s="1"/>
  <c r="AD486" i="17"/>
  <c r="AE486" i="17" s="1"/>
  <c r="AD510" i="17"/>
  <c r="AE510" i="17" s="1"/>
  <c r="AD553" i="17"/>
  <c r="AE553" i="17" s="1"/>
  <c r="AD585" i="17"/>
  <c r="AE585" i="17" s="1"/>
  <c r="AD120" i="17"/>
  <c r="AE120" i="17" s="1"/>
  <c r="AD358" i="17"/>
  <c r="AE358" i="17" s="1"/>
  <c r="AD406" i="17"/>
  <c r="AE406" i="17" s="1"/>
  <c r="AD506" i="17"/>
  <c r="AE506" i="17" s="1"/>
  <c r="AD542" i="17"/>
  <c r="AE542" i="17" s="1"/>
  <c r="AD266" i="17"/>
  <c r="AE266" i="17" s="1"/>
  <c r="AD233" i="17"/>
  <c r="AE233" i="17" s="1"/>
  <c r="AD457" i="17"/>
  <c r="AE457" i="17" s="1"/>
  <c r="AD165" i="17"/>
  <c r="AE165" i="17" s="1"/>
  <c r="AD261" i="17"/>
  <c r="AE261" i="17" s="1"/>
  <c r="AD172" i="17"/>
  <c r="AE172" i="17" s="1"/>
  <c r="AD188" i="17"/>
  <c r="AE188" i="17" s="1"/>
  <c r="AD204" i="17"/>
  <c r="AE204" i="17" s="1"/>
  <c r="AD308" i="17"/>
  <c r="AE308" i="17" s="1"/>
  <c r="AD87" i="17"/>
  <c r="AE87" i="17" s="1"/>
  <c r="AD227" i="17"/>
  <c r="AE227" i="17" s="1"/>
  <c r="AD159" i="17"/>
  <c r="AE159" i="17" s="1"/>
  <c r="AD243" i="17"/>
  <c r="AE243" i="17" s="1"/>
  <c r="AD65" i="17"/>
  <c r="AE65" i="17" s="1"/>
  <c r="AD521" i="17"/>
  <c r="AE521" i="17" s="1"/>
  <c r="AD135" i="17"/>
  <c r="AE135" i="17" s="1"/>
  <c r="AD25" i="17"/>
  <c r="AE25" i="17" s="1"/>
  <c r="AD83" i="17"/>
  <c r="AE83" i="17" s="1"/>
  <c r="AD136" i="17"/>
  <c r="AE136" i="17" s="1"/>
  <c r="AD48" i="17"/>
  <c r="AE48" i="17" s="1"/>
  <c r="AD20" i="17"/>
  <c r="AE20" i="17" s="1"/>
  <c r="AD134" i="17"/>
  <c r="AE134" i="17" s="1"/>
  <c r="AD569" i="17"/>
  <c r="AE569" i="17" s="1"/>
  <c r="AD570" i="17"/>
  <c r="AE570" i="17" s="1"/>
  <c r="AD326" i="17"/>
  <c r="AE326" i="17" s="1"/>
  <c r="AD350" i="17"/>
  <c r="AE350" i="17" s="1"/>
  <c r="AD374" i="17"/>
  <c r="AE374" i="17" s="1"/>
  <c r="AD545" i="17"/>
  <c r="AE545" i="17" s="1"/>
  <c r="AD578" i="17"/>
  <c r="AE578" i="17" s="1"/>
  <c r="AD534" i="17"/>
  <c r="AE534" i="17" s="1"/>
  <c r="AD558" i="17"/>
  <c r="AE558" i="17" s="1"/>
  <c r="AD549" i="17"/>
  <c r="AE549" i="17" s="1"/>
  <c r="AD582" i="17"/>
  <c r="AE582" i="17" s="1"/>
  <c r="AD177" i="17"/>
  <c r="AE177" i="17" s="1"/>
  <c r="AD185" i="17"/>
  <c r="AE185" i="17" s="1"/>
  <c r="AD473" i="17"/>
  <c r="AE473" i="17" s="1"/>
  <c r="AD579" i="17"/>
  <c r="AE579" i="17" s="1"/>
  <c r="AD117" i="17"/>
  <c r="AE117" i="17" s="1"/>
  <c r="AD125" i="17"/>
  <c r="AE125" i="17" s="1"/>
  <c r="AD213" i="17"/>
  <c r="AE213" i="17" s="1"/>
  <c r="AD568" i="17"/>
  <c r="AE568" i="17" s="1"/>
  <c r="AD501" i="17"/>
  <c r="AE501" i="17" s="1"/>
  <c r="AD103" i="17"/>
  <c r="AE103" i="17" s="1"/>
  <c r="AD95" i="17"/>
  <c r="AE95" i="17" s="1"/>
  <c r="AD19" i="17"/>
  <c r="AE19" i="17" s="1"/>
  <c r="AD49" i="17"/>
  <c r="AE49" i="17" s="1"/>
  <c r="AD37" i="17"/>
  <c r="AE37" i="17" s="1"/>
  <c r="AD176" i="17"/>
  <c r="AE176" i="17" s="1"/>
  <c r="AD212" i="17"/>
  <c r="AE212" i="17" s="1"/>
  <c r="AD199" i="17"/>
  <c r="AE199" i="17" s="1"/>
  <c r="AD295" i="17"/>
  <c r="AE295" i="17" s="1"/>
  <c r="AD423" i="17"/>
  <c r="AE423" i="17" s="1"/>
  <c r="AD115" i="17"/>
  <c r="AE115" i="17" s="1"/>
  <c r="AD155" i="17"/>
  <c r="AE155" i="17" s="1"/>
  <c r="AD381" i="17"/>
  <c r="AE381" i="17" s="1"/>
  <c r="AD206" i="17"/>
  <c r="AE206" i="17" s="1"/>
  <c r="AD533" i="17"/>
  <c r="AE533" i="17" s="1"/>
  <c r="AD359" i="17"/>
  <c r="AE359" i="17" s="1"/>
  <c r="AD529" i="17"/>
  <c r="AE529" i="17" s="1"/>
  <c r="AD403" i="17"/>
  <c r="AE403" i="17" s="1"/>
  <c r="AD235" i="17"/>
  <c r="AE235" i="17" s="1"/>
  <c r="AD142" i="17"/>
  <c r="AE142" i="17" s="1"/>
  <c r="AD70" i="17"/>
  <c r="AE70" i="17" s="1"/>
  <c r="AD130" i="17"/>
  <c r="AE130" i="17" s="1"/>
  <c r="AD90" i="17"/>
  <c r="AE90" i="17" s="1"/>
  <c r="AD82" i="17"/>
  <c r="AE82" i="17" s="1"/>
  <c r="AD74" i="17"/>
  <c r="AE74" i="17" s="1"/>
  <c r="AD58" i="17"/>
  <c r="AE58" i="17" s="1"/>
  <c r="AD50" i="17"/>
  <c r="AE50" i="17" s="1"/>
  <c r="AD42" i="17"/>
  <c r="AE42" i="17" s="1"/>
  <c r="AD26" i="17"/>
  <c r="AE26" i="17" s="1"/>
  <c r="AD18" i="17"/>
  <c r="AE18" i="17" s="1"/>
  <c r="AD362" i="17"/>
  <c r="AE362" i="17" s="1"/>
  <c r="AD430" i="17"/>
  <c r="AE430" i="17" s="1"/>
  <c r="AD462" i="17"/>
  <c r="AE462" i="17" s="1"/>
  <c r="AD470" i="17"/>
  <c r="AE470" i="17" s="1"/>
  <c r="AD494" i="17"/>
  <c r="AE494" i="17" s="1"/>
  <c r="AD502" i="17"/>
  <c r="AE502" i="17" s="1"/>
  <c r="AD202" i="17"/>
  <c r="AE202" i="17" s="1"/>
  <c r="AD218" i="17"/>
  <c r="AE218" i="17" s="1"/>
  <c r="AD474" i="17"/>
  <c r="AE474" i="17" s="1"/>
  <c r="AD482" i="17"/>
  <c r="AE482" i="17" s="1"/>
  <c r="AD498" i="17"/>
  <c r="AE498" i="17" s="1"/>
  <c r="AD270" i="17"/>
  <c r="AE270" i="17" s="1"/>
  <c r="AD137" i="17"/>
  <c r="AE137" i="17" s="1"/>
  <c r="AD145" i="17"/>
  <c r="AE145" i="17" s="1"/>
  <c r="AD556" i="17"/>
  <c r="AE556" i="17" s="1"/>
  <c r="AD580" i="17"/>
  <c r="AE580" i="17" s="1"/>
  <c r="AD596" i="17"/>
  <c r="AE596" i="17" s="1"/>
  <c r="AD612" i="17"/>
  <c r="AE612" i="17" s="1"/>
  <c r="AD23" i="17"/>
  <c r="AE23" i="17" s="1"/>
  <c r="AD156" i="17"/>
  <c r="AE156" i="17" s="1"/>
  <c r="AD352" i="17"/>
  <c r="AE352" i="17" s="1"/>
  <c r="AD516" i="17"/>
  <c r="AE516" i="17" s="1"/>
  <c r="AD598" i="17"/>
  <c r="AE598" i="17" s="1"/>
  <c r="AD268" i="17"/>
  <c r="AE268" i="17" s="1"/>
  <c r="AD287" i="17"/>
  <c r="AE287" i="17" s="1"/>
  <c r="AD101" i="17"/>
  <c r="AE101" i="17" s="1"/>
  <c r="AD611" i="17"/>
  <c r="AE611" i="17" s="1"/>
  <c r="AD211" i="17"/>
  <c r="AE211" i="17" s="1"/>
  <c r="AD404" i="17"/>
  <c r="AE404" i="17" s="1"/>
  <c r="AD323" i="17"/>
  <c r="AE323" i="17" s="1"/>
  <c r="AD451" i="17"/>
  <c r="AE451" i="17" s="1"/>
  <c r="AD255" i="17"/>
  <c r="AE255" i="17" s="1"/>
  <c r="AD260" i="17"/>
  <c r="AE260" i="17" s="1"/>
  <c r="AD215" i="17"/>
  <c r="AE215" i="17" s="1"/>
  <c r="AD610" i="17"/>
  <c r="AE610" i="17" s="1"/>
  <c r="Y624" i="17"/>
  <c r="X624" i="17"/>
  <c r="Y625" i="17"/>
  <c r="AD132" i="17"/>
  <c r="AE132" i="17" s="1"/>
  <c r="AD164" i="17"/>
  <c r="AE164" i="17" s="1"/>
  <c r="AD180" i="17"/>
  <c r="AE180" i="17" s="1"/>
  <c r="AD424" i="17"/>
  <c r="AE424" i="17" s="1"/>
  <c r="AD244" i="17"/>
  <c r="AE244" i="17" s="1"/>
  <c r="AD391" i="17"/>
  <c r="AE391" i="17" s="1"/>
  <c r="AD200" i="17"/>
  <c r="AE200" i="17" s="1"/>
  <c r="AD291" i="17"/>
  <c r="AE291" i="17" s="1"/>
  <c r="AD388" i="17"/>
  <c r="AE388" i="17" s="1"/>
  <c r="AD24" i="17"/>
  <c r="AE24" i="17" s="1"/>
  <c r="AD88" i="17"/>
  <c r="AE88" i="17" s="1"/>
  <c r="AD94" i="17"/>
  <c r="AE94" i="17" s="1"/>
  <c r="AD62" i="17"/>
  <c r="AE62" i="17" s="1"/>
  <c r="AD54" i="17"/>
  <c r="AE54" i="17" s="1"/>
  <c r="AD38" i="17"/>
  <c r="AE38" i="17" s="1"/>
  <c r="AD30" i="17"/>
  <c r="AE30" i="17" s="1"/>
  <c r="AD318" i="17"/>
  <c r="AE318" i="17" s="1"/>
  <c r="AD382" i="17"/>
  <c r="AE382" i="17" s="1"/>
  <c r="AD398" i="17"/>
  <c r="AE398" i="17" s="1"/>
  <c r="AD133" i="17"/>
  <c r="AE133" i="17" s="1"/>
  <c r="AD544" i="17"/>
  <c r="AE544" i="17" s="1"/>
  <c r="AD453" i="17"/>
  <c r="AE453" i="17" s="1"/>
  <c r="AD93" i="17"/>
  <c r="AE93" i="17" s="1"/>
  <c r="AD29" i="17"/>
  <c r="AE29" i="17" s="1"/>
  <c r="AD124" i="17"/>
  <c r="AE124" i="17" s="1"/>
  <c r="AD148" i="17"/>
  <c r="AE148" i="17" s="1"/>
  <c r="AD160" i="17"/>
  <c r="AE160" i="17" s="1"/>
  <c r="AD440" i="17"/>
  <c r="AE440" i="17" s="1"/>
  <c r="AD483" i="17"/>
  <c r="AE483" i="17" s="1"/>
  <c r="AD228" i="17"/>
  <c r="AE228" i="17" s="1"/>
  <c r="AD279" i="17"/>
  <c r="AE279" i="17" s="1"/>
  <c r="AD337" i="17"/>
  <c r="AE337" i="17" s="1"/>
  <c r="AD401" i="17"/>
  <c r="AE401" i="17" s="1"/>
  <c r="AD327" i="17"/>
  <c r="AE327" i="17" s="1"/>
  <c r="AD455" i="17"/>
  <c r="AE455" i="17" s="1"/>
  <c r="AD597" i="17"/>
  <c r="AE597" i="17" s="1"/>
  <c r="AD317" i="17"/>
  <c r="AE317" i="17" s="1"/>
  <c r="AD389" i="17"/>
  <c r="AE389" i="17" s="1"/>
  <c r="AD397" i="17"/>
  <c r="AE397" i="17" s="1"/>
  <c r="AD161" i="17"/>
  <c r="AE161" i="17" s="1"/>
  <c r="AD193" i="17"/>
  <c r="AE193" i="17" s="1"/>
  <c r="AD201" i="17"/>
  <c r="AE201" i="17" s="1"/>
  <c r="AD265" i="17"/>
  <c r="AE265" i="17" s="1"/>
  <c r="AD517" i="17"/>
  <c r="AE517" i="17" s="1"/>
  <c r="AD425" i="17"/>
  <c r="AE425" i="17" s="1"/>
  <c r="AD441" i="17"/>
  <c r="AE441" i="17" s="1"/>
  <c r="AD607" i="17"/>
  <c r="AE607" i="17" s="1"/>
  <c r="AD149" i="17"/>
  <c r="AE149" i="17" s="1"/>
  <c r="AD181" i="17"/>
  <c r="AE181" i="17" s="1"/>
  <c r="AD229" i="17"/>
  <c r="AE229" i="17" s="1"/>
  <c r="AD293" i="17"/>
  <c r="AE293" i="17" s="1"/>
  <c r="AD152" i="17"/>
  <c r="AE152" i="17" s="1"/>
  <c r="AD328" i="17"/>
  <c r="AE328" i="17" s="1"/>
  <c r="AD392" i="17"/>
  <c r="AE392" i="17" s="1"/>
  <c r="AD356" i="17"/>
  <c r="AE356" i="17" s="1"/>
  <c r="AD420" i="17"/>
  <c r="AE420" i="17" s="1"/>
  <c r="AD484" i="17"/>
  <c r="AE484" i="17" s="1"/>
  <c r="AD69" i="17"/>
  <c r="AE69" i="17" s="1"/>
  <c r="AD324" i="17"/>
  <c r="AE324" i="17" s="1"/>
  <c r="AD340" i="17"/>
  <c r="AE340" i="17" s="1"/>
  <c r="AD456" i="17"/>
  <c r="AE456" i="17" s="1"/>
  <c r="AD387" i="17"/>
  <c r="AE387" i="17" s="1"/>
  <c r="AD515" i="17"/>
  <c r="AE515" i="17" s="1"/>
  <c r="AD119" i="17"/>
  <c r="AE119" i="17" s="1"/>
  <c r="AD414" i="17"/>
  <c r="AE414" i="17" s="1"/>
  <c r="AD452" i="17"/>
  <c r="AE452" i="17" s="1"/>
  <c r="AD141" i="17"/>
  <c r="AE141" i="17" s="1"/>
  <c r="AD421" i="17"/>
  <c r="AE421" i="17" s="1"/>
  <c r="AD485" i="17"/>
  <c r="AE485" i="17" s="1"/>
  <c r="AD368" i="17"/>
  <c r="AE368" i="17" s="1"/>
  <c r="AB625" i="17" l="1"/>
  <c r="AE7" i="17"/>
  <c r="Q4" i="17" s="1"/>
  <c r="AE9" i="17"/>
  <c r="Q5" i="17" s="1"/>
  <c r="B453" i="2" l="1"/>
  <c r="A453" i="2"/>
  <c r="A639" i="17"/>
  <c r="A640" i="17"/>
  <c r="D453" i="2"/>
  <c r="A617" i="17"/>
  <c r="F617" i="17" l="1"/>
  <c r="H617" i="17"/>
  <c r="G617" i="17"/>
  <c r="K617" i="17"/>
  <c r="I617" i="17"/>
  <c r="M617" i="17"/>
  <c r="C617" i="17"/>
  <c r="O617" i="17"/>
  <c r="J617" i="17"/>
  <c r="P617" i="17"/>
  <c r="A618" i="17"/>
  <c r="A619" i="17" s="1"/>
  <c r="L617" i="17"/>
  <c r="E617" i="17"/>
  <c r="N617" i="17"/>
  <c r="D617" i="17"/>
  <c r="R617" i="17" l="1"/>
  <c r="Q617" i="17"/>
  <c r="AB617" i="17"/>
  <c r="AA617" i="17"/>
  <c r="X617" i="17"/>
  <c r="Y617" i="17"/>
  <c r="R619" i="17" l="1"/>
  <c r="R620" i="17"/>
  <c r="S617" i="17"/>
  <c r="A454" i="2" s="1"/>
  <c r="B454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Timothy Hegarty</author>
    <author>BDATSC</author>
  </authors>
  <commentList>
    <comment ref="A3" authorId="0" shapeId="0" xr:uid="{00000000-0006-0000-0000-000001000000}">
      <text>
        <r>
          <rPr>
            <b/>
            <sz val="12"/>
            <color indexed="10"/>
            <rFont val="Tahoma"/>
            <family val="2"/>
          </rPr>
          <t>Welcome to the LM5176 Quickstart Design Tool</t>
        </r>
        <r>
          <rPr>
            <sz val="9"/>
            <color indexed="81"/>
            <rFont val="Tahoma"/>
            <family val="2"/>
          </rPr>
          <t xml:space="preserve">
This stand-alone tool facilitates and assists the power supply engineer with design of a DC/DC buck-boost converter based on the </t>
        </r>
        <r>
          <rPr>
            <b/>
            <sz val="9"/>
            <color indexed="81"/>
            <rFont val="Tahoma"/>
            <family val="2"/>
          </rPr>
          <t>LM5176 current-mode buck-boost controller</t>
        </r>
        <r>
          <rPr>
            <sz val="9"/>
            <color indexed="81"/>
            <rFont val="Tahoma"/>
            <family val="2"/>
          </rPr>
          <t xml:space="preserve">. As such, the user can expeditiously arrive at an optimized design by virtue of the following:
- Determine filter inductance and input and output filter capacitances
- Select components for soft-start, input UVLO and dither
- Optimize compensation values, slope compensation, and pole/zero placement in terms of control loop stability using crossover frequency as a performance metric
- Inspect converter efficiency and component power dissipations vs. line and load
- Analyze efficiency based on selected MOSFET parameters
- Review auto-generated schematic and BOM list
</t>
        </r>
        <r>
          <rPr>
            <b/>
            <sz val="9"/>
            <color indexed="81"/>
            <rFont val="Tahoma"/>
            <family val="2"/>
          </rPr>
          <t>IMPORTANT:</t>
        </r>
        <r>
          <rPr>
            <sz val="9"/>
            <color indexed="81"/>
            <rFont val="Tahoma"/>
            <family val="2"/>
          </rPr>
          <t xml:space="preserve"> You must enable macros if Microsoft EXCEL asks as the file is being opened.
U.S. English notation is used throughout.
</t>
        </r>
        <r>
          <rPr>
            <u/>
            <sz val="9"/>
            <color indexed="12"/>
            <rFont val="Tahoma"/>
            <family val="2"/>
          </rPr>
          <t>http://www.ti.com/widevin/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
Rev 1.0, Vijay Choudhary, Texas Instruments, Inc.</t>
        </r>
      </text>
    </comment>
    <comment ref="F6" authorId="0" shapeId="0" xr:uid="{00000000-0006-0000-0000-000003000000}">
      <text>
        <r>
          <rPr>
            <b/>
            <u/>
            <sz val="9"/>
            <color indexed="81"/>
            <rFont val="Tahoma"/>
            <family val="2"/>
          </rPr>
          <t>Minimum Input Voltage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Enter the minimum operating input voltage.
The LM5176 input voltage operating range is 4V to 55V.
</t>
        </r>
        <r>
          <rPr>
            <b/>
            <sz val="9"/>
            <color indexed="81"/>
            <rFont val="Tahoma"/>
            <family val="2"/>
          </rPr>
          <t>The text in the cell is flagged red if:</t>
        </r>
        <r>
          <rPr>
            <sz val="9"/>
            <color indexed="81"/>
            <rFont val="Tahoma"/>
            <family val="2"/>
          </rPr>
          <t xml:space="preserve">
-The input voltage is above </t>
        </r>
        <r>
          <rPr>
            <b/>
            <sz val="9"/>
            <color indexed="10"/>
            <rFont val="Tahoma"/>
            <family val="2"/>
          </rPr>
          <t>55V</t>
        </r>
        <r>
          <rPr>
            <sz val="9"/>
            <color indexed="81"/>
            <rFont val="Tahoma"/>
            <family val="2"/>
          </rPr>
          <t xml:space="preserve">
-The input voltage is below </t>
        </r>
        <r>
          <rPr>
            <b/>
            <sz val="9"/>
            <color indexed="10"/>
            <rFont val="Tahoma"/>
            <family val="2"/>
          </rPr>
          <t>4V</t>
        </r>
      </text>
    </comment>
    <comment ref="F7" authorId="0" shapeId="0" xr:uid="{00000000-0006-0000-0000-000004000000}">
      <text>
        <r>
          <rPr>
            <b/>
            <u/>
            <sz val="9"/>
            <color indexed="81"/>
            <rFont val="Tahoma"/>
            <family val="2"/>
          </rPr>
          <t>Nominal Input Voltage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Enter the nominal operating input voltage.
The LM5176 input voltage operating range is 4V to 55V.
</t>
        </r>
        <r>
          <rPr>
            <b/>
            <sz val="9"/>
            <color indexed="81"/>
            <rFont val="Tahoma"/>
            <family val="2"/>
          </rPr>
          <t>The text in the cell is flagged red if:</t>
        </r>
        <r>
          <rPr>
            <sz val="9"/>
            <color indexed="81"/>
            <rFont val="Tahoma"/>
            <family val="2"/>
          </rPr>
          <t xml:space="preserve">
-The input voltage is above </t>
        </r>
        <r>
          <rPr>
            <b/>
            <sz val="9"/>
            <color indexed="10"/>
            <rFont val="Tahoma"/>
            <family val="2"/>
          </rPr>
          <t>V</t>
        </r>
        <r>
          <rPr>
            <b/>
            <vertAlign val="subscript"/>
            <sz val="9"/>
            <color indexed="10"/>
            <rFont val="Tahoma"/>
            <family val="2"/>
          </rPr>
          <t>IN(max)</t>
        </r>
        <r>
          <rPr>
            <sz val="9"/>
            <color indexed="81"/>
            <rFont val="Tahoma"/>
            <family val="2"/>
          </rPr>
          <t xml:space="preserve">
-The input voltage is below </t>
        </r>
        <r>
          <rPr>
            <b/>
            <sz val="9"/>
            <color indexed="10"/>
            <rFont val="Tahoma"/>
            <family val="2"/>
          </rPr>
          <t>V</t>
        </r>
        <r>
          <rPr>
            <b/>
            <vertAlign val="subscript"/>
            <sz val="9"/>
            <color indexed="10"/>
            <rFont val="Tahoma"/>
            <family val="2"/>
          </rPr>
          <t>IN(min)</t>
        </r>
      </text>
    </comment>
    <comment ref="F8" authorId="0" shapeId="0" xr:uid="{00000000-0006-0000-0000-000005000000}">
      <text>
        <r>
          <rPr>
            <b/>
            <u/>
            <sz val="9"/>
            <color indexed="81"/>
            <rFont val="Tahoma"/>
            <family val="2"/>
          </rPr>
          <t>Maximum Input Voltage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Enter the maximum operating input voltage.
The LM5176 input voltage operating range is 4V to 55V.
</t>
        </r>
        <r>
          <rPr>
            <b/>
            <sz val="9"/>
            <color indexed="81"/>
            <rFont val="Tahoma"/>
            <family val="2"/>
          </rPr>
          <t>The text in the cell is flagged red if:</t>
        </r>
        <r>
          <rPr>
            <sz val="9"/>
            <color indexed="81"/>
            <rFont val="Tahoma"/>
            <family val="2"/>
          </rPr>
          <t xml:space="preserve">
-The input voltage is above </t>
        </r>
        <r>
          <rPr>
            <b/>
            <sz val="9"/>
            <color indexed="10"/>
            <rFont val="Tahoma"/>
            <family val="2"/>
          </rPr>
          <t>55V</t>
        </r>
        <r>
          <rPr>
            <sz val="9"/>
            <color indexed="81"/>
            <rFont val="Tahoma"/>
            <family val="2"/>
          </rPr>
          <t xml:space="preserve">
-The input voltage is below </t>
        </r>
        <r>
          <rPr>
            <b/>
            <sz val="9"/>
            <color indexed="10"/>
            <rFont val="Tahoma"/>
            <family val="2"/>
          </rPr>
          <t>4V</t>
        </r>
      </text>
    </comment>
    <comment ref="F9" authorId="0" shapeId="0" xr:uid="{00000000-0006-0000-0000-000006000000}">
      <text>
        <r>
          <rPr>
            <b/>
            <u/>
            <sz val="9"/>
            <color indexed="81"/>
            <rFont val="Tahoma"/>
            <family val="2"/>
          </rPr>
          <t>Output Voltage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Enter the desired output voltage.</t>
        </r>
        <r>
          <rPr>
            <b/>
            <sz val="9"/>
            <color indexed="81"/>
            <rFont val="Tahoma"/>
            <family val="2"/>
          </rPr>
          <t xml:space="preserve">
The text in the cell is flagged red if:
</t>
        </r>
        <r>
          <rPr>
            <b/>
            <sz val="9"/>
            <color indexed="10"/>
            <rFont val="Tahoma"/>
            <family val="2"/>
          </rPr>
          <t>-The output voltage is above 55V 
-The output voltage is below 0.8V</t>
        </r>
      </text>
    </comment>
    <comment ref="F11" authorId="0" shapeId="0" xr:uid="{00000000-0006-0000-0000-000007000000}">
      <text>
        <r>
          <rPr>
            <b/>
            <u/>
            <sz val="9"/>
            <color indexed="81"/>
            <rFont val="Tahoma"/>
            <family val="2"/>
          </rPr>
          <t>Operating Frequency</t>
        </r>
        <r>
          <rPr>
            <b/>
            <sz val="9"/>
            <color indexed="81"/>
            <rFont val="Tahoma"/>
            <family val="2"/>
          </rPr>
          <t xml:space="preserve"> (set by R</t>
        </r>
        <r>
          <rPr>
            <b/>
            <vertAlign val="subscript"/>
            <sz val="9"/>
            <color indexed="81"/>
            <rFont val="Tahoma"/>
            <family val="2"/>
          </rPr>
          <t>T</t>
        </r>
        <r>
          <rPr>
            <b/>
            <sz val="9"/>
            <color indexed="81"/>
            <rFont val="Tahoma"/>
            <family val="2"/>
          </rPr>
          <t>):</t>
        </r>
        <r>
          <rPr>
            <sz val="9"/>
            <color indexed="81"/>
            <rFont val="Tahoma"/>
            <family val="2"/>
          </rPr>
          <t xml:space="preserve">
This cell defines the free-running switching frequency set by the R</t>
        </r>
        <r>
          <rPr>
            <vertAlign val="subscript"/>
            <sz val="9"/>
            <color indexed="81"/>
            <rFont val="Tahoma"/>
            <family val="2"/>
          </rPr>
          <t>T</t>
        </r>
        <r>
          <rPr>
            <sz val="9"/>
            <color indexed="81"/>
            <rFont val="Tahoma"/>
            <family val="2"/>
          </rPr>
          <t xml:space="preserve"> resistor. 
</t>
        </r>
        <r>
          <rPr>
            <b/>
            <sz val="9"/>
            <color indexed="81"/>
            <rFont val="Tahoma"/>
            <family val="2"/>
          </rPr>
          <t xml:space="preserve">The text in the cell is flagged red if:
</t>
        </r>
        <r>
          <rPr>
            <b/>
            <sz val="9"/>
            <color indexed="10"/>
            <rFont val="Tahoma"/>
            <family val="2"/>
          </rPr>
          <t>-The frequency is below 100 kHz
-The frequency is above 600 kHz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16" authorId="0" shapeId="0" xr:uid="{00000000-0006-0000-0000-000008000000}">
      <text>
        <r>
          <rPr>
            <b/>
            <u/>
            <sz val="9"/>
            <color indexed="81"/>
            <rFont val="Tahoma"/>
            <family val="2"/>
          </rPr>
          <t>Filter Inductance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 xml:space="preserve">Enter the filter inductance here.
Target inductor (peak-to-peak) ripple currrent is 80% of the DC full load </t>
        </r>
        <r>
          <rPr>
            <u/>
            <sz val="9"/>
            <color indexed="81"/>
            <rFont val="Tahoma"/>
            <family val="2"/>
          </rPr>
          <t>output</t>
        </r>
        <r>
          <rPr>
            <sz val="9"/>
            <color indexed="81"/>
            <rFont val="Tahoma"/>
            <family val="2"/>
          </rPr>
          <t xml:space="preserve"> current in BUCK mode at highest input voltage.
Target inductor (peak-to-peak) ripple currrent is 30% of the DC full load </t>
        </r>
        <r>
          <rPr>
            <u/>
            <sz val="9"/>
            <color indexed="81"/>
            <rFont val="Tahoma"/>
            <family val="2"/>
          </rPr>
          <t>input</t>
        </r>
        <r>
          <rPr>
            <sz val="9"/>
            <color indexed="81"/>
            <rFont val="Tahoma"/>
            <family val="2"/>
          </rPr>
          <t xml:space="preserve"> current in BOOST mode at lowest input voltage.</t>
        </r>
      </text>
    </comment>
    <comment ref="F17" authorId="0" shapeId="0" xr:uid="{00000000-0006-0000-0000-000009000000}">
      <text>
        <r>
          <rPr>
            <b/>
            <u/>
            <sz val="9"/>
            <color indexed="81"/>
            <rFont val="Tahoma"/>
            <family val="2"/>
          </rPr>
          <t>Inductor DCR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Enter the inductor DC resistance here. This is typically specified in the inductor datasheet at 25°C copper temperature.</t>
        </r>
      </text>
    </comment>
    <comment ref="F26" authorId="0" shapeId="0" xr:uid="{00000000-0006-0000-0000-00000A000000}">
      <text>
        <r>
          <rPr>
            <b/>
            <u/>
            <sz val="9"/>
            <color indexed="81"/>
            <rFont val="Tahoma"/>
            <family val="2"/>
          </rPr>
          <t>OCP Setpoint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Enter the required overcurrent protection (OCP) setpoint for output current. A typical level is 125% of full load current.</t>
        </r>
      </text>
    </comment>
    <comment ref="F27" authorId="0" shapeId="0" xr:uid="{00000000-0006-0000-0000-00000B000000}">
      <text>
        <r>
          <rPr>
            <b/>
            <u/>
            <sz val="9"/>
            <color indexed="81"/>
            <rFont val="Tahoma"/>
            <family val="2"/>
          </rPr>
          <t>Sense Resistance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Use this resistor to sense current and set the cycle-by-cycle overcurrent protection. As such, the calculation takes the required current limit setpoint and the inductor ripple current amplitude to calculate </t>
        </r>
        <r>
          <rPr>
            <b/>
            <sz val="9"/>
            <color indexed="81"/>
            <rFont val="Tahoma"/>
            <family val="2"/>
          </rPr>
          <t>R</t>
        </r>
        <r>
          <rPr>
            <b/>
            <vertAlign val="subscript"/>
            <sz val="9"/>
            <color indexed="81"/>
            <rFont val="Tahoma"/>
            <family val="2"/>
          </rPr>
          <t>SENSE</t>
        </r>
        <r>
          <rPr>
            <sz val="9"/>
            <color indexed="81"/>
            <rFont val="Tahoma"/>
            <family val="2"/>
          </rPr>
          <t xml:space="preserve">.
The thresholds in BUCK and BOOST modes are 80mV and 120mV, respectively.
The resistances of </t>
        </r>
        <r>
          <rPr>
            <b/>
            <sz val="9"/>
            <color indexed="81"/>
            <rFont val="Tahoma"/>
            <family val="2"/>
          </rPr>
          <t>R</t>
        </r>
        <r>
          <rPr>
            <b/>
            <vertAlign val="subscript"/>
            <sz val="9"/>
            <color indexed="81"/>
            <rFont val="Tahoma"/>
            <family val="2"/>
          </rPr>
          <t>CS1</t>
        </r>
        <r>
          <rPr>
            <sz val="9"/>
            <color indexed="81"/>
            <rFont val="Tahoma"/>
            <family val="2"/>
          </rPr>
          <t xml:space="preserve"> and </t>
        </r>
        <r>
          <rPr>
            <b/>
            <sz val="9"/>
            <color indexed="81"/>
            <rFont val="Tahoma"/>
            <family val="2"/>
          </rPr>
          <t>R</t>
        </r>
        <r>
          <rPr>
            <b/>
            <vertAlign val="subscript"/>
            <sz val="9"/>
            <color indexed="81"/>
            <rFont val="Tahoma"/>
            <family val="2"/>
          </rPr>
          <t>CS2</t>
        </r>
        <r>
          <rPr>
            <sz val="9"/>
            <color indexed="81"/>
            <rFont val="Tahoma"/>
            <family val="2"/>
          </rPr>
          <t xml:space="preserve"> are equal for balanced common-mode filtering to the CS and CSG pins.</t>
        </r>
      </text>
    </comment>
    <comment ref="F29" authorId="0" shapeId="0" xr:uid="{00000000-0006-0000-0000-00000C000000}">
      <text>
        <r>
          <rPr>
            <b/>
            <u/>
            <sz val="9"/>
            <color indexed="81"/>
            <rFont val="Tahoma"/>
            <family val="2"/>
          </rPr>
          <t>Peak Inductor Current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Maximum current in the inductor usually occurs at V</t>
        </r>
        <r>
          <rPr>
            <vertAlign val="subscript"/>
            <sz val="9"/>
            <color indexed="81"/>
            <rFont val="Tahoma"/>
            <family val="2"/>
          </rPr>
          <t>IN(min)</t>
        </r>
        <r>
          <rPr>
            <sz val="9"/>
            <color indexed="81"/>
            <rFont val="Tahoma"/>
            <family val="2"/>
          </rPr>
          <t xml:space="preserve"> or V</t>
        </r>
        <r>
          <rPr>
            <vertAlign val="subscript"/>
            <sz val="9"/>
            <color indexed="81"/>
            <rFont val="Tahoma"/>
            <family val="2"/>
          </rPr>
          <t>IN(max)</t>
        </r>
        <r>
          <rPr>
            <sz val="9"/>
            <color indexed="81"/>
            <rFont val="Tahoma"/>
            <family val="2"/>
          </rPr>
          <t>. The result is corresponds to onset of current limit and is intended as a guide to inductor selection as it relates to saturation current.</t>
        </r>
      </text>
    </comment>
    <comment ref="F30" authorId="0" shapeId="0" xr:uid="{00000000-0006-0000-0000-00000D000000}">
      <text>
        <r>
          <rPr>
            <b/>
            <u/>
            <sz val="9"/>
            <color indexed="81"/>
            <rFont val="Tahoma"/>
            <family val="2"/>
          </rPr>
          <t>Max Shunt Dissipation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Maximum power loss in the shunt resistor occurs at V</t>
        </r>
        <r>
          <rPr>
            <vertAlign val="subscript"/>
            <sz val="9"/>
            <color indexed="81"/>
            <rFont val="Tahoma"/>
            <family val="2"/>
          </rPr>
          <t>IN(min)</t>
        </r>
        <r>
          <rPr>
            <sz val="9"/>
            <color indexed="81"/>
            <rFont val="Tahoma"/>
            <family val="2"/>
          </rPr>
          <t xml:space="preserve"> or V</t>
        </r>
        <r>
          <rPr>
            <vertAlign val="subscript"/>
            <sz val="9"/>
            <color indexed="81"/>
            <rFont val="Tahoma"/>
            <family val="2"/>
          </rPr>
          <t>IN(max)</t>
        </r>
        <r>
          <rPr>
            <sz val="9"/>
            <color indexed="81"/>
            <rFont val="Tahoma"/>
            <family val="2"/>
          </rPr>
          <t>. The result is provided at full load current.
Of course, the dissipation is higher in an overcurrent condition, and the shunt should be rated for this condition.</t>
        </r>
      </text>
    </comment>
    <comment ref="F36" authorId="0" shapeId="0" xr:uid="{00000000-0006-0000-0000-00000E000000}">
      <text>
        <r>
          <rPr>
            <b/>
            <u/>
            <sz val="9"/>
            <color indexed="81"/>
            <rFont val="Tahoma"/>
            <family val="2"/>
          </rPr>
          <t>Constant Current Loop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Enter "N/A" if not required.
Enter current in "A" if this optional feature is being used.
</t>
        </r>
      </text>
    </comment>
    <comment ref="F37" authorId="0" shapeId="0" xr:uid="{00000000-0006-0000-0000-00000F000000}">
      <text>
        <r>
          <rPr>
            <b/>
            <u/>
            <sz val="9"/>
            <color indexed="81"/>
            <rFont val="Tahoma"/>
            <family val="2"/>
          </rPr>
          <t>Output Shunt Resistance</t>
        </r>
        <r>
          <rPr>
            <b/>
            <sz val="9"/>
            <color indexed="81"/>
            <rFont val="Tahoma"/>
            <family val="2"/>
          </rPr>
          <t>:
R</t>
        </r>
        <r>
          <rPr>
            <b/>
            <vertAlign val="subscript"/>
            <sz val="9"/>
            <color indexed="81"/>
            <rFont val="Tahoma"/>
            <family val="2"/>
          </rPr>
          <t>SHUNT</t>
        </r>
        <r>
          <rPr>
            <sz val="9"/>
            <color indexed="81"/>
            <rFont val="Tahoma"/>
            <family val="2"/>
          </rPr>
          <t xml:space="preserve"> is calculated based on the desired constant current loop setpoint.
Specifically, the LM5176 design tool sets the constant current loop based on the transconductance amplifier with g</t>
        </r>
        <r>
          <rPr>
            <vertAlign val="subscript"/>
            <sz val="9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 = 1mA/V and current limit threshold of 50mV.</t>
        </r>
      </text>
    </comment>
    <comment ref="F40" authorId="0" shapeId="0" xr:uid="{00000000-0006-0000-0000-000010000000}">
      <text>
        <r>
          <rPr>
            <b/>
            <u/>
            <sz val="9"/>
            <color indexed="81"/>
            <rFont val="Tahoma"/>
            <family val="2"/>
          </rPr>
          <t>Output Voltage Ripple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 xml:space="preserve">Enter the desired maximum peak-to-peak output voltage ripple here. This will set the ideal output capacitance value.
</t>
        </r>
        <r>
          <rPr>
            <sz val="9"/>
            <color indexed="39"/>
            <rFont val="Tahoma"/>
            <family val="2"/>
          </rPr>
          <t xml:space="preserve">
Max output ripple will likely occur at VIN(min) in BOOST mode or perhaps at VIN(max) in BUCK mode.</t>
        </r>
        <r>
          <rPr>
            <b/>
            <sz val="9"/>
            <color indexed="81"/>
            <rFont val="Tahoma"/>
            <family val="2"/>
          </rPr>
          <t xml:space="preserve">
The text in the cell is flagged red if:
</t>
        </r>
        <r>
          <rPr>
            <b/>
            <sz val="9"/>
            <color indexed="10"/>
            <rFont val="Tahoma"/>
            <family val="2"/>
          </rPr>
          <t>-The output voltage ripple is zero.</t>
        </r>
      </text>
    </comment>
    <comment ref="F42" authorId="0" shapeId="0" xr:uid="{00000000-0006-0000-0000-000011000000}">
      <text>
        <r>
          <rPr>
            <b/>
            <u/>
            <sz val="9"/>
            <color indexed="81"/>
            <rFont val="Tahoma"/>
            <family val="2"/>
          </rPr>
          <t>Output Capacitance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Enter the output capacitance here based on the minimum calculated result. Make sure that the nominal capacitance is appropriately derated for applied voltage, particularly with </t>
        </r>
        <r>
          <rPr>
            <sz val="9"/>
            <color indexed="39"/>
            <rFont val="Tahoma"/>
            <family val="2"/>
          </rPr>
          <t>ceramics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Tahoma"/>
            <family val="2"/>
          </rPr>
          <t>The text in the cell is flagged red if: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-The chosen output capacitor is smaller than the minimum ideal capacitance.</t>
        </r>
      </text>
    </comment>
    <comment ref="F44" authorId="0" shapeId="0" xr:uid="{00000000-0006-0000-0000-000012000000}">
      <text>
        <r>
          <rPr>
            <b/>
            <u/>
            <sz val="9"/>
            <color indexed="81"/>
            <rFont val="Tahoma"/>
            <family val="2"/>
          </rPr>
          <t>Output Capacitor ESR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Enter the output capacitor ESR here based on the maximum allowed output capacitor ESR to meet the voltage ripple specification.</t>
        </r>
        <r>
          <rPr>
            <b/>
            <sz val="9"/>
            <color indexed="81"/>
            <rFont val="Tahoma"/>
            <family val="2"/>
          </rPr>
          <t xml:space="preserve">
The text in the cell is flagged </t>
        </r>
        <r>
          <rPr>
            <b/>
            <sz val="9"/>
            <color indexed="10"/>
            <rFont val="Tahoma"/>
            <family val="2"/>
          </rPr>
          <t>red</t>
        </r>
        <r>
          <rPr>
            <b/>
            <sz val="9"/>
            <color indexed="81"/>
            <rFont val="Tahoma"/>
            <family val="2"/>
          </rPr>
          <t xml:space="preserve"> if:
</t>
        </r>
        <r>
          <rPr>
            <b/>
            <sz val="9"/>
            <color indexed="10"/>
            <rFont val="Tahoma"/>
            <family val="2"/>
          </rPr>
          <t>-ESR is zero, or
-ESR exceeds maximum allowable ESR to meet the voltage ripple specification.</t>
        </r>
      </text>
    </comment>
    <comment ref="F49" authorId="0" shapeId="0" xr:uid="{00000000-0006-0000-0000-000013000000}">
      <text>
        <r>
          <rPr>
            <b/>
            <u/>
            <sz val="9"/>
            <color indexed="81"/>
            <rFont val="Tahoma"/>
            <family val="2"/>
          </rPr>
          <t>Input Voltage Ripple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Enter the desired maximum peak-to-peak input voltage ripple here. This will set the ideal input capacitance requirement.</t>
        </r>
        <r>
          <rPr>
            <b/>
            <sz val="9"/>
            <color indexed="81"/>
            <rFont val="Tahoma"/>
            <family val="2"/>
          </rPr>
          <t xml:space="preserve">
The text in thiecell is </t>
        </r>
        <r>
          <rPr>
            <b/>
            <sz val="9"/>
            <color indexed="10"/>
            <rFont val="Tahoma"/>
            <family val="2"/>
          </rPr>
          <t>red</t>
        </r>
        <r>
          <rPr>
            <b/>
            <sz val="9"/>
            <color indexed="81"/>
            <rFont val="Tahoma"/>
            <family val="2"/>
          </rPr>
          <t xml:space="preserve"> if:
</t>
        </r>
        <r>
          <rPr>
            <b/>
            <sz val="9"/>
            <color indexed="10"/>
            <rFont val="Tahoma"/>
            <family val="2"/>
          </rPr>
          <t>-The input voltage ripple is zero.</t>
        </r>
      </text>
    </comment>
    <comment ref="F51" authorId="0" shapeId="0" xr:uid="{00000000-0006-0000-0000-000014000000}">
      <text>
        <r>
          <rPr>
            <b/>
            <u/>
            <sz val="9"/>
            <color indexed="81"/>
            <rFont val="Tahoma"/>
            <family val="2"/>
          </rPr>
          <t>Input Capacitance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 xml:space="preserve">Enter the input capacitance here based on the minimum calculated result. Make sure that the nominal capacitance is appropriately derated for applied voltage.
</t>
        </r>
        <r>
          <rPr>
            <b/>
            <sz val="9"/>
            <color indexed="81"/>
            <rFont val="Tahoma"/>
            <family val="2"/>
          </rPr>
          <t xml:space="preserve">The text in the cell is flagged </t>
        </r>
        <r>
          <rPr>
            <b/>
            <sz val="9"/>
            <color indexed="10"/>
            <rFont val="Tahoma"/>
            <family val="2"/>
          </rPr>
          <t>red</t>
        </r>
        <r>
          <rPr>
            <b/>
            <sz val="9"/>
            <color indexed="81"/>
            <rFont val="Tahoma"/>
            <family val="2"/>
          </rPr>
          <t xml:space="preserve"> if:
</t>
        </r>
        <r>
          <rPr>
            <b/>
            <sz val="9"/>
            <color indexed="10"/>
            <rFont val="Tahoma"/>
            <family val="2"/>
          </rPr>
          <t>-The chosen input capacitor is smaller than the minimum ideal capacitance.</t>
        </r>
      </text>
    </comment>
    <comment ref="F53" authorId="0" shapeId="0" xr:uid="{00000000-0006-0000-0000-000015000000}">
      <text>
        <r>
          <rPr>
            <b/>
            <u/>
            <sz val="9"/>
            <color indexed="81"/>
            <rFont val="Tahoma"/>
            <family val="2"/>
          </rPr>
          <t>Input Capacitor ESR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Enter the input capacitor ESR here based on the maximum allowed input capacitor ESR to meet the ripple voltage specification.</t>
        </r>
        <r>
          <rPr>
            <b/>
            <sz val="9"/>
            <color indexed="81"/>
            <rFont val="Tahoma"/>
            <family val="2"/>
          </rPr>
          <t xml:space="preserve">
The text in the cell is flagged </t>
        </r>
        <r>
          <rPr>
            <b/>
            <sz val="9"/>
            <color indexed="10"/>
            <rFont val="Tahoma"/>
            <family val="2"/>
          </rPr>
          <t>red</t>
        </r>
        <r>
          <rPr>
            <b/>
            <sz val="9"/>
            <color indexed="81"/>
            <rFont val="Tahoma"/>
            <family val="2"/>
          </rPr>
          <t xml:space="preserve"> if:
</t>
        </r>
        <r>
          <rPr>
            <b/>
            <sz val="9"/>
            <color indexed="10"/>
            <rFont val="Tahoma"/>
            <family val="2"/>
          </rPr>
          <t>-ESR is zero, or
-ESR exceeds maximum allowable ESR to meet the voltage ripple specification.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58" authorId="0" shapeId="0" xr:uid="{00000000-0006-0000-0000-000016000000}">
      <text>
        <r>
          <rPr>
            <b/>
            <u/>
            <sz val="8"/>
            <color indexed="81"/>
            <rFont val="Tahoma"/>
            <family val="2"/>
          </rPr>
          <t>Soft-Start Time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 xml:space="preserve">Enter the desired soft-start time here. The soft-start time cannot be shorter than the internal 1.28 ms soft-start timer.
</t>
        </r>
        <r>
          <rPr>
            <b/>
            <sz val="8"/>
            <color indexed="81"/>
            <rFont val="Tahoma"/>
            <family val="2"/>
          </rPr>
          <t xml:space="preserve">
The text in this cell is flagged red if: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10"/>
            <rFont val="Tahoma"/>
            <family val="2"/>
          </rPr>
          <t>-The specified soft-start time is less than 1.28 ms.</t>
        </r>
      </text>
    </comment>
    <comment ref="F60" authorId="0" shapeId="0" xr:uid="{00000000-0006-0000-0000-000017000000}">
      <text>
        <r>
          <rPr>
            <b/>
            <u/>
            <sz val="9"/>
            <color indexed="81"/>
            <rFont val="Tahoma"/>
            <family val="2"/>
          </rPr>
          <t>Dither Low Frequency Modulation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Enter the desired dither low-frequency modulation rate. The dither capacitor charges and discharges in triangular fashion between ~98% and 108% of the 1.22V bandgap, i.e. 122mV amplitude, and sets up a 10% modulation of the nominal oscillator frequency.
Note that the LM5176 does not perform dither if the SYNC function is used.
</t>
        </r>
        <r>
          <rPr>
            <b/>
            <sz val="9"/>
            <color indexed="39"/>
            <rFont val="Tahoma"/>
            <family val="2"/>
          </rPr>
          <t xml:space="preserve">
If the dither feature is not required, the DITH pin should be tied to GND.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62" authorId="0" shapeId="0" xr:uid="{00000000-0006-0000-0000-000018000000}">
      <text>
        <r>
          <rPr>
            <b/>
            <u/>
            <sz val="9"/>
            <color indexed="81"/>
            <rFont val="Tahoma"/>
            <family val="2"/>
          </rPr>
          <t>Nominal UVLO Turn-On Input Voltage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 xml:space="preserve">Enter the nominal input voltage at turn on.
The LM5176 input operating voltage range is 4V to 55V.
</t>
        </r>
        <r>
          <rPr>
            <b/>
            <sz val="9"/>
            <color indexed="81"/>
            <rFont val="Tahoma"/>
            <family val="2"/>
          </rPr>
          <t>The text in the cell is flagged red if:</t>
        </r>
        <r>
          <rPr>
            <sz val="9"/>
            <color indexed="81"/>
            <rFont val="Tahoma"/>
            <family val="2"/>
          </rPr>
          <t xml:space="preserve">
-The input voltage is above </t>
        </r>
        <r>
          <rPr>
            <b/>
            <sz val="9"/>
            <color indexed="10"/>
            <rFont val="Tahoma"/>
            <family val="2"/>
          </rPr>
          <t>55V</t>
        </r>
        <r>
          <rPr>
            <sz val="9"/>
            <color indexed="81"/>
            <rFont val="Tahoma"/>
            <family val="2"/>
          </rPr>
          <t xml:space="preserve">
-The input voltage is below </t>
        </r>
        <r>
          <rPr>
            <b/>
            <sz val="9"/>
            <color indexed="10"/>
            <rFont val="Tahoma"/>
            <family val="2"/>
          </rPr>
          <t>4V</t>
        </r>
      </text>
    </comment>
    <comment ref="F64" authorId="0" shapeId="0" xr:uid="{00000000-0006-0000-0000-000019000000}">
      <text>
        <r>
          <rPr>
            <b/>
            <u/>
            <sz val="9"/>
            <color indexed="81"/>
            <rFont val="Tahoma"/>
            <family val="2"/>
          </rPr>
          <t>Nominal UVLO Upper Resistor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This is the upper UVLO resistor that sets the input voltage turn on. A recommended starting value of R</t>
        </r>
        <r>
          <rPr>
            <vertAlign val="subscript"/>
            <sz val="9"/>
            <color indexed="81"/>
            <rFont val="Tahoma"/>
            <family val="2"/>
          </rPr>
          <t>UV1</t>
        </r>
        <r>
          <rPr>
            <sz val="9"/>
            <color indexed="81"/>
            <rFont val="Tahoma"/>
            <family val="2"/>
          </rPr>
          <t xml:space="preserve"> is 200kΩ.</t>
        </r>
      </text>
    </comment>
    <comment ref="F71" authorId="0" shapeId="0" xr:uid="{00000000-0006-0000-0000-00001A000000}">
      <text>
        <r>
          <rPr>
            <b/>
            <u/>
            <sz val="9"/>
            <color indexed="81"/>
            <rFont val="Tahoma"/>
            <family val="2"/>
          </rPr>
          <t>Crossover Frequency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Enter the desired crossover frequency (usually between 5% and 20% of switching frequency). This feedback compensation components are determined based on this target performance metric.
</t>
        </r>
        <r>
          <rPr>
            <b/>
            <sz val="9"/>
            <color indexed="39"/>
            <rFont val="Tahoma"/>
            <family val="2"/>
          </rPr>
          <t>Note: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Compensaton components are calculated based on the nominal input voltage entered in Step 1.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 xml:space="preserve">
** After fixing the compensation components, sweep VIN(nom) across the input range to ensure adequate stability performance, especially at low VIN **</t>
        </r>
      </text>
    </comment>
    <comment ref="F73" authorId="0" shapeId="0" xr:uid="{00000000-0006-0000-0000-00001B000000}">
      <text>
        <r>
          <rPr>
            <b/>
            <sz val="9"/>
            <color indexed="81"/>
            <rFont val="Tahoma"/>
            <family val="2"/>
          </rPr>
          <t>R</t>
        </r>
        <r>
          <rPr>
            <b/>
            <vertAlign val="subscript"/>
            <sz val="9"/>
            <color indexed="81"/>
            <rFont val="Tahoma"/>
            <family val="2"/>
          </rPr>
          <t>FB1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This is the upper feedback resistor that sets the output voltage. A recommended starting value of </t>
        </r>
        <r>
          <rPr>
            <b/>
            <sz val="9"/>
            <color indexed="81"/>
            <rFont val="Tahoma"/>
            <family val="2"/>
          </rPr>
          <t>R</t>
        </r>
        <r>
          <rPr>
            <b/>
            <vertAlign val="subscript"/>
            <sz val="9"/>
            <color indexed="81"/>
            <rFont val="Tahoma"/>
            <family val="2"/>
          </rPr>
          <t>FB1</t>
        </r>
        <r>
          <rPr>
            <sz val="9"/>
            <color indexed="81"/>
            <rFont val="Tahoma"/>
            <family val="2"/>
          </rPr>
          <t xml:space="preserve"> is 100kΩ.</t>
        </r>
      </text>
    </comment>
    <comment ref="E77" authorId="0" shapeId="0" xr:uid="{00000000-0006-0000-0000-00001C000000}">
      <text>
        <r>
          <rPr>
            <b/>
            <u/>
            <sz val="9"/>
            <color indexed="81"/>
            <rFont val="Tahoma"/>
            <family val="2"/>
          </rPr>
          <t>Selected Compensation Components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4"/>
            <rFont val="Tahoma"/>
            <family val="2"/>
          </rPr>
          <t>Note: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Compensation components are calculated based on the nominal input voltage from Step 1 and the desired crossover frequency from Step 7.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4"/>
            <rFont val="Tahoma"/>
            <family val="2"/>
          </rPr>
          <t>Important: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39"/>
            <rFont val="Tahoma"/>
            <family val="2"/>
          </rPr>
          <t>1. Fix the compensation values by clicking the FIX VALUES button.</t>
        </r>
        <r>
          <rPr>
            <b/>
            <sz val="9"/>
            <color indexed="10"/>
            <rFont val="Tahoma"/>
            <family val="2"/>
          </rPr>
          <t xml:space="preserve">
</t>
        </r>
        <r>
          <rPr>
            <b/>
            <sz val="9"/>
            <color indexed="39"/>
            <rFont val="Tahoma"/>
            <family val="2"/>
          </rPr>
          <t>2. Sweep VIN(nom) across the required input range to ensure adequate stability performance, especially at low VIN.</t>
        </r>
      </text>
    </comment>
    <comment ref="J78" authorId="0" shapeId="0" xr:uid="{00000000-0006-0000-0000-00001D000000}">
      <text>
        <r>
          <rPr>
            <b/>
            <u/>
            <sz val="9"/>
            <color indexed="81"/>
            <rFont val="Tahoma"/>
            <family val="2"/>
          </rPr>
          <t>COMP Min Voltage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This is the minimum steady state COMP voltage -- usually occurring at VIN(max) and no load -- and should be greater than 0.3V.</t>
        </r>
      </text>
    </comment>
    <comment ref="J79" authorId="0" shapeId="0" xr:uid="{00000000-0006-0000-0000-00001E000000}">
      <text>
        <r>
          <rPr>
            <b/>
            <u/>
            <sz val="9"/>
            <color indexed="81"/>
            <rFont val="Tahoma"/>
            <family val="2"/>
          </rPr>
          <t>COMP Max Voltage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This is the maximum steady state COMP voltage -- usually occurring at VIN(min) and full load -- and should be less than 3.0V.</t>
        </r>
      </text>
    </comment>
    <comment ref="E87" authorId="1" shapeId="0" xr:uid="{00000000-0006-0000-0000-00001F000000}">
      <text>
        <r>
          <rPr>
            <b/>
            <sz val="10"/>
            <color indexed="81"/>
            <rFont val="Tahoma"/>
            <family val="2"/>
          </rPr>
          <t>On-State Resistance (R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 xml:space="preserve">Enter the </t>
        </r>
        <r>
          <rPr>
            <b/>
            <sz val="10"/>
            <color indexed="81"/>
            <rFont val="Tahoma"/>
            <family val="2"/>
          </rPr>
          <t>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of the high-side MOSFET here (at the appropriate gate drive level, typically 7.5V). High current designs (&gt;5A) can incur large conduction losses and, as such, demand MOSFETs with low </t>
        </r>
        <r>
          <rPr>
            <b/>
            <sz val="10"/>
            <color indexed="81"/>
            <rFont val="Tahoma"/>
            <family val="2"/>
          </rPr>
          <t>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usually at the expense of larger Q</t>
        </r>
        <r>
          <rPr>
            <vertAlign val="subscript"/>
            <sz val="10"/>
            <color indexed="81"/>
            <rFont val="Tahoma"/>
            <family val="2"/>
          </rPr>
          <t>G</t>
        </r>
        <r>
          <rPr>
            <sz val="10"/>
            <color indexed="81"/>
            <rFont val="Tahoma"/>
            <family val="2"/>
          </rPr>
          <t xml:space="preserve">.
MOSFET </t>
        </r>
        <r>
          <rPr>
            <b/>
            <sz val="10"/>
            <color indexed="81"/>
            <rFont val="Tahoma"/>
            <family val="2"/>
          </rPr>
          <t>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has a positive temperature coefficient (resistance increases with increasing temperature). This temperature coefficient is accounted for in the efficiency and power dissipation calculations.</t>
        </r>
      </text>
    </comment>
    <comment ref="F87" authorId="1" shapeId="0" xr:uid="{00000000-0006-0000-0000-000020000000}">
      <text>
        <r>
          <rPr>
            <b/>
            <sz val="10"/>
            <color indexed="81"/>
            <rFont val="Tahoma"/>
            <family val="2"/>
          </rPr>
          <t>On-State Resistance (R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 xml:space="preserve">Enter the </t>
        </r>
        <r>
          <rPr>
            <b/>
            <sz val="10"/>
            <color indexed="81"/>
            <rFont val="Tahoma"/>
            <family val="2"/>
          </rPr>
          <t>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of the low-side MOSFET here  (at the appropriate gate drive level, typically 7.5V). High current designs (&gt;5A) can incur large conduction losses and, as such, demand MOSFETs with low </t>
        </r>
        <r>
          <rPr>
            <b/>
            <sz val="10"/>
            <color indexed="81"/>
            <rFont val="Tahoma"/>
            <family val="2"/>
          </rPr>
          <t>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usually at the expense of larger Q</t>
        </r>
        <r>
          <rPr>
            <vertAlign val="subscript"/>
            <sz val="10"/>
            <color indexed="81"/>
            <rFont val="Tahoma"/>
            <family val="2"/>
          </rPr>
          <t>G</t>
        </r>
        <r>
          <rPr>
            <sz val="10"/>
            <color indexed="81"/>
            <rFont val="Tahoma"/>
            <family val="2"/>
          </rPr>
          <t xml:space="preserve">.
MOSFET </t>
        </r>
        <r>
          <rPr>
            <b/>
            <sz val="10"/>
            <color indexed="81"/>
            <rFont val="Tahoma"/>
            <family val="2"/>
          </rPr>
          <t>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has a positive temperature coefficient (resistance increases with increasing temperature). This temperature coefficient is accounted for in the efficiency and power dissipation calculations.</t>
        </r>
      </text>
    </comment>
    <comment ref="E88" authorId="1" shapeId="0" xr:uid="{00000000-0006-0000-0000-000021000000}">
      <text>
        <r>
          <rPr>
            <b/>
            <sz val="10"/>
            <color indexed="81"/>
            <rFont val="Tahoma"/>
            <family val="2"/>
          </rPr>
          <t>Total Gate Charge (Q</t>
        </r>
        <r>
          <rPr>
            <b/>
            <vertAlign val="subscript"/>
            <sz val="10"/>
            <color indexed="81"/>
            <rFont val="Tahoma"/>
            <family val="2"/>
          </rPr>
          <t>g</t>
        </r>
        <r>
          <rPr>
            <b/>
            <sz val="10"/>
            <color indexed="81"/>
            <rFont val="Tahoma"/>
            <family val="2"/>
          </rPr>
          <t>):</t>
        </r>
        <r>
          <rPr>
            <sz val="10"/>
            <color indexed="81"/>
            <rFont val="Tahoma"/>
            <family val="2"/>
          </rPr>
          <t xml:space="preserve">
Enter the total gate charge of the high-side MOSFET here (at the appropriate gate drive voltage level, typically 7.5V).</t>
        </r>
      </text>
    </comment>
    <comment ref="F88" authorId="1" shapeId="0" xr:uid="{00000000-0006-0000-0000-000022000000}">
      <text>
        <r>
          <rPr>
            <b/>
            <sz val="10"/>
            <color indexed="81"/>
            <rFont val="Tahoma"/>
            <family val="2"/>
          </rPr>
          <t>Total Gate Charge (Q</t>
        </r>
        <r>
          <rPr>
            <b/>
            <vertAlign val="subscript"/>
            <sz val="10"/>
            <color indexed="81"/>
            <rFont val="Tahoma"/>
            <family val="2"/>
          </rPr>
          <t>g</t>
        </r>
        <r>
          <rPr>
            <b/>
            <sz val="10"/>
            <color indexed="81"/>
            <rFont val="Tahoma"/>
            <family val="2"/>
          </rPr>
          <t>):</t>
        </r>
        <r>
          <rPr>
            <sz val="10"/>
            <color indexed="81"/>
            <rFont val="Tahoma"/>
            <family val="2"/>
          </rPr>
          <t xml:space="preserve">
Enter the total gate charge of the low-side MOSFET here (at the appropriate gate drive level, typically 7.5V)</t>
        </r>
      </text>
    </comment>
    <comment ref="E89" authorId="1" shapeId="0" xr:uid="{00000000-0006-0000-0000-000023000000}">
      <text>
        <r>
          <rPr>
            <b/>
            <sz val="10"/>
            <color indexed="81"/>
            <rFont val="Tahoma"/>
            <family val="2"/>
          </rPr>
          <t>Gate-Drain Charge (Q</t>
        </r>
        <r>
          <rPr>
            <b/>
            <vertAlign val="subscript"/>
            <sz val="10"/>
            <color indexed="81"/>
            <rFont val="Tahoma"/>
            <family val="2"/>
          </rPr>
          <t>GD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Q</t>
        </r>
        <r>
          <rPr>
            <vertAlign val="subscript"/>
            <sz val="10"/>
            <color indexed="81"/>
            <rFont val="Tahoma"/>
            <family val="2"/>
          </rPr>
          <t>GD</t>
        </r>
        <r>
          <rPr>
            <sz val="10"/>
            <color indexed="81"/>
            <rFont val="Tahoma"/>
            <family val="2"/>
          </rPr>
          <t xml:space="preserve"> of the high-side MOSFET here.
MOSFET Q</t>
        </r>
        <r>
          <rPr>
            <vertAlign val="subscript"/>
            <sz val="10"/>
            <color indexed="81"/>
            <rFont val="Tahoma"/>
            <family val="2"/>
          </rPr>
          <t>GD</t>
        </r>
        <r>
          <rPr>
            <sz val="10"/>
            <color indexed="81"/>
            <rFont val="Tahoma"/>
            <family val="2"/>
          </rPr>
          <t xml:space="preserve"> affects the turn-on and-off transition times. Slow transition times result in a decrease in efficiency, especially at higher input voltages.</t>
        </r>
      </text>
    </comment>
    <comment ref="F89" authorId="1" shapeId="0" xr:uid="{00000000-0006-0000-0000-000024000000}">
      <text>
        <r>
          <rPr>
            <b/>
            <sz val="10"/>
            <color indexed="81"/>
            <rFont val="Tahoma"/>
            <family val="2"/>
          </rPr>
          <t>Gate-Drain Charge (Q</t>
        </r>
        <r>
          <rPr>
            <b/>
            <vertAlign val="subscript"/>
            <sz val="10"/>
            <color indexed="81"/>
            <rFont val="Tahoma"/>
            <family val="2"/>
          </rPr>
          <t>GD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Q</t>
        </r>
        <r>
          <rPr>
            <vertAlign val="subscript"/>
            <sz val="10"/>
            <color indexed="81"/>
            <rFont val="Tahoma"/>
            <family val="2"/>
          </rPr>
          <t>GD</t>
        </r>
        <r>
          <rPr>
            <sz val="10"/>
            <color indexed="81"/>
            <rFont val="Tahoma"/>
            <family val="2"/>
          </rPr>
          <t xml:space="preserve"> of the buck low-side MOSFET here.</t>
        </r>
      </text>
    </comment>
    <comment ref="E90" authorId="1" shapeId="0" xr:uid="{00000000-0006-0000-0000-000025000000}">
      <text>
        <r>
          <rPr>
            <b/>
            <sz val="10"/>
            <color indexed="81"/>
            <rFont val="Tahoma"/>
            <family val="2"/>
          </rPr>
          <t>Gate-Source Charge (Q</t>
        </r>
        <r>
          <rPr>
            <b/>
            <vertAlign val="subscript"/>
            <sz val="10"/>
            <color indexed="81"/>
            <rFont val="Tahoma"/>
            <family val="2"/>
          </rPr>
          <t>GS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 xml:space="preserve">Enter the gate-source charge here. </t>
        </r>
      </text>
    </comment>
    <comment ref="F90" authorId="1" shapeId="0" xr:uid="{00000000-0006-0000-0000-000026000000}">
      <text>
        <r>
          <rPr>
            <b/>
            <sz val="10"/>
            <color indexed="81"/>
            <rFont val="Tahoma"/>
            <family val="2"/>
          </rPr>
          <t>Gate-Source Charge (Q</t>
        </r>
        <r>
          <rPr>
            <b/>
            <vertAlign val="subscript"/>
            <sz val="10"/>
            <color indexed="81"/>
            <rFont val="Tahoma"/>
            <family val="2"/>
          </rPr>
          <t>GS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 xml:space="preserve">Enter the gate-source charge here. </t>
        </r>
      </text>
    </comment>
    <comment ref="E91" authorId="1" shapeId="0" xr:uid="{00000000-0006-0000-0000-000027000000}">
      <text>
        <r>
          <rPr>
            <b/>
            <sz val="10"/>
            <color indexed="81"/>
            <rFont val="Tahoma"/>
            <family val="2"/>
          </rPr>
          <t>Gate Resistance (R</t>
        </r>
        <r>
          <rPr>
            <b/>
            <vertAlign val="subscript"/>
            <sz val="10"/>
            <color indexed="81"/>
            <rFont val="Tahoma"/>
            <family val="2"/>
          </rPr>
          <t>G</t>
        </r>
        <r>
          <rPr>
            <b/>
            <sz val="10"/>
            <color indexed="81"/>
            <rFont val="Tahoma"/>
            <family val="2"/>
          </rPr>
          <t>):</t>
        </r>
        <r>
          <rPr>
            <sz val="10"/>
            <color indexed="81"/>
            <rFont val="Tahoma"/>
            <family val="2"/>
          </rPr>
          <t xml:space="preserve">
Enter the high-side MOSFET gate resistance here. </t>
        </r>
      </text>
    </comment>
    <comment ref="F91" authorId="1" shapeId="0" xr:uid="{00000000-0006-0000-0000-000028000000}">
      <text>
        <r>
          <rPr>
            <b/>
            <sz val="10"/>
            <color indexed="81"/>
            <rFont val="Tahoma"/>
            <family val="2"/>
          </rPr>
          <t>Gate Resistance (R</t>
        </r>
        <r>
          <rPr>
            <b/>
            <vertAlign val="subscript"/>
            <sz val="10"/>
            <color indexed="81"/>
            <rFont val="Tahoma"/>
            <family val="2"/>
          </rPr>
          <t>G</t>
        </r>
        <r>
          <rPr>
            <b/>
            <sz val="10"/>
            <color indexed="81"/>
            <rFont val="Tahoma"/>
            <family val="2"/>
          </rPr>
          <t>):</t>
        </r>
        <r>
          <rPr>
            <sz val="10"/>
            <color indexed="81"/>
            <rFont val="Tahoma"/>
            <family val="2"/>
          </rPr>
          <t xml:space="preserve">
Enter the low-side MOSFET gate resistance here. </t>
        </r>
      </text>
    </comment>
    <comment ref="E92" authorId="1" shapeId="0" xr:uid="{00000000-0006-0000-0000-000029000000}">
      <text>
        <r>
          <rPr>
            <b/>
            <sz val="10"/>
            <color indexed="81"/>
            <rFont val="Tahoma"/>
            <family val="2"/>
          </rPr>
          <t>Forward Transconductance (g</t>
        </r>
        <r>
          <rPr>
            <b/>
            <vertAlign val="subscript"/>
            <sz val="10"/>
            <color indexed="81"/>
            <rFont val="Tahoma"/>
            <family val="2"/>
          </rPr>
          <t>FS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forward transconductance rating of the high-side MOSFET here.</t>
        </r>
      </text>
    </comment>
    <comment ref="F92" authorId="1" shapeId="0" xr:uid="{00000000-0006-0000-0000-00002A000000}">
      <text>
        <r>
          <rPr>
            <b/>
            <sz val="10"/>
            <color indexed="81"/>
            <rFont val="Tahoma"/>
            <family val="2"/>
          </rPr>
          <t>Forward Transconductance (g</t>
        </r>
        <r>
          <rPr>
            <b/>
            <vertAlign val="subscript"/>
            <sz val="10"/>
            <color indexed="81"/>
            <rFont val="Tahoma"/>
            <family val="2"/>
          </rPr>
          <t>FS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forward transconductance rating of the low-side MOSFET here.</t>
        </r>
      </text>
    </comment>
    <comment ref="E93" authorId="1" shapeId="0" xr:uid="{00000000-0006-0000-0000-00002B000000}">
      <text>
        <r>
          <rPr>
            <b/>
            <sz val="10"/>
            <color indexed="81"/>
            <rFont val="Tahoma"/>
            <family val="2"/>
          </rPr>
          <t>Gate to Source Threshold Voltage (V</t>
        </r>
        <r>
          <rPr>
            <b/>
            <vertAlign val="subscript"/>
            <sz val="10"/>
            <color indexed="81"/>
            <rFont val="Tahoma"/>
            <family val="2"/>
          </rPr>
          <t>GS(TH)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MOSFET gate-source threshold voltage at rated current here. This can be taken as the plateau voltage in the V</t>
        </r>
        <r>
          <rPr>
            <vertAlign val="subscript"/>
            <sz val="10"/>
            <color indexed="81"/>
            <rFont val="Tahoma"/>
            <family val="2"/>
          </rPr>
          <t>GS</t>
        </r>
        <r>
          <rPr>
            <sz val="10"/>
            <color indexed="81"/>
            <rFont val="Tahoma"/>
            <family val="2"/>
          </rPr>
          <t>-Q</t>
        </r>
        <r>
          <rPr>
            <vertAlign val="subscript"/>
            <sz val="10"/>
            <color indexed="81"/>
            <rFont val="Tahoma"/>
            <family val="2"/>
          </rPr>
          <t>G</t>
        </r>
        <r>
          <rPr>
            <sz val="10"/>
            <color indexed="81"/>
            <rFont val="Tahoma"/>
            <family val="2"/>
          </rPr>
          <t xml:space="preserve"> curve in the MOSFET datasheet.
</t>
        </r>
      </text>
    </comment>
    <comment ref="F93" authorId="1" shapeId="0" xr:uid="{00000000-0006-0000-0000-00002C000000}">
      <text>
        <r>
          <rPr>
            <b/>
            <sz val="10"/>
            <color indexed="81"/>
            <rFont val="Tahoma"/>
            <family val="2"/>
          </rPr>
          <t>Gate to Source Threshold Voltage (V</t>
        </r>
        <r>
          <rPr>
            <b/>
            <vertAlign val="subscript"/>
            <sz val="10"/>
            <color indexed="81"/>
            <rFont val="Tahoma"/>
            <family val="2"/>
          </rPr>
          <t>GS(TH)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MOSFET gate-source threshold voltage at rated current here. This can be taken as the plateau voltage in the V</t>
        </r>
        <r>
          <rPr>
            <vertAlign val="subscript"/>
            <sz val="10"/>
            <color indexed="81"/>
            <rFont val="Tahoma"/>
            <family val="2"/>
          </rPr>
          <t>GS</t>
        </r>
        <r>
          <rPr>
            <sz val="10"/>
            <color indexed="81"/>
            <rFont val="Tahoma"/>
            <family val="2"/>
          </rPr>
          <t>-Q</t>
        </r>
        <r>
          <rPr>
            <vertAlign val="subscript"/>
            <sz val="10"/>
            <color indexed="81"/>
            <rFont val="Tahoma"/>
            <family val="2"/>
          </rPr>
          <t>G</t>
        </r>
        <r>
          <rPr>
            <sz val="10"/>
            <color indexed="81"/>
            <rFont val="Tahoma"/>
            <family val="2"/>
          </rPr>
          <t xml:space="preserve"> curve in the MOSFET datasheet.
</t>
        </r>
      </text>
    </comment>
    <comment ref="E94" authorId="1" shapeId="0" xr:uid="{00000000-0006-0000-0000-00002D000000}">
      <text>
        <r>
          <rPr>
            <b/>
            <sz val="10"/>
            <color indexed="81"/>
            <rFont val="Tahoma"/>
            <family val="2"/>
          </rPr>
          <t>Body Diode Forward Voltage (V</t>
        </r>
        <r>
          <rPr>
            <b/>
            <vertAlign val="subscript"/>
            <sz val="10"/>
            <color indexed="81"/>
            <rFont val="Tahoma"/>
            <family val="2"/>
          </rPr>
          <t>bd1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A MOSFET has an inherent reverse body diode, and the voltage drop usually is specified at a rated current. The high-side MOSFET body diode contributes power loss during negative current events.</t>
        </r>
      </text>
    </comment>
    <comment ref="F94" authorId="1" shapeId="0" xr:uid="{00000000-0006-0000-0000-00002E000000}">
      <text>
        <r>
          <rPr>
            <b/>
            <sz val="10"/>
            <color indexed="81"/>
            <rFont val="Tahoma"/>
            <family val="2"/>
          </rPr>
          <t>Body Diode Forward Voltage (V</t>
        </r>
        <r>
          <rPr>
            <b/>
            <vertAlign val="subscript"/>
            <sz val="10"/>
            <color indexed="81"/>
            <rFont val="Tahoma"/>
            <family val="2"/>
          </rPr>
          <t>bd1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A MOSFET has an inherent reverse body diode, and the voltage drop usually is specified at a rated current. The low-side MOSFET body diode contributes power loss related to both conduction and reverse recovery losses.</t>
        </r>
      </text>
    </comment>
    <comment ref="F95" authorId="1" shapeId="0" xr:uid="{00000000-0006-0000-0000-00002F000000}">
      <text>
        <r>
          <rPr>
            <b/>
            <sz val="10"/>
            <color indexed="81"/>
            <rFont val="Tahoma"/>
            <family val="2"/>
          </rPr>
          <t>Body Diode Recovery Charge (Q</t>
        </r>
        <r>
          <rPr>
            <b/>
            <vertAlign val="subscript"/>
            <sz val="10"/>
            <color indexed="81"/>
            <rFont val="Tahoma"/>
            <family val="2"/>
          </rPr>
          <t>RR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 xml:space="preserve">Enter the reverse recovery charge of the low-side MOSFET body diode here. </t>
        </r>
      </text>
    </comment>
    <comment ref="E96" authorId="1" shapeId="0" xr:uid="{00000000-0006-0000-0000-000030000000}">
      <text>
        <r>
          <rPr>
            <b/>
            <sz val="10"/>
            <color indexed="81"/>
            <rFont val="Tahoma"/>
            <family val="2"/>
          </rPr>
          <t>θ</t>
        </r>
        <r>
          <rPr>
            <b/>
            <vertAlign val="subscript"/>
            <sz val="10"/>
            <color indexed="81"/>
            <rFont val="Tahoma"/>
            <family val="2"/>
          </rPr>
          <t>JA</t>
        </r>
        <r>
          <rPr>
            <b/>
            <sz val="10"/>
            <color indexed="81"/>
            <rFont val="Tahoma"/>
            <family val="2"/>
          </rPr>
          <t xml:space="preserve">:
</t>
        </r>
        <r>
          <rPr>
            <sz val="10"/>
            <color indexed="81"/>
            <rFont val="Tahoma"/>
            <family val="2"/>
          </rPr>
          <t>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is the junction-to-ambient thermal resistance of the MOSFET. Higher 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will lead to higher power loss and reduced efficiency. High current designs demand low 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rating to help maintain low MOSFET operating junction temperature. What's imperative here is consciencious PCB design and layout to maximize heat removal from the MOSFET.</t>
        </r>
      </text>
    </comment>
    <comment ref="F96" authorId="1" shapeId="0" xr:uid="{00000000-0006-0000-0000-000031000000}">
      <text>
        <r>
          <rPr>
            <b/>
            <sz val="10"/>
            <color indexed="81"/>
            <rFont val="Tahoma"/>
            <family val="2"/>
          </rPr>
          <t>θ</t>
        </r>
        <r>
          <rPr>
            <b/>
            <vertAlign val="subscript"/>
            <sz val="10"/>
            <color indexed="81"/>
            <rFont val="Tahoma"/>
            <family val="2"/>
          </rPr>
          <t>JA</t>
        </r>
        <r>
          <rPr>
            <b/>
            <sz val="10"/>
            <color indexed="81"/>
            <rFont val="Tahoma"/>
            <family val="2"/>
          </rPr>
          <t xml:space="preserve">:
</t>
        </r>
        <r>
          <rPr>
            <sz val="10"/>
            <color indexed="81"/>
            <rFont val="Tahoma"/>
            <family val="2"/>
          </rPr>
          <t>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is the junction-to-ambient thermal resistance of the MOSFET. Higher 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will lead to higher power loss and reduced efficiency. High current designs demand low 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rating to help maintain low MOSFET operating junction temperature. What's imperative here is consciencious PCB design and layout to maximize heat removal from the MOSFET.</t>
        </r>
      </text>
    </comment>
    <comment ref="E100" authorId="1" shapeId="0" xr:uid="{00000000-0006-0000-0000-000032000000}">
      <text>
        <r>
          <rPr>
            <b/>
            <sz val="10"/>
            <color indexed="81"/>
            <rFont val="Tahoma"/>
            <family val="2"/>
          </rPr>
          <t>MOSFET On-State Resistance (R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R</t>
        </r>
        <r>
          <rPr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of the high-side MOSFET here at the appropriate gate drive level. High current designs (&gt;5A) can incur large conduction losses and, as such, demand MOSFETs with low R</t>
        </r>
        <r>
          <rPr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Calibri"/>
            <family val="2"/>
          </rPr>
          <t xml:space="preserve">– </t>
        </r>
        <r>
          <rPr>
            <sz val="10"/>
            <color indexed="81"/>
            <rFont val="Tahoma"/>
            <family val="2"/>
          </rPr>
          <t>usually at the expense of larger Q</t>
        </r>
        <r>
          <rPr>
            <vertAlign val="subscript"/>
            <sz val="10"/>
            <color indexed="81"/>
            <rFont val="Tahoma"/>
            <family val="2"/>
          </rPr>
          <t>G</t>
        </r>
        <r>
          <rPr>
            <sz val="10"/>
            <color indexed="81"/>
            <rFont val="Tahoma"/>
            <family val="2"/>
          </rPr>
          <t>. MOSFET R</t>
        </r>
        <r>
          <rPr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temperature coefficient is accounted for in the efficiency and power dissipation calculations.  </t>
        </r>
      </text>
    </comment>
    <comment ref="F100" authorId="1" shapeId="0" xr:uid="{00000000-0006-0000-0000-000033000000}">
      <text>
        <r>
          <rPr>
            <b/>
            <sz val="10"/>
            <color indexed="81"/>
            <rFont val="Tahoma"/>
            <family val="2"/>
          </rPr>
          <t>MOSFET On-State Resistance (R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R</t>
        </r>
        <r>
          <rPr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of the low-side MOSFET here at the appropriate gate drive level. High current designs (&gt;5A) can incur large conduction losses and, as such, demand MOSFETs with low R</t>
        </r>
        <r>
          <rPr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Calibri"/>
            <family val="2"/>
          </rPr>
          <t xml:space="preserve">– </t>
        </r>
        <r>
          <rPr>
            <sz val="10"/>
            <color indexed="81"/>
            <rFont val="Tahoma"/>
            <family val="2"/>
          </rPr>
          <t>usually at the expense of larger Q</t>
        </r>
        <r>
          <rPr>
            <vertAlign val="subscript"/>
            <sz val="10"/>
            <color indexed="81"/>
            <rFont val="Tahoma"/>
            <family val="2"/>
          </rPr>
          <t>G</t>
        </r>
        <r>
          <rPr>
            <sz val="10"/>
            <color indexed="81"/>
            <rFont val="Tahoma"/>
            <family val="2"/>
          </rPr>
          <t>. MOSFET R</t>
        </r>
        <r>
          <rPr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temperature coefficient is accounted for in the efficiency and power dissipation calculations.  </t>
        </r>
      </text>
    </comment>
    <comment ref="E101" authorId="1" shapeId="0" xr:uid="{00000000-0006-0000-0000-000034000000}">
      <text>
        <r>
          <rPr>
            <b/>
            <sz val="10"/>
            <color indexed="81"/>
            <rFont val="Tahoma"/>
            <family val="2"/>
          </rPr>
          <t>Total Gate Charge (Q</t>
        </r>
        <r>
          <rPr>
            <b/>
            <vertAlign val="subscript"/>
            <sz val="10"/>
            <color indexed="81"/>
            <rFont val="Tahoma"/>
            <family val="2"/>
          </rPr>
          <t>G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total gate charge of the MOSFET here, based on V</t>
        </r>
        <r>
          <rPr>
            <vertAlign val="subscript"/>
            <sz val="10"/>
            <color indexed="81"/>
            <rFont val="Tahoma"/>
            <family val="2"/>
          </rPr>
          <t>GS</t>
        </r>
        <r>
          <rPr>
            <sz val="10"/>
            <color indexed="81"/>
            <rFont val="Tahoma"/>
            <family val="2"/>
          </rPr>
          <t xml:space="preserve"> = 7.5V.</t>
        </r>
      </text>
    </comment>
    <comment ref="F101" authorId="1" shapeId="0" xr:uid="{00000000-0006-0000-0000-000035000000}">
      <text>
        <r>
          <rPr>
            <b/>
            <sz val="10"/>
            <color indexed="81"/>
            <rFont val="Tahoma"/>
            <family val="2"/>
          </rPr>
          <t>Total Gate Charge (Q</t>
        </r>
        <r>
          <rPr>
            <b/>
            <vertAlign val="subscript"/>
            <sz val="10"/>
            <color indexed="81"/>
            <rFont val="Tahoma"/>
            <family val="2"/>
          </rPr>
          <t>G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total gate charge of the MOSFET here, based on V</t>
        </r>
        <r>
          <rPr>
            <vertAlign val="subscript"/>
            <sz val="10"/>
            <color indexed="81"/>
            <rFont val="Tahoma"/>
            <family val="2"/>
          </rPr>
          <t>GS</t>
        </r>
        <r>
          <rPr>
            <sz val="10"/>
            <color indexed="81"/>
            <rFont val="Tahoma"/>
            <family val="2"/>
          </rPr>
          <t xml:space="preserve"> = 7.5V.</t>
        </r>
      </text>
    </comment>
    <comment ref="E102" authorId="1" shapeId="0" xr:uid="{00000000-0006-0000-0000-000036000000}">
      <text>
        <r>
          <rPr>
            <b/>
            <sz val="10"/>
            <color indexed="81"/>
            <rFont val="Tahoma"/>
            <family val="2"/>
          </rPr>
          <t>Gate-Drain Charge (Q</t>
        </r>
        <r>
          <rPr>
            <b/>
            <vertAlign val="subscript"/>
            <sz val="10"/>
            <color indexed="81"/>
            <rFont val="Tahoma"/>
            <family val="2"/>
          </rPr>
          <t>GD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Q</t>
        </r>
        <r>
          <rPr>
            <vertAlign val="subscript"/>
            <sz val="10"/>
            <color indexed="81"/>
            <rFont val="Tahoma"/>
            <family val="2"/>
          </rPr>
          <t>GD</t>
        </r>
        <r>
          <rPr>
            <sz val="10"/>
            <color indexed="81"/>
            <rFont val="Tahoma"/>
            <family val="2"/>
          </rPr>
          <t xml:space="preserve"> of the boost high-side MOSFET here.</t>
        </r>
      </text>
    </comment>
    <comment ref="F102" authorId="1" shapeId="0" xr:uid="{00000000-0006-0000-0000-000037000000}">
      <text>
        <r>
          <rPr>
            <b/>
            <sz val="10"/>
            <color indexed="81"/>
            <rFont val="Tahoma"/>
            <family val="2"/>
          </rPr>
          <t>Gate-Drain Charge (Q</t>
        </r>
        <r>
          <rPr>
            <b/>
            <vertAlign val="subscript"/>
            <sz val="10"/>
            <color indexed="81"/>
            <rFont val="Tahoma"/>
            <family val="2"/>
          </rPr>
          <t>GD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Q</t>
        </r>
        <r>
          <rPr>
            <vertAlign val="subscript"/>
            <sz val="10"/>
            <color indexed="81"/>
            <rFont val="Tahoma"/>
            <family val="2"/>
          </rPr>
          <t>GD</t>
        </r>
        <r>
          <rPr>
            <sz val="10"/>
            <color indexed="81"/>
            <rFont val="Tahoma"/>
            <family val="2"/>
          </rPr>
          <t xml:space="preserve"> of the boost low-side MOSFET here.
MOSFET Q</t>
        </r>
        <r>
          <rPr>
            <vertAlign val="subscript"/>
            <sz val="10"/>
            <color indexed="81"/>
            <rFont val="Tahoma"/>
            <family val="2"/>
          </rPr>
          <t>GD</t>
        </r>
        <r>
          <rPr>
            <sz val="10"/>
            <color indexed="81"/>
            <rFont val="Tahoma"/>
            <family val="2"/>
          </rPr>
          <t xml:space="preserve"> will affect the turn-on and-off transition times. Slow transition times will result in a decrease in efficiency, especially at higher input voltages.</t>
        </r>
      </text>
    </comment>
    <comment ref="E103" authorId="1" shapeId="0" xr:uid="{00000000-0006-0000-0000-000038000000}">
      <text>
        <r>
          <rPr>
            <b/>
            <sz val="10"/>
            <color indexed="81"/>
            <rFont val="Tahoma"/>
            <family val="2"/>
          </rPr>
          <t>Gate-Source Charge (Q</t>
        </r>
        <r>
          <rPr>
            <b/>
            <vertAlign val="subscript"/>
            <sz val="10"/>
            <color indexed="81"/>
            <rFont val="Tahoma"/>
            <family val="2"/>
          </rPr>
          <t>GS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 xml:space="preserve">Enter the gate-source charge here. </t>
        </r>
      </text>
    </comment>
    <comment ref="F103" authorId="1" shapeId="0" xr:uid="{00000000-0006-0000-0000-000039000000}">
      <text>
        <r>
          <rPr>
            <b/>
            <sz val="10"/>
            <color indexed="81"/>
            <rFont val="Tahoma"/>
            <family val="2"/>
          </rPr>
          <t>Gate-Source Charge (Q</t>
        </r>
        <r>
          <rPr>
            <b/>
            <vertAlign val="subscript"/>
            <sz val="10"/>
            <color indexed="81"/>
            <rFont val="Tahoma"/>
            <family val="2"/>
          </rPr>
          <t>GS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 xml:space="preserve">Enter the gate-source charge here. </t>
        </r>
      </text>
    </comment>
    <comment ref="E104" authorId="1" shapeId="0" xr:uid="{00000000-0006-0000-0000-00003A000000}">
      <text>
        <r>
          <rPr>
            <b/>
            <sz val="10"/>
            <color indexed="81"/>
            <rFont val="Tahoma"/>
            <family val="2"/>
          </rPr>
          <t>Gate Resistance (R</t>
        </r>
        <r>
          <rPr>
            <b/>
            <vertAlign val="subscript"/>
            <sz val="10"/>
            <color indexed="81"/>
            <rFont val="Tahoma"/>
            <family val="2"/>
          </rPr>
          <t>G</t>
        </r>
        <r>
          <rPr>
            <b/>
            <sz val="10"/>
            <color indexed="81"/>
            <rFont val="Tahoma"/>
            <family val="2"/>
          </rPr>
          <t>):</t>
        </r>
        <r>
          <rPr>
            <sz val="10"/>
            <color indexed="81"/>
            <rFont val="Tahoma"/>
            <family val="2"/>
          </rPr>
          <t xml:space="preserve">
Enter the boost high-side MOSFET gate resistance here. </t>
        </r>
      </text>
    </comment>
    <comment ref="F104" authorId="1" shapeId="0" xr:uid="{00000000-0006-0000-0000-00003B000000}">
      <text>
        <r>
          <rPr>
            <b/>
            <sz val="10"/>
            <color indexed="81"/>
            <rFont val="Tahoma"/>
            <family val="2"/>
          </rPr>
          <t>Gate Resistance (R</t>
        </r>
        <r>
          <rPr>
            <b/>
            <vertAlign val="subscript"/>
            <sz val="10"/>
            <color indexed="81"/>
            <rFont val="Tahoma"/>
            <family val="2"/>
          </rPr>
          <t>G</t>
        </r>
        <r>
          <rPr>
            <b/>
            <sz val="10"/>
            <color indexed="81"/>
            <rFont val="Tahoma"/>
            <family val="2"/>
          </rPr>
          <t>):</t>
        </r>
        <r>
          <rPr>
            <sz val="10"/>
            <color indexed="81"/>
            <rFont val="Tahoma"/>
            <family val="2"/>
          </rPr>
          <t xml:space="preserve">
Enter the low-side MOSFET gate resistance here. </t>
        </r>
      </text>
    </comment>
    <comment ref="E105" authorId="1" shapeId="0" xr:uid="{00000000-0006-0000-0000-00003C000000}">
      <text>
        <r>
          <rPr>
            <b/>
            <sz val="10"/>
            <color indexed="81"/>
            <rFont val="Tahoma"/>
            <family val="2"/>
          </rPr>
          <t>Forward Transconductance (g</t>
        </r>
        <r>
          <rPr>
            <b/>
            <vertAlign val="subscript"/>
            <sz val="10"/>
            <color indexed="81"/>
            <rFont val="Tahoma"/>
            <family val="2"/>
          </rPr>
          <t>FS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forward transconductance rating of the high-side MOSFET here.</t>
        </r>
      </text>
    </comment>
    <comment ref="F105" authorId="1" shapeId="0" xr:uid="{00000000-0006-0000-0000-00003D000000}">
      <text>
        <r>
          <rPr>
            <b/>
            <sz val="10"/>
            <color indexed="81"/>
            <rFont val="Tahoma"/>
            <family val="2"/>
          </rPr>
          <t>Forward Transconductance (g</t>
        </r>
        <r>
          <rPr>
            <b/>
            <vertAlign val="subscript"/>
            <sz val="10"/>
            <color indexed="81"/>
            <rFont val="Tahoma"/>
            <family val="2"/>
          </rPr>
          <t>FS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forward transconductance rating of the low-side MOSFET here.</t>
        </r>
      </text>
    </comment>
    <comment ref="E106" authorId="1" shapeId="0" xr:uid="{00000000-0006-0000-0000-00003E000000}">
      <text>
        <r>
          <rPr>
            <b/>
            <sz val="10"/>
            <color indexed="81"/>
            <rFont val="Tahoma"/>
            <family val="2"/>
          </rPr>
          <t>Gate to Source Threshold Voltage (V</t>
        </r>
        <r>
          <rPr>
            <b/>
            <vertAlign val="subscript"/>
            <sz val="10"/>
            <color indexed="81"/>
            <rFont val="Tahoma"/>
            <family val="2"/>
          </rPr>
          <t>GS(TH)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high-side MOSFET gate-source threshold voltage at rated current here. This can be taken as the plateau voltage in the V</t>
        </r>
        <r>
          <rPr>
            <vertAlign val="subscript"/>
            <sz val="10"/>
            <color indexed="81"/>
            <rFont val="Tahoma"/>
            <family val="2"/>
          </rPr>
          <t>GS</t>
        </r>
        <r>
          <rPr>
            <sz val="10"/>
            <color indexed="81"/>
            <rFont val="Tahoma"/>
            <family val="2"/>
          </rPr>
          <t>-Q</t>
        </r>
        <r>
          <rPr>
            <vertAlign val="subscript"/>
            <sz val="10"/>
            <color indexed="81"/>
            <rFont val="Tahoma"/>
            <family val="2"/>
          </rPr>
          <t>G</t>
        </r>
        <r>
          <rPr>
            <sz val="10"/>
            <color indexed="81"/>
            <rFont val="Tahoma"/>
            <family val="2"/>
          </rPr>
          <t xml:space="preserve"> curve in the MOSFET datasheet.
</t>
        </r>
      </text>
    </comment>
    <comment ref="F106" authorId="1" shapeId="0" xr:uid="{00000000-0006-0000-0000-00003F000000}">
      <text>
        <r>
          <rPr>
            <b/>
            <sz val="10"/>
            <color indexed="81"/>
            <rFont val="Tahoma"/>
            <family val="2"/>
          </rPr>
          <t>Gate to Source Threshold Voltage (V</t>
        </r>
        <r>
          <rPr>
            <b/>
            <vertAlign val="subscript"/>
            <sz val="10"/>
            <color indexed="81"/>
            <rFont val="Tahoma"/>
            <family val="2"/>
          </rPr>
          <t>GS(TH)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low-side MOSFET gate-source threshold voltage at rated current here. This can be taken as the plateau voltage in the V</t>
        </r>
        <r>
          <rPr>
            <vertAlign val="subscript"/>
            <sz val="10"/>
            <color indexed="81"/>
            <rFont val="Tahoma"/>
            <family val="2"/>
          </rPr>
          <t>GS</t>
        </r>
        <r>
          <rPr>
            <sz val="10"/>
            <color indexed="81"/>
            <rFont val="Tahoma"/>
            <family val="2"/>
          </rPr>
          <t>-Q</t>
        </r>
        <r>
          <rPr>
            <vertAlign val="subscript"/>
            <sz val="10"/>
            <color indexed="81"/>
            <rFont val="Tahoma"/>
            <family val="2"/>
          </rPr>
          <t>G</t>
        </r>
        <r>
          <rPr>
            <sz val="10"/>
            <color indexed="81"/>
            <rFont val="Tahoma"/>
            <family val="2"/>
          </rPr>
          <t xml:space="preserve"> curve in the MOSFET datasheet.
</t>
        </r>
      </text>
    </comment>
    <comment ref="E107" authorId="1" shapeId="0" xr:uid="{00000000-0006-0000-0000-000040000000}">
      <text>
        <r>
          <rPr>
            <b/>
            <sz val="9"/>
            <color indexed="81"/>
            <rFont val="Tahoma"/>
            <family val="2"/>
          </rPr>
          <t>Body Diode Voltage (V</t>
        </r>
        <r>
          <rPr>
            <b/>
            <vertAlign val="subscript"/>
            <sz val="9"/>
            <color indexed="81"/>
            <rFont val="Tahoma"/>
            <family val="2"/>
          </rPr>
          <t>sd</t>
        </r>
        <r>
          <rPr>
            <b/>
            <sz val="9"/>
            <color indexed="81"/>
            <rFont val="Tahoma"/>
            <family val="2"/>
          </rPr>
          <t xml:space="preserve">):
</t>
        </r>
        <r>
          <rPr>
            <sz val="9"/>
            <color indexed="81"/>
            <rFont val="Tahoma"/>
            <family val="2"/>
          </rPr>
          <t>The high-side MOSFET body diode can contribute power loss in boost operation - related to (1) body diode conduction drop during the deadtime, and (2) diode reverse recovery current.</t>
        </r>
      </text>
    </comment>
    <comment ref="F107" authorId="1" shapeId="0" xr:uid="{00000000-0006-0000-0000-000041000000}">
      <text>
        <r>
          <rPr>
            <b/>
            <sz val="9"/>
            <color indexed="81"/>
            <rFont val="Tahoma"/>
            <family val="2"/>
          </rPr>
          <t>Body Diode Voltage (V</t>
        </r>
        <r>
          <rPr>
            <b/>
            <vertAlign val="subscript"/>
            <sz val="9"/>
            <color indexed="81"/>
            <rFont val="Tahoma"/>
            <family val="2"/>
          </rPr>
          <t>sd</t>
        </r>
        <r>
          <rPr>
            <b/>
            <sz val="9"/>
            <color indexed="81"/>
            <rFont val="Tahoma"/>
            <family val="2"/>
          </rPr>
          <t xml:space="preserve">):
</t>
        </r>
        <r>
          <rPr>
            <sz val="9"/>
            <color indexed="81"/>
            <rFont val="Tahoma"/>
            <family val="2"/>
          </rPr>
          <t>The low-side MOSFET body diode can contribute power loss related to body diode conduction drop during the deadtime at light loads.</t>
        </r>
      </text>
    </comment>
    <comment ref="E108" authorId="1" shapeId="0" xr:uid="{00000000-0006-0000-0000-000042000000}">
      <text>
        <r>
          <rPr>
            <b/>
            <sz val="10"/>
            <color indexed="81"/>
            <rFont val="Tahoma"/>
            <family val="2"/>
          </rPr>
          <t>Body Diode Recovery Charge (Q</t>
        </r>
        <r>
          <rPr>
            <b/>
            <vertAlign val="subscript"/>
            <sz val="10"/>
            <color indexed="81"/>
            <rFont val="Tahoma"/>
            <family val="2"/>
          </rPr>
          <t>RR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 xml:space="preserve">Enter the reverse recovery charge of the boost high-side MOSFET body diode here. </t>
        </r>
      </text>
    </comment>
    <comment ref="E109" authorId="1" shapeId="0" xr:uid="{00000000-0006-0000-0000-000043000000}">
      <text>
        <r>
          <rPr>
            <b/>
            <sz val="10"/>
            <color indexed="81"/>
            <rFont val="Tahoma"/>
            <family val="2"/>
          </rPr>
          <t>θ</t>
        </r>
        <r>
          <rPr>
            <b/>
            <vertAlign val="subscript"/>
            <sz val="10"/>
            <color indexed="81"/>
            <rFont val="Tahoma"/>
            <family val="2"/>
          </rPr>
          <t>JA</t>
        </r>
        <r>
          <rPr>
            <b/>
            <sz val="10"/>
            <color indexed="81"/>
            <rFont val="Tahoma"/>
            <family val="2"/>
          </rPr>
          <t xml:space="preserve">:
</t>
        </r>
        <r>
          <rPr>
            <sz val="10"/>
            <color indexed="81"/>
            <rFont val="Tahoma"/>
            <family val="2"/>
          </rPr>
          <t>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is the junction-to-ambient thermal resistance of the MOSFET. Higher 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will lead to higher power loss and reduced efficiency. High current designs demand low 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rating to help maintain low MOSFET operating junction temperature. What's imperative here is consciencious PCB design and layout to maximize heat removal from the MOSFET.</t>
        </r>
      </text>
    </comment>
    <comment ref="F109" authorId="1" shapeId="0" xr:uid="{00000000-0006-0000-0000-000044000000}">
      <text>
        <r>
          <rPr>
            <b/>
            <sz val="10"/>
            <color indexed="81"/>
            <rFont val="Tahoma"/>
            <family val="2"/>
          </rPr>
          <t>θ</t>
        </r>
        <r>
          <rPr>
            <b/>
            <vertAlign val="subscript"/>
            <sz val="10"/>
            <color indexed="81"/>
            <rFont val="Tahoma"/>
            <family val="2"/>
          </rPr>
          <t>JA</t>
        </r>
        <r>
          <rPr>
            <b/>
            <sz val="10"/>
            <color indexed="81"/>
            <rFont val="Tahoma"/>
            <family val="2"/>
          </rPr>
          <t xml:space="preserve">:
</t>
        </r>
        <r>
          <rPr>
            <sz val="10"/>
            <color indexed="81"/>
            <rFont val="Tahoma"/>
            <family val="2"/>
          </rPr>
          <t>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is the junction-to-ambient thermal resistance of the MOSFET. Higher 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will lead to higher power loss and reduced efficiency. High current designs demand low 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rating to help maintain low MOSFET operating junction temperature. What's imperative here is consciencious PCB design and layout to maximize heat removal from the MOSFET.</t>
        </r>
      </text>
    </comment>
    <comment ref="E112" authorId="1" shapeId="0" xr:uid="{00000000-0006-0000-0000-000045000000}">
      <text>
        <r>
          <rPr>
            <b/>
            <sz val="10"/>
            <color indexed="81"/>
            <rFont val="Tahoma"/>
            <family val="2"/>
          </rPr>
          <t xml:space="preserve">Schottky Forward Voltage:
</t>
        </r>
        <r>
          <rPr>
            <sz val="10"/>
            <color indexed="81"/>
            <rFont val="Tahoma"/>
            <family val="2"/>
          </rPr>
          <t>If a Schottky diode is used, enter the forward voltage at the rated current here. If a Schottky diode is not used, enter "0" into this cell.</t>
        </r>
      </text>
    </comment>
    <comment ref="F112" authorId="1" shapeId="0" xr:uid="{00000000-0006-0000-0000-000046000000}">
      <text>
        <r>
          <rPr>
            <b/>
            <sz val="10"/>
            <color indexed="81"/>
            <rFont val="Tahoma"/>
            <family val="2"/>
          </rPr>
          <t xml:space="preserve">Schottky Forward Voltage:
</t>
        </r>
        <r>
          <rPr>
            <sz val="10"/>
            <color indexed="81"/>
            <rFont val="Tahoma"/>
            <family val="2"/>
          </rPr>
          <t>If a Schottky diode is used, enter the forward voltage at the rated current here. If a Schottky diode is not used, enter "0" into this cell.</t>
        </r>
      </text>
    </comment>
    <comment ref="E113" authorId="1" shapeId="0" xr:uid="{00000000-0006-0000-0000-000047000000}">
      <text>
        <r>
          <rPr>
            <b/>
            <sz val="10"/>
            <color indexed="81"/>
            <rFont val="Tahoma"/>
            <family val="2"/>
          </rPr>
          <t xml:space="preserve">Schottky Diode Reverse Recovery Charge:
</t>
        </r>
        <r>
          <rPr>
            <sz val="10"/>
            <color indexed="81"/>
            <rFont val="Tahoma"/>
            <family val="2"/>
          </rPr>
          <t>Enter the diode reverse recovery charge here.
If a Schottky diode is not used, enter "0" into this cell.</t>
        </r>
      </text>
    </comment>
    <comment ref="F113" authorId="1" shapeId="0" xr:uid="{00000000-0006-0000-0000-000048000000}">
      <text>
        <r>
          <rPr>
            <b/>
            <sz val="10"/>
            <color indexed="81"/>
            <rFont val="Tahoma"/>
            <family val="2"/>
          </rPr>
          <t xml:space="preserve">Schottky Diode Reverse Recovery Charge:
</t>
        </r>
        <r>
          <rPr>
            <sz val="10"/>
            <color indexed="81"/>
            <rFont val="Tahoma"/>
            <family val="2"/>
          </rPr>
          <t>Enter the diode reverse recovery charge here.
If a Schottky diode is not used, enter "0" into this cell.</t>
        </r>
      </text>
    </comment>
  </commentList>
</comments>
</file>

<file path=xl/sharedStrings.xml><?xml version="1.0" encoding="utf-8"?>
<sst xmlns="http://schemas.openxmlformats.org/spreadsheetml/2006/main" count="1981" uniqueCount="983">
  <si>
    <t>V</t>
  </si>
  <si>
    <t>Output Voltage</t>
  </si>
  <si>
    <t>A</t>
  </si>
  <si>
    <t>kHz</t>
  </si>
  <si>
    <t>Vin</t>
  </si>
  <si>
    <t>Vout</t>
  </si>
  <si>
    <t>Iout</t>
  </si>
  <si>
    <t>Fsw</t>
  </si>
  <si>
    <t>Value</t>
  </si>
  <si>
    <t>STD Units</t>
  </si>
  <si>
    <t>Hz</t>
  </si>
  <si>
    <t>uH</t>
  </si>
  <si>
    <t>Rdcr</t>
  </si>
  <si>
    <t>Notes</t>
  </si>
  <si>
    <t>Nominal input voltage</t>
  </si>
  <si>
    <t>Don1</t>
  </si>
  <si>
    <t>Doff1</t>
  </si>
  <si>
    <t>Don2</t>
  </si>
  <si>
    <t>Doff2</t>
  </si>
  <si>
    <t>index</t>
  </si>
  <si>
    <t>H</t>
  </si>
  <si>
    <t>Ohms</t>
  </si>
  <si>
    <t>Vripple1</t>
  </si>
  <si>
    <t>Minimum Output Capacitnace</t>
  </si>
  <si>
    <t>Coutmin</t>
  </si>
  <si>
    <t>uF</t>
  </si>
  <si>
    <t>F</t>
  </si>
  <si>
    <t>Cout</t>
  </si>
  <si>
    <t>Fesr</t>
  </si>
  <si>
    <t>Q</t>
  </si>
  <si>
    <t>V/V</t>
  </si>
  <si>
    <t>Rfb1</t>
  </si>
  <si>
    <t>pF</t>
  </si>
  <si>
    <t>Cc1ea</t>
  </si>
  <si>
    <t>Cc2ea</t>
  </si>
  <si>
    <t>Rcea1</t>
  </si>
  <si>
    <t>Rcea1_u</t>
  </si>
  <si>
    <t>Cc1ea_u</t>
  </si>
  <si>
    <t>Cc2ea_u</t>
  </si>
  <si>
    <t>Fz1</t>
  </si>
  <si>
    <t>Fp1</t>
  </si>
  <si>
    <t>Pi</t>
  </si>
  <si>
    <t>Vp-p</t>
  </si>
  <si>
    <t>Rfb2</t>
  </si>
  <si>
    <t>Vref</t>
  </si>
  <si>
    <t>Reference Voltage</t>
  </si>
  <si>
    <t>Ro</t>
  </si>
  <si>
    <t>xover</t>
  </si>
  <si>
    <t>phase margin</t>
  </si>
  <si>
    <t>Total</t>
  </si>
  <si>
    <t>XOVER SEARCH</t>
  </si>
  <si>
    <t>Variable Name</t>
  </si>
  <si>
    <t>Resrmax</t>
  </si>
  <si>
    <t>mΩ</t>
  </si>
  <si>
    <t>kΩ</t>
  </si>
  <si>
    <t>TERMS OF USE</t>
  </si>
  <si>
    <t>IQ</t>
  </si>
  <si>
    <t>Step</t>
  </si>
  <si>
    <t>Total Loss</t>
  </si>
  <si>
    <t>Design</t>
  </si>
  <si>
    <t>L</t>
  </si>
  <si>
    <t>Cin</t>
  </si>
  <si>
    <t>Components</t>
  </si>
  <si>
    <t>Top FET</t>
  </si>
  <si>
    <t>RdsonDRB</t>
  </si>
  <si>
    <t>RdsonDRT</t>
  </si>
  <si>
    <t>Deadtime</t>
  </si>
  <si>
    <t>mOhms</t>
  </si>
  <si>
    <t>mA</t>
  </si>
  <si>
    <t>nC</t>
  </si>
  <si>
    <t>S</t>
  </si>
  <si>
    <t>QgBot</t>
  </si>
  <si>
    <t>RdsonBot</t>
  </si>
  <si>
    <t>GfsTop</t>
  </si>
  <si>
    <t>QgTop</t>
  </si>
  <si>
    <t>RdsonTop</t>
  </si>
  <si>
    <t>VsdBot</t>
  </si>
  <si>
    <t>QrrBot</t>
  </si>
  <si>
    <t>TrrBot</t>
  </si>
  <si>
    <t>ns</t>
  </si>
  <si>
    <t>Units</t>
  </si>
  <si>
    <t>Outputs</t>
  </si>
  <si>
    <t>Dprime</t>
  </si>
  <si>
    <t>RdsonTopTc</t>
  </si>
  <si>
    <t>RdsonBotTc</t>
  </si>
  <si>
    <t>ppm</t>
  </si>
  <si>
    <t>LTc</t>
  </si>
  <si>
    <t>Ta</t>
  </si>
  <si>
    <t>Irms</t>
  </si>
  <si>
    <t>RCoutEsr</t>
  </si>
  <si>
    <t>RCinEsr</t>
  </si>
  <si>
    <t>DCR    Loss</t>
  </si>
  <si>
    <t>Tr</t>
  </si>
  <si>
    <t>Tf</t>
  </si>
  <si>
    <t>RGateTop</t>
  </si>
  <si>
    <t>RGateBot</t>
  </si>
  <si>
    <t>VthTop</t>
  </si>
  <si>
    <t>Reverse Recovery Loss</t>
  </si>
  <si>
    <t>Switching Frequency</t>
  </si>
  <si>
    <t>Max Output Current</t>
  </si>
  <si>
    <t>Ambient Temperature</t>
  </si>
  <si>
    <t>Inductor Series Resistance Temp Co</t>
  </si>
  <si>
    <t>Total Deadtime</t>
  </si>
  <si>
    <t>Gate Charge Of Top FET</t>
  </si>
  <si>
    <t>Gate Resistance</t>
  </si>
  <si>
    <t>Transconductance of Top FET</t>
  </si>
  <si>
    <t>Threshold Voltage of Top FET</t>
  </si>
  <si>
    <t>Junction to Ambient Resistance</t>
  </si>
  <si>
    <t>Drain To Source Resitance Temp Co</t>
  </si>
  <si>
    <t>Diode Forward Voltage of Bottom FET Body Diode</t>
  </si>
  <si>
    <t>Reverse Recovery Time of Body Diode</t>
  </si>
  <si>
    <t>Description</t>
  </si>
  <si>
    <t>Input Parameters</t>
  </si>
  <si>
    <t>Drain to Source Resistance Temp Co</t>
  </si>
  <si>
    <t>Reverse Recovery Charge of Body Diode</t>
  </si>
  <si>
    <t>Input Value</t>
  </si>
  <si>
    <t>Top Driver</t>
  </si>
  <si>
    <t>Bottom Driver</t>
  </si>
  <si>
    <t>Part Power</t>
  </si>
  <si>
    <t>Power Dis</t>
  </si>
  <si>
    <t>W</t>
  </si>
  <si>
    <t>Controller</t>
  </si>
  <si>
    <t>Theta Ja</t>
  </si>
  <si>
    <t>Temp rise</t>
  </si>
  <si>
    <t>θJA=80</t>
  </si>
  <si>
    <t>θJA=100</t>
  </si>
  <si>
    <t>θJA=120</t>
  </si>
  <si>
    <t>θJA=140</t>
  </si>
  <si>
    <t>θJA=160</t>
  </si>
  <si>
    <t>θJA=180</t>
  </si>
  <si>
    <t>QgdTop</t>
  </si>
  <si>
    <t>Gate to Drain Charge</t>
  </si>
  <si>
    <t>Qg</t>
  </si>
  <si>
    <t>θJA=20</t>
  </si>
  <si>
    <t>θJA=30</t>
  </si>
  <si>
    <t>θJA=40</t>
  </si>
  <si>
    <t>θJA=50</t>
  </si>
  <si>
    <t>250kHz / 5-1.2V /25A</t>
  </si>
  <si>
    <t>250kHz / 12-5V / 30A</t>
  </si>
  <si>
    <t>500kHz / 5-1.2V / 15A</t>
  </si>
  <si>
    <t>1Mhz / 5-1.2V / 10A</t>
  </si>
  <si>
    <t>1Mhz / 12-1.2V/ 10A</t>
  </si>
  <si>
    <t>500kHz / 12-5V / 15A</t>
  </si>
  <si>
    <t>250kHz / 18-1.2V / 20A</t>
  </si>
  <si>
    <t>500kHz / 18-1.2V / 20A</t>
  </si>
  <si>
    <t>θJA=120°C/W - 160°C/W</t>
  </si>
  <si>
    <t>θJA=30°C/W - 50°C/W</t>
  </si>
  <si>
    <t>VspTop</t>
  </si>
  <si>
    <t>QgsTop</t>
  </si>
  <si>
    <t>RdsonDRB2</t>
  </si>
  <si>
    <t>RdsonDRT2</t>
  </si>
  <si>
    <t>EFF_1 @ 25°C</t>
  </si>
  <si>
    <t>Efficiency</t>
  </si>
  <si>
    <t>Pdis</t>
  </si>
  <si>
    <t>Vin=10V</t>
  </si>
  <si>
    <t>Vout=5.1V</t>
  </si>
  <si>
    <t xml:space="preserve">L=3.3uH/30mOhm </t>
  </si>
  <si>
    <t>4394 Top and Bottom Fets</t>
  </si>
  <si>
    <t xml:space="preserve">IQ </t>
  </si>
  <si>
    <t>ThetaCa</t>
  </si>
  <si>
    <t>Core to Ambient Thermal Resistance</t>
  </si>
  <si>
    <t>Quiescent Current Of Controller (Not Switching!)</t>
  </si>
  <si>
    <t>This pole cancels the zero from the Output Cap ESR</t>
  </si>
  <si>
    <t>s</t>
  </si>
  <si>
    <t>Part Characteristics</t>
  </si>
  <si>
    <t>C</t>
  </si>
  <si>
    <t>Switching Current Loss</t>
  </si>
  <si>
    <t>Rfb2_u</t>
  </si>
  <si>
    <t>CoutEsr</t>
  </si>
  <si>
    <t>Ω</t>
  </si>
  <si>
    <t>Step 4: Output Capacitor</t>
  </si>
  <si>
    <t>Step 5: Input Capacitor</t>
  </si>
  <si>
    <t>nF</t>
  </si>
  <si>
    <t>R1</t>
  </si>
  <si>
    <t>R2</t>
  </si>
  <si>
    <t>VIN</t>
  </si>
  <si>
    <t>A (rms)</t>
  </si>
  <si>
    <t>= Input Box</t>
  </si>
  <si>
    <t>Input capacitance</t>
  </si>
  <si>
    <t>Step 1: Operational Specs</t>
  </si>
  <si>
    <t>ms</t>
  </si>
  <si>
    <t>Tss</t>
  </si>
  <si>
    <t>Iss</t>
  </si>
  <si>
    <t>Css</t>
  </si>
  <si>
    <t>C1</t>
  </si>
  <si>
    <t>C2</t>
  </si>
  <si>
    <t>Ripple I</t>
  </si>
  <si>
    <t>%</t>
  </si>
  <si>
    <t xml:space="preserve">I1 </t>
  </si>
  <si>
    <t xml:space="preserve">I2 </t>
  </si>
  <si>
    <t>Part Number</t>
  </si>
  <si>
    <t>Csb</t>
  </si>
  <si>
    <t>Rh</t>
  </si>
  <si>
    <t>Capacitors</t>
  </si>
  <si>
    <t>(pF)</t>
  </si>
  <si>
    <t>Standard Result</t>
  </si>
  <si>
    <t>Inputs</t>
  </si>
  <si>
    <t>Css_u</t>
  </si>
  <si>
    <t>Resistors</t>
  </si>
  <si>
    <t>inputs</t>
  </si>
  <si>
    <t>Rs</t>
  </si>
  <si>
    <t xml:space="preserve">                </t>
  </si>
  <si>
    <t>Cc1</t>
  </si>
  <si>
    <t>Cc2</t>
  </si>
  <si>
    <t>Csby</t>
  </si>
  <si>
    <t>Rc1</t>
  </si>
  <si>
    <t>Other Input Variables</t>
  </si>
  <si>
    <r>
      <t>R</t>
    </r>
    <r>
      <rPr>
        <vertAlign val="subscript"/>
        <sz val="10"/>
        <rFont val="Arial"/>
        <family val="2"/>
      </rPr>
      <t>PG</t>
    </r>
  </si>
  <si>
    <r>
      <t>R</t>
    </r>
    <r>
      <rPr>
        <vertAlign val="subscript"/>
        <sz val="10"/>
        <rFont val="Arial"/>
        <family val="2"/>
      </rPr>
      <t>SB</t>
    </r>
  </si>
  <si>
    <t>Rfets</t>
  </si>
  <si>
    <t>cap loss eq res</t>
  </si>
  <si>
    <t>Fet loss eq res</t>
  </si>
  <si>
    <t>Diode loss eq res</t>
  </si>
  <si>
    <t>Sw cap</t>
  </si>
  <si>
    <t xml:space="preserve"> </t>
  </si>
  <si>
    <t>Rc1ea</t>
  </si>
  <si>
    <t>Frequency of Ringing</t>
  </si>
  <si>
    <t>MHz</t>
  </si>
  <si>
    <t>STD UNITS</t>
  </si>
  <si>
    <t>UNITS</t>
  </si>
  <si>
    <t>SW capacitance</t>
  </si>
  <si>
    <t>Csnub</t>
  </si>
  <si>
    <t>Lpar</t>
  </si>
  <si>
    <t>nH</t>
  </si>
  <si>
    <t>Rsnub</t>
  </si>
  <si>
    <t>Rset</t>
  </si>
  <si>
    <t>Blank out</t>
  </si>
  <si>
    <t>Input from user =</t>
  </si>
  <si>
    <t>Constant</t>
  </si>
  <si>
    <t>Step 8: Efficiency</t>
  </si>
  <si>
    <t>Vripple</t>
  </si>
  <si>
    <t>VfdSky</t>
  </si>
  <si>
    <t>QrrSky</t>
  </si>
  <si>
    <t>Ireverse</t>
  </si>
  <si>
    <t>Diode Forward Voltage</t>
  </si>
  <si>
    <t>Diode Reverse Recovery Charge</t>
  </si>
  <si>
    <t>Reverse Leakage Current</t>
  </si>
  <si>
    <t>External Diode</t>
  </si>
  <si>
    <t xml:space="preserve">Dead Time Loss </t>
  </si>
  <si>
    <t>VsdTop</t>
  </si>
  <si>
    <t>Switching Current Diss</t>
  </si>
  <si>
    <t>°C/W</t>
  </si>
  <si>
    <t>SCHEMATIC LABELS</t>
  </si>
  <si>
    <t>OUTPUT CURRENT</t>
  </si>
  <si>
    <t>Dmax</t>
  </si>
  <si>
    <t>Ipp</t>
  </si>
  <si>
    <t>Current (switching)</t>
  </si>
  <si>
    <t>Qrr Current</t>
  </si>
  <si>
    <t>Diode Current</t>
  </si>
  <si>
    <t>Std Units</t>
  </si>
  <si>
    <t>Total Application Switching IQ</t>
  </si>
  <si>
    <t xml:space="preserve">VIN </t>
  </si>
  <si>
    <t>CBOOT</t>
  </si>
  <si>
    <t>VDD</t>
  </si>
  <si>
    <t>SYNC</t>
  </si>
  <si>
    <t>EN</t>
  </si>
  <si>
    <t>PGOOD</t>
  </si>
  <si>
    <t>SS/TRACK</t>
  </si>
  <si>
    <t>FADJ</t>
  </si>
  <si>
    <t>GND</t>
  </si>
  <si>
    <t>COMP</t>
  </si>
  <si>
    <t>FB</t>
  </si>
  <si>
    <t>CS-</t>
  </si>
  <si>
    <t>CS+</t>
  </si>
  <si>
    <t>LG</t>
  </si>
  <si>
    <t>SW</t>
  </si>
  <si>
    <t>HG</t>
  </si>
  <si>
    <t>CIN</t>
  </si>
  <si>
    <t>DCR at hot</t>
  </si>
  <si>
    <t>Temp</t>
  </si>
  <si>
    <t>µH</t>
  </si>
  <si>
    <t>µF</t>
  </si>
  <si>
    <t>Cinmin</t>
  </si>
  <si>
    <t>Vinripple1</t>
  </si>
  <si>
    <t>CinEsrMax</t>
  </si>
  <si>
    <t>Vinripple2</t>
  </si>
  <si>
    <t>Output =</t>
  </si>
  <si>
    <t>OTP</t>
  </si>
  <si>
    <t>RS</t>
  </si>
  <si>
    <t>Bottom Schottky</t>
  </si>
  <si>
    <t>Step 2: Filter Inductor</t>
  </si>
  <si>
    <t>Step 1: Operating Specifications</t>
  </si>
  <si>
    <t>°C</t>
  </si>
  <si>
    <t>Std Values</t>
  </si>
  <si>
    <t>Compensation Components</t>
  </si>
  <si>
    <t>Actual P/Z Frequencies</t>
  </si>
  <si>
    <r>
      <t>A</t>
    </r>
    <r>
      <rPr>
        <vertAlign val="subscript"/>
        <sz val="10"/>
        <rFont val="Arial"/>
        <family val="2"/>
      </rPr>
      <t>pk-pk</t>
    </r>
  </si>
  <si>
    <r>
      <t>mV</t>
    </r>
    <r>
      <rPr>
        <b/>
        <vertAlign val="subscript"/>
        <sz val="10"/>
        <rFont val="Arial"/>
        <family val="2"/>
      </rPr>
      <t>pk-pk</t>
    </r>
  </si>
  <si>
    <r>
      <t>C</t>
    </r>
    <r>
      <rPr>
        <b/>
        <vertAlign val="subscript"/>
        <sz val="10"/>
        <rFont val="Arial"/>
        <family val="2"/>
      </rPr>
      <t>C1</t>
    </r>
  </si>
  <si>
    <r>
      <t>C</t>
    </r>
    <r>
      <rPr>
        <b/>
        <vertAlign val="subscript"/>
        <sz val="10"/>
        <rFont val="Arial"/>
        <family val="2"/>
      </rPr>
      <t>C2</t>
    </r>
  </si>
  <si>
    <r>
      <t>mV</t>
    </r>
    <r>
      <rPr>
        <vertAlign val="subscript"/>
        <sz val="10"/>
        <rFont val="Arial"/>
        <family val="2"/>
      </rPr>
      <t>pk-pk</t>
    </r>
  </si>
  <si>
    <t>Efficiency / Power Loss Analyzer</t>
  </si>
  <si>
    <t>Step 7: Compensation Design</t>
  </si>
  <si>
    <t>Calculated /</t>
  </si>
  <si>
    <t xml:space="preserve">Recommended Filter Inductance </t>
  </si>
  <si>
    <t xml:space="preserve">Inductor DCR </t>
  </si>
  <si>
    <t xml:space="preserve">Maximum Permitted ESR </t>
  </si>
  <si>
    <t xml:space="preserve">Output Capacitor ESR </t>
  </si>
  <si>
    <t xml:space="preserve">Input Capacitor ESR </t>
  </si>
  <si>
    <t>About</t>
  </si>
  <si>
    <t>xx</t>
  </si>
  <si>
    <t>Max ESR before ripple exceeds Vripple1</t>
  </si>
  <si>
    <t>Chosen ESR</t>
  </si>
  <si>
    <t>Input capacitance series resistance (ESR)</t>
  </si>
  <si>
    <t xml:space="preserve">Desired Crossover Frequency </t>
  </si>
  <si>
    <r>
      <t>VIN</t>
    </r>
    <r>
      <rPr>
        <vertAlign val="subscript"/>
        <sz val="10"/>
        <rFont val="Arial"/>
        <family val="2"/>
      </rPr>
      <t>UVLO_ON</t>
    </r>
  </si>
  <si>
    <t>Rising UVLO/EN Threshold</t>
  </si>
  <si>
    <t>Falling UVLO/EN Threshold</t>
  </si>
  <si>
    <t>UVLO/EN Current Hysteresis</t>
  </si>
  <si>
    <t>kΩ</t>
  </si>
  <si>
    <r>
      <t>VIN</t>
    </r>
    <r>
      <rPr>
        <vertAlign val="subscript"/>
        <sz val="10"/>
        <rFont val="Arial"/>
        <family val="2"/>
      </rPr>
      <t>UVLO_ON_ACTUAL</t>
    </r>
  </si>
  <si>
    <r>
      <t>VIN</t>
    </r>
    <r>
      <rPr>
        <vertAlign val="subscript"/>
        <sz val="10"/>
        <rFont val="Arial"/>
        <family val="2"/>
      </rPr>
      <t>UVLO_OFF_ACTUAL</t>
    </r>
  </si>
  <si>
    <t>Size</t>
  </si>
  <si>
    <t>MFR</t>
  </si>
  <si>
    <t>Std</t>
  </si>
  <si>
    <t>See description</t>
  </si>
  <si>
    <t>TI</t>
  </si>
  <si>
    <t>0603</t>
  </si>
  <si>
    <r>
      <t>C</t>
    </r>
    <r>
      <rPr>
        <vertAlign val="subscript"/>
        <sz val="10"/>
        <rFont val="Arial"/>
        <family val="2"/>
      </rPr>
      <t>C1</t>
    </r>
  </si>
  <si>
    <r>
      <t>C</t>
    </r>
    <r>
      <rPr>
        <vertAlign val="subscript"/>
        <sz val="10"/>
        <rFont val="Arial"/>
        <family val="2"/>
      </rPr>
      <t>C2</t>
    </r>
  </si>
  <si>
    <r>
      <t>C</t>
    </r>
    <r>
      <rPr>
        <vertAlign val="subscript"/>
        <sz val="10"/>
        <rFont val="Arial"/>
        <family val="2"/>
      </rPr>
      <t>CS</t>
    </r>
  </si>
  <si>
    <r>
      <t>C</t>
    </r>
    <r>
      <rPr>
        <vertAlign val="subscript"/>
        <sz val="10"/>
        <rFont val="Arial"/>
        <family val="2"/>
      </rPr>
      <t>IN</t>
    </r>
  </si>
  <si>
    <r>
      <t>C</t>
    </r>
    <r>
      <rPr>
        <vertAlign val="subscript"/>
        <sz val="10"/>
        <rFont val="Arial"/>
        <family val="2"/>
      </rPr>
      <t>OUT</t>
    </r>
  </si>
  <si>
    <r>
      <t>C</t>
    </r>
    <r>
      <rPr>
        <vertAlign val="subscript"/>
        <sz val="10"/>
        <rFont val="Arial"/>
        <family val="2"/>
      </rPr>
      <t>SS</t>
    </r>
  </si>
  <si>
    <r>
      <t>C</t>
    </r>
    <r>
      <rPr>
        <vertAlign val="subscript"/>
        <sz val="10"/>
        <rFont val="Arial"/>
        <family val="2"/>
      </rPr>
      <t>VIN</t>
    </r>
  </si>
  <si>
    <t>Ref Des</t>
  </si>
  <si>
    <t>Count</t>
  </si>
  <si>
    <t>Various</t>
  </si>
  <si>
    <t>-</t>
  </si>
  <si>
    <r>
      <t>R</t>
    </r>
    <r>
      <rPr>
        <vertAlign val="subscript"/>
        <sz val="10"/>
        <rFont val="Arial"/>
        <family val="2"/>
      </rPr>
      <t>C1</t>
    </r>
  </si>
  <si>
    <r>
      <t>R</t>
    </r>
    <r>
      <rPr>
        <vertAlign val="subscript"/>
        <sz val="10"/>
        <rFont val="Arial"/>
        <family val="2"/>
      </rPr>
      <t>UV1</t>
    </r>
  </si>
  <si>
    <r>
      <t>R</t>
    </r>
    <r>
      <rPr>
        <vertAlign val="subscript"/>
        <sz val="10"/>
        <rFont val="Arial"/>
        <family val="2"/>
      </rPr>
      <t>UV2</t>
    </r>
  </si>
  <si>
    <r>
      <t>R</t>
    </r>
    <r>
      <rPr>
        <vertAlign val="subscript"/>
        <sz val="10"/>
        <rFont val="Arial"/>
        <family val="2"/>
      </rPr>
      <t>VIN</t>
    </r>
  </si>
  <si>
    <r>
      <t>R</t>
    </r>
    <r>
      <rPr>
        <vertAlign val="subscript"/>
        <sz val="10"/>
        <rFont val="Arial"/>
        <family val="2"/>
      </rPr>
      <t>S</t>
    </r>
  </si>
  <si>
    <r>
      <t>R</t>
    </r>
    <r>
      <rPr>
        <vertAlign val="subscript"/>
        <sz val="10"/>
        <rFont val="Arial"/>
        <family val="2"/>
      </rPr>
      <t>PGOOD</t>
    </r>
  </si>
  <si>
    <r>
      <t>R</t>
    </r>
    <r>
      <rPr>
        <vertAlign val="subscript"/>
        <sz val="10"/>
        <rFont val="Arial"/>
        <family val="2"/>
      </rPr>
      <t>FB1</t>
    </r>
  </si>
  <si>
    <r>
      <t>R</t>
    </r>
    <r>
      <rPr>
        <vertAlign val="subscript"/>
        <sz val="10"/>
        <rFont val="Arial"/>
        <family val="2"/>
      </rPr>
      <t>FB2</t>
    </r>
  </si>
  <si>
    <r>
      <t>U</t>
    </r>
    <r>
      <rPr>
        <b/>
        <vertAlign val="subscript"/>
        <sz val="10"/>
        <rFont val="Arial"/>
        <family val="2"/>
      </rPr>
      <t>1</t>
    </r>
  </si>
  <si>
    <t>Rpgood</t>
  </si>
  <si>
    <t>20kΩ</t>
  </si>
  <si>
    <t>Ruv1</t>
  </si>
  <si>
    <t>Ruv2</t>
  </si>
  <si>
    <t># of input caps</t>
  </si>
  <si>
    <t>Capacitance per component (Cin)</t>
  </si>
  <si>
    <t>Capacitance per component (Cout)</t>
  </si>
  <si>
    <t># of output caps</t>
  </si>
  <si>
    <t>Input Voltage UVLO Off</t>
  </si>
  <si>
    <t>Ω</t>
  </si>
  <si>
    <r>
      <rPr>
        <b/>
        <u/>
        <sz val="10"/>
        <rFont val="Arial"/>
        <family val="2"/>
      </rPr>
      <t>NOTES</t>
    </r>
    <r>
      <rPr>
        <b/>
        <sz val="10"/>
        <rFont val="Arial"/>
        <family val="2"/>
      </rPr>
      <t>:</t>
    </r>
  </si>
  <si>
    <t>Series resistance due to FETs</t>
  </si>
  <si>
    <t>Output Resistance</t>
  </si>
  <si>
    <r>
      <t>On-State Resistance, R</t>
    </r>
    <r>
      <rPr>
        <b/>
        <vertAlign val="subscript"/>
        <sz val="10"/>
        <rFont val="Arial"/>
        <family val="2"/>
      </rPr>
      <t>DS(on)</t>
    </r>
    <r>
      <rPr>
        <b/>
        <sz val="10"/>
        <rFont val="Arial"/>
        <family val="2"/>
      </rPr>
      <t xml:space="preserve"> </t>
    </r>
  </si>
  <si>
    <r>
      <t>Total Gate Charge, Q</t>
    </r>
    <r>
      <rPr>
        <b/>
        <vertAlign val="subscript"/>
        <sz val="10"/>
        <rFont val="Arial"/>
        <family val="2"/>
      </rPr>
      <t>G</t>
    </r>
    <r>
      <rPr>
        <b/>
        <sz val="10"/>
        <rFont val="Arial"/>
        <family val="2"/>
      </rPr>
      <t xml:space="preserve"> </t>
    </r>
  </si>
  <si>
    <r>
      <t>Gate-Drain Charge, Q</t>
    </r>
    <r>
      <rPr>
        <b/>
        <vertAlign val="subscript"/>
        <sz val="10"/>
        <rFont val="Arial"/>
        <family val="2"/>
      </rPr>
      <t>GD</t>
    </r>
    <r>
      <rPr>
        <b/>
        <sz val="10"/>
        <rFont val="Arial"/>
        <family val="2"/>
      </rPr>
      <t xml:space="preserve"> </t>
    </r>
  </si>
  <si>
    <r>
      <t>Gate-Source Charge, Q</t>
    </r>
    <r>
      <rPr>
        <b/>
        <vertAlign val="subscript"/>
        <sz val="10"/>
        <rFont val="Arial"/>
        <family val="2"/>
      </rPr>
      <t>GS</t>
    </r>
    <r>
      <rPr>
        <b/>
        <sz val="10"/>
        <rFont val="Arial"/>
        <family val="2"/>
      </rPr>
      <t xml:space="preserve"> </t>
    </r>
  </si>
  <si>
    <r>
      <t>Gate Resistance, R</t>
    </r>
    <r>
      <rPr>
        <b/>
        <vertAlign val="subscript"/>
        <sz val="10"/>
        <rFont val="Arial"/>
        <family val="2"/>
      </rPr>
      <t>G</t>
    </r>
    <r>
      <rPr>
        <b/>
        <sz val="10"/>
        <rFont val="Arial"/>
        <family val="2"/>
      </rPr>
      <t xml:space="preserve"> </t>
    </r>
  </si>
  <si>
    <r>
      <t>Transconductance, g</t>
    </r>
    <r>
      <rPr>
        <b/>
        <vertAlign val="subscript"/>
        <sz val="10"/>
        <rFont val="Arial"/>
        <family val="2"/>
      </rPr>
      <t>FS</t>
    </r>
    <r>
      <rPr>
        <b/>
        <sz val="10"/>
        <rFont val="Arial"/>
        <family val="2"/>
      </rPr>
      <t xml:space="preserve"> </t>
    </r>
  </si>
  <si>
    <r>
      <t>Thermal Resistance, θ</t>
    </r>
    <r>
      <rPr>
        <b/>
        <vertAlign val="subscript"/>
        <sz val="10"/>
        <rFont val="Arial"/>
        <family val="2"/>
      </rPr>
      <t>JA</t>
    </r>
    <r>
      <rPr>
        <b/>
        <sz val="10"/>
        <rFont val="Arial"/>
        <family val="2"/>
      </rPr>
      <t xml:space="preserve"> </t>
    </r>
  </si>
  <si>
    <t>%/°C</t>
  </si>
  <si>
    <t>Rt</t>
  </si>
  <si>
    <r>
      <t>Output Voltage, V</t>
    </r>
    <r>
      <rPr>
        <b/>
        <vertAlign val="subscript"/>
        <sz val="10"/>
        <color theme="1"/>
        <rFont val="Arial"/>
        <family val="2"/>
      </rPr>
      <t>OUT</t>
    </r>
    <r>
      <rPr>
        <b/>
        <sz val="10"/>
        <color theme="1"/>
        <rFont val="Arial"/>
        <family val="2"/>
      </rPr>
      <t xml:space="preserve"> </t>
    </r>
  </si>
  <si>
    <r>
      <t>Inductance, L</t>
    </r>
    <r>
      <rPr>
        <b/>
        <vertAlign val="subscript"/>
        <sz val="10"/>
        <color theme="1"/>
        <rFont val="Arial"/>
        <family val="2"/>
      </rPr>
      <t>F</t>
    </r>
    <r>
      <rPr>
        <b/>
        <sz val="10"/>
        <color theme="1"/>
        <rFont val="Arial"/>
        <family val="2"/>
      </rPr>
      <t xml:space="preserve"> </t>
    </r>
  </si>
  <si>
    <r>
      <t>Frequency Set Resistor, R</t>
    </r>
    <r>
      <rPr>
        <vertAlign val="subscript"/>
        <sz val="10"/>
        <rFont val="Arial"/>
        <family val="2"/>
      </rPr>
      <t>T</t>
    </r>
    <r>
      <rPr>
        <sz val="10"/>
        <rFont val="Arial"/>
        <family val="2"/>
      </rPr>
      <t xml:space="preserve"> </t>
    </r>
  </si>
  <si>
    <r>
      <t>Output Capacitance, C</t>
    </r>
    <r>
      <rPr>
        <b/>
        <vertAlign val="subscript"/>
        <sz val="10"/>
        <rFont val="Arial"/>
        <family val="2"/>
      </rPr>
      <t>OUT</t>
    </r>
    <r>
      <rPr>
        <b/>
        <sz val="10"/>
        <rFont val="Arial"/>
        <family val="2"/>
      </rPr>
      <t xml:space="preserve"> </t>
    </r>
  </si>
  <si>
    <r>
      <t>Input Capacitance, C</t>
    </r>
    <r>
      <rPr>
        <b/>
        <vertAlign val="subscript"/>
        <sz val="10"/>
        <color theme="1"/>
        <rFont val="Arial"/>
        <family val="2"/>
      </rPr>
      <t>IN</t>
    </r>
    <r>
      <rPr>
        <b/>
        <sz val="10"/>
        <color theme="1"/>
        <rFont val="Arial"/>
        <family val="2"/>
      </rPr>
      <t xml:space="preserve"> </t>
    </r>
  </si>
  <si>
    <r>
      <t>Soft-Start Capacitance, C</t>
    </r>
    <r>
      <rPr>
        <vertAlign val="subscript"/>
        <sz val="10"/>
        <rFont val="Arial"/>
        <family val="2"/>
      </rPr>
      <t>SS</t>
    </r>
    <r>
      <rPr>
        <sz val="10"/>
        <rFont val="Arial"/>
        <family val="2"/>
      </rPr>
      <t xml:space="preserve"> </t>
    </r>
  </si>
  <si>
    <r>
      <t>Soft-Start Time, t</t>
    </r>
    <r>
      <rPr>
        <b/>
        <vertAlign val="subscript"/>
        <sz val="10"/>
        <color theme="1"/>
        <rFont val="Arial"/>
        <family val="2"/>
      </rPr>
      <t>SS</t>
    </r>
    <r>
      <rPr>
        <b/>
        <sz val="10"/>
        <color theme="1"/>
        <rFont val="Arial"/>
        <family val="2"/>
      </rPr>
      <t xml:space="preserve"> </t>
    </r>
  </si>
  <si>
    <r>
      <t>Upper Feedback Resistor, R</t>
    </r>
    <r>
      <rPr>
        <b/>
        <vertAlign val="subscript"/>
        <sz val="10"/>
        <rFont val="Arial"/>
        <family val="2"/>
      </rPr>
      <t xml:space="preserve">FB1 </t>
    </r>
  </si>
  <si>
    <r>
      <t>Lower Feedback Resistor, R</t>
    </r>
    <r>
      <rPr>
        <vertAlign val="subscript"/>
        <sz val="10"/>
        <rFont val="Arial"/>
        <family val="2"/>
      </rPr>
      <t>FB2</t>
    </r>
    <r>
      <rPr>
        <sz val="10"/>
        <rFont val="Arial"/>
        <family val="2"/>
      </rPr>
      <t xml:space="preserve"> </t>
    </r>
  </si>
  <si>
    <r>
      <t>V</t>
    </r>
    <r>
      <rPr>
        <vertAlign val="subscript"/>
        <sz val="10"/>
        <color theme="1"/>
        <rFont val="Arial"/>
        <family val="2"/>
      </rPr>
      <t>IN(min)</t>
    </r>
  </si>
  <si>
    <r>
      <t>V</t>
    </r>
    <r>
      <rPr>
        <vertAlign val="subscript"/>
        <sz val="10"/>
        <color theme="1"/>
        <rFont val="Arial"/>
        <family val="2"/>
      </rPr>
      <t>IN(nom)</t>
    </r>
  </si>
  <si>
    <r>
      <t>V</t>
    </r>
    <r>
      <rPr>
        <vertAlign val="subscript"/>
        <sz val="10"/>
        <color theme="1"/>
        <rFont val="Arial"/>
        <family val="2"/>
      </rPr>
      <t>IN(max)</t>
    </r>
  </si>
  <si>
    <t>VIN_max</t>
  </si>
  <si>
    <t>VIN_min</t>
  </si>
  <si>
    <t>Minimum input voltage</t>
  </si>
  <si>
    <t>Maximum input voltage</t>
  </si>
  <si>
    <t>Maximum Output Current</t>
  </si>
  <si>
    <t>Nominal Switching Frequency</t>
  </si>
  <si>
    <t>Voltage Hysteresis</t>
  </si>
  <si>
    <t>Falling UVLO/EN Current</t>
  </si>
  <si>
    <t>Rising UVLO/EN Current</t>
  </si>
  <si>
    <t>mV</t>
  </si>
  <si>
    <r>
      <t>Lower UVLO Resistor, R</t>
    </r>
    <r>
      <rPr>
        <vertAlign val="subscript"/>
        <sz val="10"/>
        <rFont val="Arial"/>
        <family val="2"/>
      </rPr>
      <t>UV2</t>
    </r>
  </si>
  <si>
    <r>
      <t>Upper UVLO Resistor, R</t>
    </r>
    <r>
      <rPr>
        <b/>
        <vertAlign val="subscript"/>
        <sz val="10"/>
        <rFont val="Arial"/>
        <family val="2"/>
      </rPr>
      <t>UV1</t>
    </r>
  </si>
  <si>
    <t>Required Input Voltage UVLO On</t>
  </si>
  <si>
    <r>
      <t>C</t>
    </r>
    <r>
      <rPr>
        <vertAlign val="subscript"/>
        <sz val="10"/>
        <rFont val="Arial"/>
        <family val="2"/>
      </rPr>
      <t>OUT</t>
    </r>
    <r>
      <rPr>
        <sz val="10"/>
        <rFont val="Arial"/>
        <family val="2"/>
      </rPr>
      <t xml:space="preserve"> ESR Zero Frequency </t>
    </r>
  </si>
  <si>
    <t>Load Pole Frequency</t>
  </si>
  <si>
    <t>Ideal Duty Cycle at VIN(nom)</t>
  </si>
  <si>
    <t>Ideal 1- Duty Cycle at VIN(nom)</t>
  </si>
  <si>
    <t>Don_Vinmin</t>
  </si>
  <si>
    <t>Don_Vinmax</t>
  </si>
  <si>
    <t>Lf_Vinmin</t>
  </si>
  <si>
    <t>Lf_Vinmax</t>
  </si>
  <si>
    <t>Lf</t>
  </si>
  <si>
    <t>Pout</t>
  </si>
  <si>
    <t>Iin_Vinmin</t>
  </si>
  <si>
    <t>Iin_Vinnom</t>
  </si>
  <si>
    <t>Iin_Vinmax</t>
  </si>
  <si>
    <t>Pin</t>
  </si>
  <si>
    <t>Iripple_Vinmin</t>
  </si>
  <si>
    <t>Iripple_Vinnom</t>
  </si>
  <si>
    <t>Iripple_Vinmax</t>
  </si>
  <si>
    <t>L_Vinmin</t>
  </si>
  <si>
    <t>L_Vinnom</t>
  </si>
  <si>
    <t>L_Vinmax</t>
  </si>
  <si>
    <t>Lf_Vinnom</t>
  </si>
  <si>
    <t>Lopt</t>
  </si>
  <si>
    <t>Don_Vinnom</t>
  </si>
  <si>
    <t>Don_Vinmin_2</t>
  </si>
  <si>
    <t>Don_Vinnom_2</t>
  </si>
  <si>
    <t>Don_Vinmax_2</t>
  </si>
  <si>
    <t>% Ripple Current</t>
  </si>
  <si>
    <t>Iin</t>
  </si>
  <si>
    <r>
      <rPr>
        <sz val="10"/>
        <rFont val="Symbol"/>
        <family val="1"/>
        <charset val="2"/>
      </rPr>
      <t>D</t>
    </r>
    <r>
      <rPr>
        <sz val="10"/>
        <rFont val="Arial"/>
        <family val="2"/>
      </rPr>
      <t>I</t>
    </r>
    <r>
      <rPr>
        <vertAlign val="subscript"/>
        <sz val="10"/>
        <rFont val="Arial"/>
        <family val="2"/>
      </rPr>
      <t>L</t>
    </r>
    <r>
      <rPr>
        <sz val="10"/>
        <rFont val="Arial"/>
        <family val="2"/>
      </rPr>
      <t xml:space="preserve"> as a %</t>
    </r>
    <r>
      <rPr>
        <sz val="10"/>
        <rFont val="Arial"/>
        <family val="2"/>
      </rPr>
      <t xml:space="preserve"> at V</t>
    </r>
    <r>
      <rPr>
        <vertAlign val="subscript"/>
        <sz val="10"/>
        <rFont val="Arial"/>
        <family val="2"/>
      </rPr>
      <t>IN(min)</t>
    </r>
  </si>
  <si>
    <r>
      <rPr>
        <sz val="10"/>
        <rFont val="Symbol"/>
        <family val="1"/>
        <charset val="2"/>
      </rPr>
      <t>D</t>
    </r>
    <r>
      <rPr>
        <sz val="10"/>
        <rFont val="Arial"/>
        <family val="2"/>
      </rPr>
      <t>I</t>
    </r>
    <r>
      <rPr>
        <vertAlign val="subscript"/>
        <sz val="10"/>
        <rFont val="Arial"/>
        <family val="2"/>
      </rPr>
      <t>L</t>
    </r>
    <r>
      <rPr>
        <sz val="10"/>
        <rFont val="Arial"/>
        <family val="2"/>
      </rPr>
      <t xml:space="preserve"> as a %</t>
    </r>
    <r>
      <rPr>
        <sz val="10"/>
        <rFont val="Arial"/>
        <family val="2"/>
      </rPr>
      <t xml:space="preserve"> at V</t>
    </r>
    <r>
      <rPr>
        <vertAlign val="subscript"/>
        <sz val="10"/>
        <rFont val="Arial"/>
        <family val="2"/>
      </rPr>
      <t>IN(nom)</t>
    </r>
  </si>
  <si>
    <r>
      <rPr>
        <sz val="10"/>
        <rFont val="Symbol"/>
        <family val="1"/>
        <charset val="2"/>
      </rPr>
      <t>D</t>
    </r>
    <r>
      <rPr>
        <sz val="10"/>
        <rFont val="Arial"/>
        <family val="2"/>
      </rPr>
      <t>I</t>
    </r>
    <r>
      <rPr>
        <vertAlign val="subscript"/>
        <sz val="10"/>
        <rFont val="Arial"/>
        <family val="2"/>
      </rPr>
      <t>L</t>
    </r>
    <r>
      <rPr>
        <sz val="10"/>
        <rFont val="Arial"/>
        <family val="2"/>
      </rPr>
      <t xml:space="preserve"> as a %</t>
    </r>
    <r>
      <rPr>
        <sz val="10"/>
        <rFont val="Arial"/>
        <family val="2"/>
      </rPr>
      <t xml:space="preserve"> at V</t>
    </r>
    <r>
      <rPr>
        <vertAlign val="subscript"/>
        <sz val="10"/>
        <rFont val="Arial"/>
        <family val="2"/>
      </rPr>
      <t>IN(max)</t>
    </r>
  </si>
  <si>
    <t>Recommended SLOPE Capacitance</t>
  </si>
  <si>
    <r>
      <t>Sense Resistance, R</t>
    </r>
    <r>
      <rPr>
        <b/>
        <vertAlign val="subscript"/>
        <sz val="10"/>
        <color theme="1"/>
        <rFont val="Arial"/>
        <family val="2"/>
      </rPr>
      <t>S</t>
    </r>
  </si>
  <si>
    <t>Step 6: Soft-start, Dither, UVLO</t>
  </si>
  <si>
    <t>Recommended Sense Resistance</t>
  </si>
  <si>
    <r>
      <t>SLOPE Capacitance, C</t>
    </r>
    <r>
      <rPr>
        <b/>
        <vertAlign val="subscript"/>
        <sz val="10"/>
        <color theme="1"/>
        <rFont val="Arial"/>
        <family val="2"/>
      </rPr>
      <t>SLOPE</t>
    </r>
  </si>
  <si>
    <t>Buck CS threshold</t>
  </si>
  <si>
    <t>Boost CS Threshold</t>
  </si>
  <si>
    <t>Ilimit_DC</t>
  </si>
  <si>
    <t>Max inductor ripple current</t>
  </si>
  <si>
    <t>Calculate input power assuming 90% efficiency</t>
  </si>
  <si>
    <t>Output power</t>
  </si>
  <si>
    <t>Input currents at min, nom, max Vin</t>
  </si>
  <si>
    <t>Frequency Set Resistor</t>
  </si>
  <si>
    <t>Rs_ideal</t>
  </si>
  <si>
    <t>or</t>
  </si>
  <si>
    <t>Ilimit_inductor_Vinmin</t>
  </si>
  <si>
    <t>Ilimit_inductor_Vinmax</t>
  </si>
  <si>
    <t>Ilimit_inductor_Vinnom</t>
  </si>
  <si>
    <t>At Iout = Ilimit_DC:</t>
  </si>
  <si>
    <t>Selected (starndard value) current limit sense resistor</t>
  </si>
  <si>
    <t>Cslope_ideal</t>
  </si>
  <si>
    <t>mΩ</t>
  </si>
  <si>
    <t>Cslope</t>
  </si>
  <si>
    <t>Cslope_recommended</t>
  </si>
  <si>
    <t>Cslope_selected</t>
  </si>
  <si>
    <t>V/s</t>
  </si>
  <si>
    <t>at VIN_min</t>
  </si>
  <si>
    <t>at VIN_nom</t>
  </si>
  <si>
    <t>at VIN_max</t>
  </si>
  <si>
    <t>Islope_fixed</t>
  </si>
  <si>
    <t>SLOPE comp dv/dt = I_slope_total/Cslope</t>
  </si>
  <si>
    <t xml:space="preserve">BUCK </t>
  </si>
  <si>
    <t>BOOST</t>
  </si>
  <si>
    <t>I_valley BUCK</t>
  </si>
  <si>
    <t>I_peak BOOST</t>
  </si>
  <si>
    <t>Required Constant Current Loop Setpoint</t>
  </si>
  <si>
    <t>Current Limit Threshold</t>
  </si>
  <si>
    <t>Shunt Resistor in Output Leg</t>
  </si>
  <si>
    <t>Rshunt</t>
  </si>
  <si>
    <t>TBD</t>
  </si>
  <si>
    <t>Output Cap RMS current</t>
  </si>
  <si>
    <t>Icoutrms_VINmin</t>
  </si>
  <si>
    <t>Icoutrms_VINnom</t>
  </si>
  <si>
    <t>Icoutrms_VINmax</t>
  </si>
  <si>
    <r>
      <rPr>
        <sz val="10"/>
        <rFont val="Symbol"/>
        <family val="1"/>
        <charset val="2"/>
      </rPr>
      <t>D</t>
    </r>
    <r>
      <rPr>
        <sz val="10"/>
        <rFont val="Arial"/>
        <family val="2"/>
      </rPr>
      <t>V_SLOPEcomp at Vinmin</t>
    </r>
  </si>
  <si>
    <r>
      <rPr>
        <sz val="10"/>
        <rFont val="Symbol"/>
        <family val="1"/>
        <charset val="2"/>
      </rPr>
      <t>D</t>
    </r>
    <r>
      <rPr>
        <sz val="10"/>
        <rFont val="Arial"/>
        <family val="2"/>
      </rPr>
      <t>V_SLOPEcomp at Vinnom</t>
    </r>
  </si>
  <si>
    <r>
      <rPr>
        <sz val="10"/>
        <rFont val="Symbol"/>
        <family val="1"/>
        <charset val="2"/>
      </rPr>
      <t>D</t>
    </r>
    <r>
      <rPr>
        <sz val="10"/>
        <rFont val="Arial"/>
        <family val="2"/>
      </rPr>
      <t>V_SLOPEcomp at Vinmax</t>
    </r>
  </si>
  <si>
    <t>Chosen Output Capacitance</t>
  </si>
  <si>
    <t>Cdither</t>
  </si>
  <si>
    <t>Cdither_calculated</t>
  </si>
  <si>
    <t>Cdither_stdvalue</t>
  </si>
  <si>
    <r>
      <t>R</t>
    </r>
    <r>
      <rPr>
        <b/>
        <vertAlign val="subscript"/>
        <sz val="10"/>
        <rFont val="Arial"/>
        <family val="2"/>
      </rPr>
      <t>C</t>
    </r>
  </si>
  <si>
    <t>Boost RHP Zero Frequency</t>
  </si>
  <si>
    <t>Frhp</t>
  </si>
  <si>
    <t>Rout</t>
  </si>
  <si>
    <t>Load resistance</t>
  </si>
  <si>
    <r>
      <t xml:space="preserve">Chosen Compensation Components from the </t>
    </r>
    <r>
      <rPr>
        <b/>
        <u/>
        <sz val="10"/>
        <color indexed="10"/>
        <rFont val="Arial"/>
        <family val="2"/>
      </rPr>
      <t>standard value sheet</t>
    </r>
  </si>
  <si>
    <t>Modulator</t>
  </si>
  <si>
    <t>Total System</t>
  </si>
  <si>
    <t>Afb1</t>
  </si>
  <si>
    <t>Acs</t>
  </si>
  <si>
    <t>z1</t>
  </si>
  <si>
    <t>p3</t>
  </si>
  <si>
    <t>Adc</t>
  </si>
  <si>
    <t>z2</t>
  </si>
  <si>
    <t>Am</t>
  </si>
  <si>
    <t>p1</t>
  </si>
  <si>
    <t>pterm1</t>
  </si>
  <si>
    <t>Crossover</t>
  </si>
  <si>
    <t>p2</t>
  </si>
  <si>
    <t>pterm2</t>
  </si>
  <si>
    <t>Phase Margin</t>
  </si>
  <si>
    <t>Aea</t>
  </si>
  <si>
    <t>radconv</t>
  </si>
  <si>
    <t>p4</t>
  </si>
  <si>
    <t>k</t>
  </si>
  <si>
    <t>gm</t>
  </si>
  <si>
    <t>Power Stage</t>
  </si>
  <si>
    <t>Error Amplifier</t>
  </si>
  <si>
    <t>Sampling Double Pole</t>
  </si>
  <si>
    <t>System Response</t>
  </si>
  <si>
    <t>ERROR AMP Response</t>
  </si>
  <si>
    <t>PLANT Response</t>
  </si>
  <si>
    <t>Gain(V/V)</t>
  </si>
  <si>
    <t>Phase(rad)</t>
  </si>
  <si>
    <t>Gain (dB)</t>
  </si>
  <si>
    <t>Phase Margin (°)</t>
  </si>
  <si>
    <t>Phase (°)</t>
  </si>
  <si>
    <t>Fsquare</t>
  </si>
  <si>
    <t>Gain(dB)</t>
  </si>
  <si>
    <t>Phase(Deg)</t>
  </si>
  <si>
    <t>Pole/Zero Locations for Chart</t>
  </si>
  <si>
    <t>crossover</t>
  </si>
  <si>
    <t>System</t>
  </si>
  <si>
    <t>Plant</t>
  </si>
  <si>
    <t>Ri</t>
  </si>
  <si>
    <t>Error Amp Transconductance</t>
  </si>
  <si>
    <t>Se</t>
  </si>
  <si>
    <t>A/s</t>
  </si>
  <si>
    <t>Sn</t>
  </si>
  <si>
    <t>On-time Slope</t>
  </si>
  <si>
    <t>mc</t>
  </si>
  <si>
    <t>GBW</t>
  </si>
  <si>
    <t>Cbw</t>
  </si>
  <si>
    <t>RoEA</t>
  </si>
  <si>
    <t>AEA</t>
  </si>
  <si>
    <t>Afb</t>
  </si>
  <si>
    <t>p</t>
  </si>
  <si>
    <t xml:space="preserve">Error Amp Pole Frequency </t>
  </si>
  <si>
    <t>Cslope_u</t>
  </si>
  <si>
    <t>This component will largely determine the crossover frequency</t>
  </si>
  <si>
    <t>This along with Rcea1 places a pole at the output cap ESR zero</t>
  </si>
  <si>
    <t>1/(Pi*(k-0.5))</t>
  </si>
  <si>
    <t>Acs = 1/Ri</t>
  </si>
  <si>
    <t>Current Sense effective resistance = shunt resistor Rs * CS amp gain</t>
  </si>
  <si>
    <t>Fp_EA</t>
  </si>
  <si>
    <t>Fp_HF</t>
  </si>
  <si>
    <t>mc*D</t>
  </si>
  <si>
    <t>Off-time Slope</t>
  </si>
  <si>
    <t>Sf</t>
  </si>
  <si>
    <t>mc = 1 + Se/Sf for valley current-mode buck</t>
  </si>
  <si>
    <t>gm_slopecomp</t>
  </si>
  <si>
    <t>adaptive slope comp gm amplifier transconductance</t>
  </si>
  <si>
    <t>CS Amp Gain</t>
  </si>
  <si>
    <t>Slope Comp Slope - referred to inductor current</t>
  </si>
  <si>
    <t>Se_int</t>
  </si>
  <si>
    <t>Step 3: Sense Resistors, Slope Comp, Current Limit</t>
  </si>
  <si>
    <t>Q = 2/Pi = 0.636 gives ideal one-cycle damping</t>
  </si>
  <si>
    <t>Error Amp HF pole cancels zero related to Output Cap ESR</t>
  </si>
  <si>
    <t>EXCEL Variables Names/Calculations</t>
  </si>
  <si>
    <t>Resulting Pole/Zero Locations</t>
  </si>
  <si>
    <t>Sn_int</t>
  </si>
  <si>
    <t>Sf_int</t>
  </si>
  <si>
    <t>Slope Comp Slope - referred to IC</t>
  </si>
  <si>
    <t>etc</t>
  </si>
  <si>
    <t>Isc_const</t>
  </si>
  <si>
    <t>°</t>
  </si>
  <si>
    <t>Std Value Lower Feedback Resistance</t>
  </si>
  <si>
    <t>Lower Feedback Resistance</t>
  </si>
  <si>
    <t>Upper Feedback Resistance - chosen by user</t>
  </si>
  <si>
    <t>Drain-Source Resistance of Pullup High-side FET Driver</t>
  </si>
  <si>
    <t>Drain-Source Resistance of Pulldown High-side FET Driver</t>
  </si>
  <si>
    <t>Drain-Source Resistance of Pullup Low-side FET Driver</t>
  </si>
  <si>
    <t>Drain-Source Resistance of Pulldown Low-side FET Driver</t>
  </si>
  <si>
    <t>Drain-Source Resistance Temp Co</t>
  </si>
  <si>
    <t>Diode Forward Voltage of Low-side FET Body Diode</t>
  </si>
  <si>
    <t>slope comp constant current source</t>
  </si>
  <si>
    <t>Duty cycles adjusted for DCR and shunt voltage drops</t>
  </si>
  <si>
    <t>Desired Crossover Frequency</t>
  </si>
  <si>
    <t>Cout ESR zero frequency</t>
  </si>
  <si>
    <t>Boost RHP zero frequency (if applicable)</t>
  </si>
  <si>
    <t>Error Amp LF pole -- related to amplifier ouptut resistance and comp cap</t>
  </si>
  <si>
    <t>Buck dominant pole frequency -- note slope comp influence</t>
  </si>
  <si>
    <t>Boost dominant pole frequency -- need to add slope comp component</t>
  </si>
  <si>
    <t>Fp_load_boost</t>
  </si>
  <si>
    <t>Fp_load_buck</t>
  </si>
  <si>
    <t>IC Power Disipation</t>
  </si>
  <si>
    <t>Iteration</t>
  </si>
  <si>
    <t>Output Ripple Spec (pk-pk)</t>
  </si>
  <si>
    <t>Rmode</t>
  </si>
  <si>
    <t>zero-order sample and hold effects of current-mode control modeled as pole at Fsw/2</t>
  </si>
  <si>
    <t>F_mod</t>
  </si>
  <si>
    <t>Am_buck</t>
  </si>
  <si>
    <t>mc_boost</t>
  </si>
  <si>
    <t>k_boost</t>
  </si>
  <si>
    <t>Am_boost</t>
  </si>
  <si>
    <t>DC Gain is Adc = AEA*Afb*Am</t>
  </si>
  <si>
    <t>A/V</t>
  </si>
  <si>
    <t>Power Stage Poles/Zeros</t>
  </si>
  <si>
    <t>Complex Pole Pair</t>
  </si>
  <si>
    <t>Divider Network &amp; EA Poles/Zeros</t>
  </si>
  <si>
    <t>mc_buck</t>
  </si>
  <si>
    <t>k_buck</t>
  </si>
  <si>
    <t>mV/μs</t>
  </si>
  <si>
    <t>mc*(1-D)</t>
  </si>
  <si>
    <t>Error Amp (EA)</t>
  </si>
  <si>
    <t>Boost modulator gain -- need to adjust for adaptive slope comp</t>
  </si>
  <si>
    <r>
      <t>need to include R</t>
    </r>
    <r>
      <rPr>
        <vertAlign val="subscript"/>
        <sz val="10"/>
        <color rgb="FFFF0000"/>
        <rFont val="Arial"/>
        <family val="2"/>
      </rPr>
      <t>DS(on)</t>
    </r>
    <r>
      <rPr>
        <sz val="10"/>
        <color rgb="FFFF0000"/>
        <rFont val="Arial"/>
        <family val="2"/>
      </rPr>
      <t xml:space="preserve"> later</t>
    </r>
  </si>
  <si>
    <t>Shunt</t>
  </si>
  <si>
    <t>BOOST current limit - peak</t>
  </si>
  <si>
    <t>Iout_OCP_Vinmin</t>
  </si>
  <si>
    <t>Iout_OCP_Vinmax</t>
  </si>
  <si>
    <t>ILpeak_OCP_Vinmin</t>
  </si>
  <si>
    <t>ILpeak_OCP_Vinnom</t>
  </si>
  <si>
    <t>ILpeak_OCP_Vinmax</t>
  </si>
  <si>
    <t>Peak inductor currents in OCP</t>
  </si>
  <si>
    <r>
      <t>Current limit setpoints (i.e. I</t>
    </r>
    <r>
      <rPr>
        <vertAlign val="subscript"/>
        <sz val="10"/>
        <rFont val="Arial"/>
        <family val="2"/>
      </rPr>
      <t>OUT</t>
    </r>
    <r>
      <rPr>
        <sz val="10"/>
        <rFont val="Arial"/>
        <family val="2"/>
      </rPr>
      <t>) after standard components are selected</t>
    </r>
  </si>
  <si>
    <t>Output voltage ripple spec(pk-pk)</t>
  </si>
  <si>
    <t>Vout ripple spec at Vin(nom)</t>
  </si>
  <si>
    <t xml:space="preserve">Minimum Output Capacitance </t>
  </si>
  <si>
    <t>Load cap current during soft start</t>
  </si>
  <si>
    <t>Soft-start time</t>
  </si>
  <si>
    <t>zRHP</t>
  </si>
  <si>
    <t>p-dom</t>
  </si>
  <si>
    <t>p_dom</t>
  </si>
  <si>
    <t>z_ESR</t>
  </si>
  <si>
    <t>z_RHP</t>
  </si>
  <si>
    <t>uses Vin(nom)!!</t>
  </si>
  <si>
    <t>50ns for LM5175</t>
  </si>
  <si>
    <t>Low-side MOSFET/Diode</t>
  </si>
  <si>
    <t>EA pole, p2</t>
  </si>
  <si>
    <t>EA pole, p1</t>
  </si>
  <si>
    <t>EA zero, z1</t>
  </si>
  <si>
    <t>Fp_dominant</t>
  </si>
  <si>
    <t>p_sampling</t>
  </si>
  <si>
    <t>ESR zero</t>
  </si>
  <si>
    <t>EA pole</t>
  </si>
  <si>
    <t>EA zero</t>
  </si>
  <si>
    <t>RHP zero</t>
  </si>
  <si>
    <t>This zero is set at or close to the dominant load pole</t>
  </si>
  <si>
    <t>Freq (Hz)</t>
  </si>
  <si>
    <t>scaling factor to calculate Rcomp - buck</t>
  </si>
  <si>
    <t>scaling factor to calculate Rcomp - boost</t>
  </si>
  <si>
    <r>
      <t>Hz  (F</t>
    </r>
    <r>
      <rPr>
        <vertAlign val="subscript"/>
        <sz val="10"/>
        <rFont val="Arial"/>
        <family val="2"/>
      </rPr>
      <t>PEA</t>
    </r>
    <r>
      <rPr>
        <sz val="10"/>
        <rFont val="Arial"/>
        <family val="2"/>
      </rPr>
      <t>)</t>
    </r>
  </si>
  <si>
    <t>KM</t>
  </si>
  <si>
    <t>KD</t>
  </si>
  <si>
    <t>Se_fixed</t>
  </si>
  <si>
    <t>Se_proportional</t>
  </si>
  <si>
    <t>Se_ext</t>
  </si>
  <si>
    <t>Buck modulator gain</t>
  </si>
  <si>
    <t>Feedback gain from Vout to FB</t>
  </si>
  <si>
    <t>V_sc_fixed</t>
  </si>
  <si>
    <t>V_sc_proportional</t>
  </si>
  <si>
    <t>V_sc_total</t>
  </si>
  <si>
    <t>Slope comp slope - internal</t>
  </si>
  <si>
    <t>EA DC gain = gm*RoEA</t>
  </si>
  <si>
    <t>EA output resistance</t>
  </si>
  <si>
    <t>EA effective bandwidth limiting capacitance = gm/(2*Pi*GBW)</t>
  </si>
  <si>
    <t>EA gain-bandwidth product</t>
  </si>
  <si>
    <t>mc = 1 + Se/Sn for peak current-mode boost</t>
  </si>
  <si>
    <t>K_SL</t>
  </si>
  <si>
    <t>Fixed slope comp amplitude over full period</t>
  </si>
  <si>
    <t>Proportional slope comp amplitude over full period</t>
  </si>
  <si>
    <t>Total slope comp amplitude over full period</t>
  </si>
  <si>
    <t>Proportional slope comp factor, where Vslope= Abs(Vin-Vout)*KSL</t>
  </si>
  <si>
    <t>KSL = gm/(Cslope*Fsw)</t>
  </si>
  <si>
    <t>K_1</t>
  </si>
  <si>
    <t>Take the buck or boost parameter as appropriate</t>
  </si>
  <si>
    <t>2*Pi*Ri/gm -- scaling factor to calculate Rcomp given desired buck crossover frequency</t>
  </si>
  <si>
    <t>2*Pi*Ri/gm -- scaling factor to calculate Rcomp given desired boost crossover frequency</t>
  </si>
  <si>
    <t>Diode/FET</t>
  </si>
  <si>
    <t>High Efficiency Synchronous Buck-Boost Regulator BOM</t>
  </si>
  <si>
    <t>Iout_OCP_Vinnom</t>
  </si>
  <si>
    <t>IL_peak_OCP</t>
  </si>
  <si>
    <t>Peak inductor current over the full input range</t>
  </si>
  <si>
    <r>
      <t>C</t>
    </r>
    <r>
      <rPr>
        <vertAlign val="subscript"/>
        <sz val="10"/>
        <rFont val="Arial"/>
        <family val="2"/>
      </rPr>
      <t>SLOPE</t>
    </r>
  </si>
  <si>
    <r>
      <t>L</t>
    </r>
    <r>
      <rPr>
        <vertAlign val="subscript"/>
        <sz val="10"/>
        <rFont val="Arial"/>
        <family val="2"/>
      </rPr>
      <t>F</t>
    </r>
  </si>
  <si>
    <r>
      <t>R</t>
    </r>
    <r>
      <rPr>
        <vertAlign val="subscript"/>
        <sz val="10"/>
        <rFont val="Arial"/>
        <family val="2"/>
      </rPr>
      <t>CS</t>
    </r>
    <r>
      <rPr>
        <sz val="10"/>
        <rFont val="Arial"/>
        <family val="2"/>
      </rPr>
      <t>, R</t>
    </r>
    <r>
      <rPr>
        <vertAlign val="subscript"/>
        <sz val="10"/>
        <rFont val="Arial"/>
        <family val="2"/>
      </rPr>
      <t>CSG</t>
    </r>
  </si>
  <si>
    <r>
      <t>R</t>
    </r>
    <r>
      <rPr>
        <vertAlign val="subscript"/>
        <sz val="10"/>
        <rFont val="Arial"/>
        <family val="2"/>
      </rPr>
      <t>T</t>
    </r>
  </si>
  <si>
    <t>** Effective input and output capacitances should be appropriately derated for applied voltage and temperature, particularly with ceramics **</t>
  </si>
  <si>
    <t>Schottky Diode, 200mA</t>
  </si>
  <si>
    <r>
      <t>D</t>
    </r>
    <r>
      <rPr>
        <vertAlign val="subscript"/>
        <sz val="10"/>
        <rFont val="Arial"/>
        <family val="2"/>
      </rPr>
      <t>BOOT1</t>
    </r>
    <r>
      <rPr>
        <sz val="10"/>
        <rFont val="Arial"/>
        <family val="2"/>
      </rPr>
      <t>, D</t>
    </r>
    <r>
      <rPr>
        <vertAlign val="subscript"/>
        <sz val="10"/>
        <rFont val="Arial"/>
        <family val="2"/>
      </rPr>
      <t xml:space="preserve">BOOT2, </t>
    </r>
    <r>
      <rPr>
        <sz val="10"/>
        <rFont val="Arial"/>
        <family val="2"/>
      </rPr>
      <t>D</t>
    </r>
    <r>
      <rPr>
        <vertAlign val="subscript"/>
        <sz val="10"/>
        <rFont val="Arial"/>
        <family val="2"/>
      </rPr>
      <t xml:space="preserve">VIN </t>
    </r>
  </si>
  <si>
    <r>
      <t>C</t>
    </r>
    <r>
      <rPr>
        <vertAlign val="subscript"/>
        <sz val="10"/>
        <rFont val="Arial"/>
        <family val="2"/>
      </rPr>
      <t>DITH</t>
    </r>
  </si>
  <si>
    <r>
      <t>C</t>
    </r>
    <r>
      <rPr>
        <vertAlign val="subscript"/>
        <sz val="10"/>
        <rFont val="Arial"/>
        <family val="2"/>
      </rPr>
      <t>BOOT1</t>
    </r>
    <r>
      <rPr>
        <sz val="10"/>
        <rFont val="Arial"/>
        <family val="2"/>
      </rPr>
      <t>, C</t>
    </r>
    <r>
      <rPr>
        <vertAlign val="subscript"/>
        <sz val="10"/>
        <rFont val="Arial"/>
        <family val="2"/>
      </rPr>
      <t>BOOT2</t>
    </r>
  </si>
  <si>
    <r>
      <t>C</t>
    </r>
    <r>
      <rPr>
        <vertAlign val="subscript"/>
        <sz val="10"/>
        <rFont val="Arial"/>
        <family val="2"/>
      </rPr>
      <t>VCC</t>
    </r>
  </si>
  <si>
    <t>Step 3: OCP, Sense Resistors, Slope Comp</t>
  </si>
  <si>
    <t>** Inductor saturation current should be higher than the peak inductor current at the OCP setpoint for all input voltages and operating temperatures **</t>
  </si>
  <si>
    <r>
      <rPr>
        <sz val="10"/>
        <rFont val="Symbol"/>
        <family val="1"/>
        <charset val="2"/>
      </rPr>
      <t>°</t>
    </r>
    <r>
      <rPr>
        <sz val="10"/>
        <rFont val="Arial"/>
        <family val="2"/>
      </rPr>
      <t>C</t>
    </r>
  </si>
  <si>
    <r>
      <t>m</t>
    </r>
    <r>
      <rPr>
        <sz val="10"/>
        <rFont val="Symbol"/>
        <family val="1"/>
        <charset val="2"/>
      </rPr>
      <t>W</t>
    </r>
  </si>
  <si>
    <t>μF</t>
  </si>
  <si>
    <t>Filter Inductance</t>
  </si>
  <si>
    <r>
      <t>Inductor DCR at 25</t>
    </r>
    <r>
      <rPr>
        <sz val="10"/>
        <rFont val="Symbol"/>
        <family val="1"/>
        <charset val="2"/>
      </rPr>
      <t>°</t>
    </r>
    <r>
      <rPr>
        <sz val="10"/>
        <rFont val="Arial"/>
        <family val="2"/>
      </rPr>
      <t>C</t>
    </r>
  </si>
  <si>
    <r>
      <rPr>
        <sz val="10"/>
        <rFont val="Calibri"/>
        <family val="2"/>
      </rPr>
      <t>θ</t>
    </r>
    <r>
      <rPr>
        <vertAlign val="subscript"/>
        <sz val="10"/>
        <rFont val="Arial"/>
        <family val="2"/>
      </rPr>
      <t>JA</t>
    </r>
  </si>
  <si>
    <r>
      <t>θ</t>
    </r>
    <r>
      <rPr>
        <vertAlign val="subscript"/>
        <sz val="10"/>
        <rFont val="Arial"/>
        <family val="2"/>
      </rPr>
      <t>JABot</t>
    </r>
  </si>
  <si>
    <r>
      <t>θ</t>
    </r>
    <r>
      <rPr>
        <vertAlign val="subscript"/>
        <sz val="10"/>
        <rFont val="Arial"/>
        <family val="2"/>
      </rPr>
      <t>JATop</t>
    </r>
  </si>
  <si>
    <t>θJACtrl</t>
  </si>
  <si>
    <r>
      <t>Enter the values of your design and MOSFET datasheet specifications below. Note that thermal resistance (</t>
    </r>
    <r>
      <rPr>
        <b/>
        <sz val="10"/>
        <rFont val="Calibri"/>
        <family val="2"/>
      </rPr>
      <t>θ</t>
    </r>
    <r>
      <rPr>
        <b/>
        <vertAlign val="subscript"/>
        <sz val="10"/>
        <rFont val="Arial"/>
        <family val="2"/>
      </rPr>
      <t>JA</t>
    </r>
    <r>
      <rPr>
        <b/>
        <sz val="10"/>
        <rFont val="Arial"/>
        <family val="2"/>
      </rPr>
      <t>) will change when components are placed on the PCB</t>
    </r>
  </si>
  <si>
    <t>Subregulated VCC Voltage</t>
  </si>
  <si>
    <t>Vcc</t>
  </si>
  <si>
    <t>Junction-to-ambient thermal resistance of controller</t>
  </si>
  <si>
    <t>with 85mA current limit</t>
  </si>
  <si>
    <r>
      <rPr>
        <sz val="10"/>
        <rFont val="Calibri"/>
        <family val="2"/>
      </rPr>
      <t>θ</t>
    </r>
    <r>
      <rPr>
        <vertAlign val="subscript"/>
        <sz val="10"/>
        <rFont val="Arial"/>
        <family val="2"/>
      </rPr>
      <t>CA</t>
    </r>
  </si>
  <si>
    <t>Inductor Core to Ambient Thermal Resistance</t>
  </si>
  <si>
    <t>Input Capacitor ESR</t>
  </si>
  <si>
    <t>Inductor DCR Temp Co</t>
  </si>
  <si>
    <t>Output Capacitor ESR</t>
  </si>
  <si>
    <t>Output Capcitance</t>
  </si>
  <si>
    <t>Input Capacitance</t>
  </si>
  <si>
    <t>Filter Inductor</t>
  </si>
  <si>
    <t>Ripple Current pk-pk</t>
  </si>
  <si>
    <t>Cout ESR Loss</t>
  </si>
  <si>
    <t>Irms Cout</t>
  </si>
  <si>
    <t>Irms Cin</t>
  </si>
  <si>
    <t>Cin ESR Loss</t>
  </si>
  <si>
    <r>
      <t>R</t>
    </r>
    <r>
      <rPr>
        <b/>
        <vertAlign val="subscript"/>
        <sz val="10"/>
        <rFont val="Arial"/>
        <family val="2"/>
      </rPr>
      <t>DS(on)</t>
    </r>
    <r>
      <rPr>
        <b/>
        <sz val="10"/>
        <rFont val="Arial"/>
        <family val="2"/>
      </rPr>
      <t xml:space="preserve"> Loss</t>
    </r>
  </si>
  <si>
    <t>Controller IC Losses</t>
  </si>
  <si>
    <t>Total IC Loss</t>
  </si>
  <si>
    <t>Deadtime Loss</t>
  </si>
  <si>
    <r>
      <t>I</t>
    </r>
    <r>
      <rPr>
        <b/>
        <vertAlign val="subscript"/>
        <sz val="10"/>
        <rFont val="Arial"/>
        <family val="2"/>
      </rPr>
      <t>Q</t>
    </r>
    <r>
      <rPr>
        <b/>
        <sz val="10"/>
        <rFont val="Arial"/>
        <family val="2"/>
      </rPr>
      <t xml:space="preserve"> Loss</t>
    </r>
  </si>
  <si>
    <t>h</t>
  </si>
  <si>
    <r>
      <t xml:space="preserve">EFF, </t>
    </r>
    <r>
      <rPr>
        <b/>
        <sz val="10"/>
        <rFont val="Symbol"/>
        <family val="1"/>
        <charset val="2"/>
      </rPr>
      <t>h</t>
    </r>
  </si>
  <si>
    <t>QrrTop</t>
  </si>
  <si>
    <t>TrrTop</t>
  </si>
  <si>
    <t>RESULTS</t>
  </si>
  <si>
    <t>Consolidated Buck/Boost Efficiency &amp; Losses</t>
  </si>
  <si>
    <t>Output Rs</t>
  </si>
  <si>
    <t>Iout Shunt Loss</t>
  </si>
  <si>
    <t>Isense Shunt Loss</t>
  </si>
  <si>
    <t>Sense Rs</t>
  </si>
  <si>
    <t>Drain to Source Resistance of pulldown Bottom FET Driver</t>
  </si>
  <si>
    <t>Drain to Source Resistance of pullup Bottom FET Driver</t>
  </si>
  <si>
    <t>Drain to Source Resistance of pulldown Top FET Driver</t>
  </si>
  <si>
    <t>Drain to Source Resistance of pullup Top FET Driver</t>
  </si>
  <si>
    <t>Turn on of MOSFET -&gt; Rise time of current</t>
  </si>
  <si>
    <t>Turn off of MOSFET -&gt; Fall time of current</t>
  </si>
  <si>
    <t>External Schottky Diode (if applicable)</t>
  </si>
  <si>
    <r>
      <t>kHz (F</t>
    </r>
    <r>
      <rPr>
        <vertAlign val="subscript"/>
        <sz val="10"/>
        <rFont val="Arial"/>
        <family val="2"/>
      </rPr>
      <t>ZCOMP</t>
    </r>
    <r>
      <rPr>
        <sz val="10"/>
        <rFont val="Arial"/>
        <family val="2"/>
      </rPr>
      <t>)</t>
    </r>
  </si>
  <si>
    <r>
      <t>kHz (F</t>
    </r>
    <r>
      <rPr>
        <vertAlign val="subscript"/>
        <sz val="10"/>
        <rFont val="Arial"/>
        <family val="2"/>
      </rPr>
      <t>PCOMP</t>
    </r>
    <r>
      <rPr>
        <sz val="10"/>
        <rFont val="Arial"/>
        <family val="2"/>
      </rPr>
      <t>)</t>
    </r>
  </si>
  <si>
    <t>Reported Cinmin</t>
  </si>
  <si>
    <t>Reported Cout ESR max</t>
  </si>
  <si>
    <t>Reported Cin ESR max</t>
  </si>
  <si>
    <r>
      <t>Input Voltage - Min, V</t>
    </r>
    <r>
      <rPr>
        <b/>
        <vertAlign val="subscript"/>
        <sz val="10"/>
        <color theme="1"/>
        <rFont val="Arial"/>
        <family val="2"/>
      </rPr>
      <t>IN(min)</t>
    </r>
    <r>
      <rPr>
        <b/>
        <sz val="10"/>
        <color theme="1"/>
        <rFont val="Arial"/>
        <family val="2"/>
      </rPr>
      <t xml:space="preserve"> </t>
    </r>
  </si>
  <si>
    <r>
      <t>Input Voltage - Nom, V</t>
    </r>
    <r>
      <rPr>
        <b/>
        <vertAlign val="subscript"/>
        <sz val="10"/>
        <color theme="1"/>
        <rFont val="Arial"/>
        <family val="2"/>
      </rPr>
      <t>IN(nom)</t>
    </r>
  </si>
  <si>
    <r>
      <t>Input Voltage - Max, V</t>
    </r>
    <r>
      <rPr>
        <b/>
        <vertAlign val="subscript"/>
        <sz val="10"/>
        <color theme="1"/>
        <rFont val="Arial"/>
        <family val="2"/>
      </rPr>
      <t>IN(max)</t>
    </r>
  </si>
  <si>
    <r>
      <t>Pk-to-Pk Ripple Current at V</t>
    </r>
    <r>
      <rPr>
        <vertAlign val="subscript"/>
        <sz val="10"/>
        <rFont val="Arial"/>
        <family val="2"/>
      </rPr>
      <t>IN(min)</t>
    </r>
    <r>
      <rPr>
        <sz val="10"/>
        <rFont val="Arial"/>
        <family val="2"/>
      </rPr>
      <t xml:space="preserve">, </t>
    </r>
    <r>
      <rPr>
        <sz val="10"/>
        <rFont val="Symbol"/>
        <family val="1"/>
        <charset val="2"/>
      </rPr>
      <t>D</t>
    </r>
    <r>
      <rPr>
        <sz val="10"/>
        <rFont val="Arial"/>
        <family val="2"/>
      </rPr>
      <t>I</t>
    </r>
    <r>
      <rPr>
        <vertAlign val="subscript"/>
        <sz val="10"/>
        <rFont val="Arial"/>
        <family val="2"/>
      </rPr>
      <t>L1</t>
    </r>
  </si>
  <si>
    <r>
      <t>Pk-to-Pk Ripple Current at V</t>
    </r>
    <r>
      <rPr>
        <vertAlign val="subscript"/>
        <sz val="10"/>
        <rFont val="Arial"/>
        <family val="2"/>
      </rPr>
      <t>IN(nom)</t>
    </r>
    <r>
      <rPr>
        <sz val="10"/>
        <rFont val="Arial"/>
        <family val="2"/>
      </rPr>
      <t xml:space="preserve">, </t>
    </r>
    <r>
      <rPr>
        <sz val="10"/>
        <rFont val="Symbol"/>
        <family val="1"/>
        <charset val="2"/>
      </rPr>
      <t>D</t>
    </r>
    <r>
      <rPr>
        <sz val="10"/>
        <rFont val="Arial"/>
        <family val="2"/>
      </rPr>
      <t>I</t>
    </r>
    <r>
      <rPr>
        <vertAlign val="subscript"/>
        <sz val="10"/>
        <rFont val="Arial"/>
        <family val="2"/>
      </rPr>
      <t>L2</t>
    </r>
  </si>
  <si>
    <r>
      <t>Pk-to-Pk Ripple Current at V</t>
    </r>
    <r>
      <rPr>
        <vertAlign val="subscript"/>
        <sz val="10"/>
        <rFont val="Arial"/>
        <family val="2"/>
      </rPr>
      <t>IN(max)</t>
    </r>
    <r>
      <rPr>
        <sz val="10"/>
        <rFont val="Arial"/>
        <family val="2"/>
      </rPr>
      <t xml:space="preserve">, </t>
    </r>
    <r>
      <rPr>
        <sz val="10"/>
        <rFont val="Symbol"/>
        <family val="1"/>
        <charset val="2"/>
      </rPr>
      <t>D</t>
    </r>
    <r>
      <rPr>
        <sz val="10"/>
        <rFont val="Arial"/>
        <family val="2"/>
      </rPr>
      <t>I</t>
    </r>
    <r>
      <rPr>
        <vertAlign val="subscript"/>
        <sz val="10"/>
        <rFont val="Arial"/>
        <family val="2"/>
      </rPr>
      <t>L3</t>
    </r>
  </si>
  <si>
    <t>Buck CS threshold_min</t>
  </si>
  <si>
    <t>Boost CS Threshold_min</t>
  </si>
  <si>
    <t>BUCK current limit - valley</t>
  </si>
  <si>
    <t>Chosen OCP level - based on output current</t>
  </si>
  <si>
    <r>
      <t>I</t>
    </r>
    <r>
      <rPr>
        <vertAlign val="subscript"/>
        <sz val="10"/>
        <rFont val="Arial"/>
        <family val="2"/>
      </rPr>
      <t>OUT(typ)</t>
    </r>
    <r>
      <rPr>
        <sz val="10"/>
        <rFont val="Arial"/>
        <family val="2"/>
      </rPr>
      <t xml:space="preserve"> at OCP Inception:</t>
    </r>
  </si>
  <si>
    <t>Buck CS threshold_max</t>
  </si>
  <si>
    <t>Boost CS Threshold_max</t>
  </si>
  <si>
    <r>
      <t>Required I</t>
    </r>
    <r>
      <rPr>
        <b/>
        <vertAlign val="subscript"/>
        <sz val="10"/>
        <color theme="1"/>
        <rFont val="Arial"/>
        <family val="2"/>
      </rPr>
      <t>OCP(MIN)</t>
    </r>
    <r>
      <rPr>
        <b/>
        <sz val="10"/>
        <color theme="1"/>
        <rFont val="Arial"/>
        <family val="2"/>
      </rPr>
      <t xml:space="preserve"> Setpoint at V</t>
    </r>
    <r>
      <rPr>
        <b/>
        <vertAlign val="subscript"/>
        <sz val="10"/>
        <color theme="1"/>
        <rFont val="Arial"/>
        <family val="2"/>
      </rPr>
      <t>IN(nom)</t>
    </r>
  </si>
  <si>
    <t>RMS current in Rs</t>
  </si>
  <si>
    <t>Power diss in Rs</t>
  </si>
  <si>
    <t>Standard size based on Csideal slope capacitor</t>
  </si>
  <si>
    <t>Total Cin Loss</t>
  </si>
  <si>
    <t>Inductor Cu &amp; Core Loss</t>
  </si>
  <si>
    <t>Total Cout Loss</t>
  </si>
  <si>
    <t>Total Inductor Loss</t>
  </si>
  <si>
    <t>Gate Charge at VCC = 7.5V</t>
  </si>
  <si>
    <t>Boost hi-side</t>
  </si>
  <si>
    <t>Buck lo-side</t>
  </si>
  <si>
    <t>Anti-parallel Schottky Diode (optional)</t>
  </si>
  <si>
    <t>High- &amp; low-side boost MOSFETs</t>
  </si>
  <si>
    <t>High- &amp; low-side buck MOSFETs</t>
  </si>
  <si>
    <t>Drain-Source Resistances of Boost FETs</t>
  </si>
  <si>
    <t>Gate Charge Of Boost FETs</t>
  </si>
  <si>
    <t>Transconductance of Boost FETs</t>
  </si>
  <si>
    <t>Threshold Voltage Boost FETs</t>
  </si>
  <si>
    <t>Switch Point Voltage of Boost FETs</t>
  </si>
  <si>
    <t>Transconductance of Buck FETs</t>
  </si>
  <si>
    <t>Drain-Source Resistances of Buck FETs</t>
  </si>
  <si>
    <t>Threshold Voltage of Buck FETs</t>
  </si>
  <si>
    <t>Switch Point Voltage of Buck FETs</t>
  </si>
  <si>
    <r>
      <t>Q</t>
    </r>
    <r>
      <rPr>
        <vertAlign val="subscript"/>
        <sz val="10"/>
        <rFont val="Arial"/>
        <family val="2"/>
      </rPr>
      <t>1</t>
    </r>
    <r>
      <rPr>
        <sz val="10"/>
        <rFont val="Arial"/>
        <family val="2"/>
      </rPr>
      <t>, Q</t>
    </r>
    <r>
      <rPr>
        <vertAlign val="subscript"/>
        <sz val="10"/>
        <rFont val="Arial"/>
        <family val="2"/>
      </rPr>
      <t>2</t>
    </r>
  </si>
  <si>
    <r>
      <t>Q</t>
    </r>
    <r>
      <rPr>
        <vertAlign val="subscript"/>
        <sz val="10"/>
        <rFont val="Arial"/>
        <family val="2"/>
      </rPr>
      <t>3</t>
    </r>
    <r>
      <rPr>
        <sz val="10"/>
        <rFont val="Arial"/>
        <family val="2"/>
      </rPr>
      <t>, Q</t>
    </r>
    <r>
      <rPr>
        <vertAlign val="subscript"/>
        <sz val="10"/>
        <rFont val="Arial"/>
        <family val="2"/>
      </rPr>
      <t>4</t>
    </r>
  </si>
  <si>
    <t>Hi-side</t>
  </si>
  <si>
    <t>High-side FET</t>
  </si>
  <si>
    <t>Low-side FET</t>
  </si>
  <si>
    <t>Drain-Source Resistance of Low-side FET</t>
  </si>
  <si>
    <t xml:space="preserve">Drain-Source Resistance of Top FET </t>
  </si>
  <si>
    <t>Q3: high-side</t>
  </si>
  <si>
    <t>Q4: low-side</t>
  </si>
  <si>
    <t>Q1: high-side</t>
  </si>
  <si>
    <t>Q2: low-side</t>
  </si>
  <si>
    <t>Rdson</t>
  </si>
  <si>
    <t>Qgd</t>
  </si>
  <si>
    <t>Qgs</t>
  </si>
  <si>
    <t>Rgate</t>
  </si>
  <si>
    <t>Gfs</t>
  </si>
  <si>
    <t>Vth</t>
  </si>
  <si>
    <t>Vsp</t>
  </si>
  <si>
    <t>Diode Forward Voltage of MOSFET Body diode</t>
  </si>
  <si>
    <t>VsdBot - Boost</t>
  </si>
  <si>
    <t>Vsd - Buck</t>
  </si>
  <si>
    <r>
      <rPr>
        <i/>
        <sz val="10"/>
        <rFont val="Arial"/>
        <family val="2"/>
      </rPr>
      <t>Buck</t>
    </r>
    <r>
      <rPr>
        <sz val="10"/>
        <rFont val="Arial"/>
        <family val="2"/>
      </rPr>
      <t xml:space="preserve"> Leg</t>
    </r>
  </si>
  <si>
    <r>
      <t>Body Diode Forward Voltage, V</t>
    </r>
    <r>
      <rPr>
        <b/>
        <vertAlign val="subscript"/>
        <sz val="10"/>
        <rFont val="Arial"/>
        <family val="2"/>
      </rPr>
      <t>BD</t>
    </r>
    <r>
      <rPr>
        <b/>
        <sz val="10"/>
        <rFont val="Arial"/>
        <family val="2"/>
      </rPr>
      <t xml:space="preserve"> </t>
    </r>
  </si>
  <si>
    <r>
      <t>Schottky Rev Recovery Charge, Q</t>
    </r>
    <r>
      <rPr>
        <b/>
        <vertAlign val="subscript"/>
        <sz val="10"/>
        <rFont val="Arial"/>
        <family val="2"/>
      </rPr>
      <t>RRsch</t>
    </r>
    <r>
      <rPr>
        <b/>
        <sz val="10"/>
        <rFont val="Arial"/>
        <family val="2"/>
      </rPr>
      <t xml:space="preserve"> </t>
    </r>
  </si>
  <si>
    <r>
      <t>Body Diode Rev Recovery Charge, Q</t>
    </r>
    <r>
      <rPr>
        <b/>
        <vertAlign val="subscript"/>
        <sz val="10"/>
        <rFont val="Arial"/>
        <family val="2"/>
      </rPr>
      <t>RR</t>
    </r>
    <r>
      <rPr>
        <b/>
        <sz val="10"/>
        <rFont val="Arial"/>
        <family val="2"/>
      </rPr>
      <t xml:space="preserve"> </t>
    </r>
  </si>
  <si>
    <r>
      <t>Gate-Source Threshold Voltage, V</t>
    </r>
    <r>
      <rPr>
        <b/>
        <vertAlign val="subscript"/>
        <sz val="10"/>
        <rFont val="Arial"/>
        <family val="2"/>
      </rPr>
      <t>TH</t>
    </r>
    <r>
      <rPr>
        <b/>
        <sz val="10"/>
        <rFont val="Arial"/>
        <family val="2"/>
      </rPr>
      <t xml:space="preserve"> </t>
    </r>
  </si>
  <si>
    <r>
      <t>Schottky Fwd Voltage, V</t>
    </r>
    <r>
      <rPr>
        <b/>
        <vertAlign val="subscript"/>
        <sz val="10"/>
        <rFont val="Arial"/>
        <family val="2"/>
      </rPr>
      <t>FWDsch</t>
    </r>
    <r>
      <rPr>
        <b/>
        <sz val="10"/>
        <rFont val="Arial"/>
        <family val="2"/>
      </rPr>
      <t xml:space="preserve"> </t>
    </r>
  </si>
  <si>
    <r>
      <t>Output Leg Shunt Resistance, R</t>
    </r>
    <r>
      <rPr>
        <vertAlign val="subscript"/>
        <sz val="10"/>
        <rFont val="Arial"/>
        <family val="2"/>
      </rPr>
      <t>CS(out)</t>
    </r>
  </si>
  <si>
    <r>
      <t>R</t>
    </r>
    <r>
      <rPr>
        <vertAlign val="subscript"/>
        <sz val="10"/>
        <rFont val="Arial"/>
        <family val="2"/>
      </rPr>
      <t>CS(out)</t>
    </r>
  </si>
  <si>
    <r>
      <rPr>
        <b/>
        <i/>
        <u/>
        <sz val="10"/>
        <color rgb="FF0000FF"/>
        <rFont val="Arial"/>
        <family val="2"/>
      </rPr>
      <t>Boost</t>
    </r>
    <r>
      <rPr>
        <b/>
        <sz val="10"/>
        <color rgb="FF0000FF"/>
        <rFont val="Arial"/>
        <family val="2"/>
      </rPr>
      <t>-Leg Power MOSFETs (Q</t>
    </r>
    <r>
      <rPr>
        <b/>
        <vertAlign val="subscript"/>
        <sz val="10"/>
        <color rgb="FF0000FF"/>
        <rFont val="Arial"/>
        <family val="2"/>
      </rPr>
      <t>3</t>
    </r>
    <r>
      <rPr>
        <b/>
        <sz val="10"/>
        <color rgb="FF0000FF"/>
        <rFont val="Arial"/>
        <family val="2"/>
      </rPr>
      <t>, Q</t>
    </r>
    <r>
      <rPr>
        <b/>
        <vertAlign val="subscript"/>
        <sz val="10"/>
        <color rgb="FF0000FF"/>
        <rFont val="Arial"/>
        <family val="2"/>
      </rPr>
      <t>4</t>
    </r>
    <r>
      <rPr>
        <b/>
        <sz val="10"/>
        <color rgb="FF0000FF"/>
        <rFont val="Arial"/>
        <family val="2"/>
      </rPr>
      <t xml:space="preserve">) </t>
    </r>
  </si>
  <si>
    <r>
      <rPr>
        <b/>
        <i/>
        <u/>
        <sz val="10"/>
        <color rgb="FF0000FF"/>
        <rFont val="Arial"/>
        <family val="2"/>
      </rPr>
      <t>Buck</t>
    </r>
    <r>
      <rPr>
        <b/>
        <sz val="10"/>
        <color rgb="FF0000FF"/>
        <rFont val="Arial"/>
        <family val="2"/>
      </rPr>
      <t>-Leg Power MOSFETs (Q</t>
    </r>
    <r>
      <rPr>
        <b/>
        <vertAlign val="subscript"/>
        <sz val="10"/>
        <color rgb="FF0000FF"/>
        <rFont val="Arial"/>
        <family val="2"/>
      </rPr>
      <t>1</t>
    </r>
    <r>
      <rPr>
        <b/>
        <sz val="10"/>
        <color rgb="FF0000FF"/>
        <rFont val="Arial"/>
        <family val="2"/>
      </rPr>
      <t>, Q</t>
    </r>
    <r>
      <rPr>
        <b/>
        <vertAlign val="subscript"/>
        <sz val="10"/>
        <color rgb="FF0000FF"/>
        <rFont val="Arial"/>
        <family val="2"/>
      </rPr>
      <t>2</t>
    </r>
    <r>
      <rPr>
        <b/>
        <sz val="10"/>
        <color rgb="FF0000FF"/>
        <rFont val="Arial"/>
        <family val="2"/>
      </rPr>
      <t xml:space="preserve">) </t>
    </r>
  </si>
  <si>
    <t xml:space="preserve">  Low-side</t>
  </si>
  <si>
    <r>
      <rPr>
        <i/>
        <sz val="10"/>
        <rFont val="Arial"/>
        <family val="2"/>
      </rPr>
      <t xml:space="preserve">   Boost</t>
    </r>
    <r>
      <rPr>
        <sz val="10"/>
        <rFont val="Arial"/>
        <family val="2"/>
      </rPr>
      <t xml:space="preserve"> Leg</t>
    </r>
  </si>
  <si>
    <t>Tie to GND or VCC for DCM/CCM, respectively. Use 93.1k or 200k for hiccup in DCM, CCM, respectively.</t>
  </si>
  <si>
    <t>Dither Modulation Frequency</t>
  </si>
  <si>
    <t>Max COMP Voltage</t>
  </si>
  <si>
    <t>Min COMP Voltage</t>
  </si>
  <si>
    <t>sec</t>
  </si>
  <si>
    <t>Toff_Vinmax</t>
  </si>
  <si>
    <t>COMP max voltage</t>
  </si>
  <si>
    <t>COMP min voltage</t>
  </si>
  <si>
    <t>BUCK</t>
  </si>
  <si>
    <t>Ton_Vinmin</t>
  </si>
  <si>
    <t xml:space="preserve">lower edge of BUCK-BOOST </t>
  </si>
  <si>
    <t>Don_buckboost</t>
  </si>
  <si>
    <t>Ilimit_inductor_buckboost</t>
  </si>
  <si>
    <t>VIN_edgebuckboost</t>
  </si>
  <si>
    <t>Iripple_edgebuckboost</t>
  </si>
  <si>
    <t>Iout_edgebuckboost</t>
  </si>
  <si>
    <t>LM5175EVM-HD PCB Layout</t>
  </si>
  <si>
    <t>LM5175EVM-HP PCB Layout</t>
  </si>
  <si>
    <t>LM5175EVM PCB Layout</t>
  </si>
  <si>
    <t>Selected SLOPE cap</t>
  </si>
  <si>
    <t>Calculated inductance for 30% ripple at VIN(min)</t>
  </si>
  <si>
    <t>Calculated inductance for 40% ripple at VIN(nom)</t>
  </si>
  <si>
    <t>Chosen inductance</t>
  </si>
  <si>
    <t>Chosen inductor DCR</t>
  </si>
  <si>
    <r>
      <rPr>
        <b/>
        <sz val="10"/>
        <rFont val="Arial"/>
        <family val="2"/>
      </rPr>
      <t>Peak</t>
    </r>
    <r>
      <rPr>
        <sz val="10"/>
        <rFont val="Arial"/>
        <family val="2"/>
      </rPr>
      <t xml:space="preserve"> inductor current at current limit inception (if operating in </t>
    </r>
    <r>
      <rPr>
        <b/>
        <sz val="10"/>
        <rFont val="Arial"/>
        <family val="2"/>
      </rPr>
      <t>boost</t>
    </r>
    <r>
      <rPr>
        <sz val="10"/>
        <rFont val="Arial"/>
        <family val="2"/>
      </rPr>
      <t>)</t>
    </r>
  </si>
  <si>
    <t>edge of buck-boost</t>
  </si>
  <si>
    <r>
      <rPr>
        <b/>
        <sz val="10"/>
        <rFont val="Arial"/>
        <family val="2"/>
      </rPr>
      <t>Peak</t>
    </r>
    <r>
      <rPr>
        <sz val="10"/>
        <rFont val="Arial"/>
        <family val="2"/>
      </rPr>
      <t xml:space="preserve"> inductor current limit in </t>
    </r>
    <r>
      <rPr>
        <b/>
        <sz val="10"/>
        <rFont val="Arial"/>
        <family val="2"/>
      </rPr>
      <t>BOOST</t>
    </r>
  </si>
  <si>
    <r>
      <rPr>
        <b/>
        <sz val="10"/>
        <rFont val="Arial"/>
        <family val="2"/>
      </rPr>
      <t>Valley</t>
    </r>
    <r>
      <rPr>
        <sz val="10"/>
        <rFont val="Arial"/>
        <family val="2"/>
      </rPr>
      <t xml:space="preserve"> inductor current limit in </t>
    </r>
    <r>
      <rPr>
        <b/>
        <sz val="10"/>
        <rFont val="Arial"/>
        <family val="2"/>
      </rPr>
      <t>BUCK</t>
    </r>
  </si>
  <si>
    <t>Shunt required to get OCP at VIN(min)</t>
  </si>
  <si>
    <t>Shunt required to get OCP at VIN(nom)</t>
  </si>
  <si>
    <t>Shunt required to get OCP at VIN(max)</t>
  </si>
  <si>
    <t>Ideal Rs for the required OCP -- based on 80mV or 160mV CL threshold</t>
  </si>
  <si>
    <t>Assume we'd like to achieve current limit particularly at VIN(min) and boost side of buck-boost region; accept inevitable variation over line thereafter</t>
  </si>
  <si>
    <t>Shunt required to get OCP at VIN(edge-bb)</t>
  </si>
  <si>
    <t>Edge of B-B</t>
  </si>
  <si>
    <t>lower edge of buck-boost window</t>
  </si>
  <si>
    <t>BUCK-BOOST</t>
  </si>
  <si>
    <r>
      <t xml:space="preserve">80mV </t>
    </r>
    <r>
      <rPr>
        <b/>
        <sz val="10"/>
        <rFont val="Symbol"/>
        <family val="1"/>
        <charset val="2"/>
      </rPr>
      <t>±</t>
    </r>
    <r>
      <rPr>
        <b/>
        <sz val="10"/>
        <rFont val="Arial"/>
        <family val="2"/>
      </rPr>
      <t xml:space="preserve"> 20%</t>
    </r>
  </si>
  <si>
    <r>
      <t xml:space="preserve">160mV </t>
    </r>
    <r>
      <rPr>
        <b/>
        <sz val="10"/>
        <rFont val="Symbol"/>
        <family val="1"/>
        <charset val="2"/>
      </rPr>
      <t>±</t>
    </r>
    <r>
      <rPr>
        <b/>
        <sz val="10"/>
        <rFont val="Arial"/>
        <family val="2"/>
      </rPr>
      <t xml:space="preserve"> 20%</t>
    </r>
  </si>
  <si>
    <t>Icinrms_VINmin</t>
  </si>
  <si>
    <t>Icinrms_VINnom</t>
  </si>
  <si>
    <t>Icinrms_VINmiax</t>
  </si>
  <si>
    <t>Max Cout rms current</t>
  </si>
  <si>
    <t xml:space="preserve">Resulting Input Voltage Ripple (max) </t>
  </si>
  <si>
    <t xml:space="preserve">Resulting Output Voltage Ripple (max) </t>
  </si>
  <si>
    <t xml:space="preserve">Output Capacitor RMS Current (max) </t>
  </si>
  <si>
    <t>Input Capacitor RMS Current (max)</t>
  </si>
  <si>
    <t>Max Cin rms current</t>
  </si>
  <si>
    <t>Input voltage ripple spec (pk-pk)</t>
  </si>
  <si>
    <t>Reported Coutmin</t>
  </si>
  <si>
    <t>Output Voltage Ripple Spec</t>
  </si>
  <si>
    <t>Input Voltage Ripple Spec</t>
  </si>
  <si>
    <t>Minimum Input Capacitance</t>
  </si>
  <si>
    <t>Ton_min_boost</t>
  </si>
  <si>
    <t>Period</t>
  </si>
  <si>
    <t>Ts</t>
  </si>
  <si>
    <t>VIN_boost_to_BB</t>
  </si>
  <si>
    <t>VIN_BB_to_boost</t>
  </si>
  <si>
    <t>Toff_min_buck</t>
  </si>
  <si>
    <t>200ns</t>
  </si>
  <si>
    <t>300ns</t>
  </si>
  <si>
    <t>VIN_BB_to_buck</t>
  </si>
  <si>
    <t>VIN_buck_to_BB</t>
  </si>
  <si>
    <t>D_min_boost</t>
  </si>
  <si>
    <t>buck min timer</t>
  </si>
  <si>
    <t>boost min timer</t>
  </si>
  <si>
    <t>D_max_buck_BB</t>
  </si>
  <si>
    <t>T_max_BB</t>
  </si>
  <si>
    <t>max timer before transition from BB</t>
  </si>
  <si>
    <t>D_max_buck_enterBB</t>
  </si>
  <si>
    <t>Ishunt_rms_Vinmin</t>
  </si>
  <si>
    <t>Ishunt_rms_Vinnom</t>
  </si>
  <si>
    <t>Ishunt_rms_Vinmax</t>
  </si>
  <si>
    <t>Max shunt power loss at full load</t>
  </si>
  <si>
    <t>Shunt Loss</t>
  </si>
  <si>
    <t>Cinmin_Vinmax</t>
  </si>
  <si>
    <t>Buck 50% typically worst case</t>
  </si>
  <si>
    <t>CinEsrMax_Vinmax</t>
  </si>
  <si>
    <t>CinEsrMax_50%D</t>
  </si>
  <si>
    <t>Cinmin_50%D</t>
  </si>
  <si>
    <t>Vinripple2_Vinmax</t>
  </si>
  <si>
    <t>Vinripple2_50%D</t>
  </si>
  <si>
    <t>Calculate ripple at Vinmax and 50% duty cycle (Vin = 2*Vout)</t>
  </si>
  <si>
    <t>Calculate cap at Vinmax and 50% duty cycle (Vin = 2*Vout)</t>
  </si>
  <si>
    <t>Calculate ESR at Vinmax and 50% duty cycle (Vin = 2*Vout)</t>
  </si>
  <si>
    <t>Step 7: Compensation</t>
  </si>
  <si>
    <t>Step 6b: Other Components - UVLO, Dither, MODE</t>
  </si>
  <si>
    <t>Step 6a: Soft Start</t>
  </si>
  <si>
    <t>…report highest of these</t>
  </si>
  <si>
    <t>…report this</t>
  </si>
  <si>
    <t>PLOT_TYPE</t>
  </si>
  <si>
    <r>
      <t>Full Load Output Current, I</t>
    </r>
    <r>
      <rPr>
        <b/>
        <vertAlign val="subscript"/>
        <sz val="10"/>
        <color theme="1"/>
        <rFont val="Arial"/>
        <family val="2"/>
      </rPr>
      <t>OUT(max)</t>
    </r>
  </si>
  <si>
    <t>BUCK-BOOST CONTROLLER POWER TOOL</t>
  </si>
  <si>
    <t>Transition Loss</t>
  </si>
  <si>
    <t>Total Control MOSFET Loss</t>
  </si>
  <si>
    <t>Total Sync MOSFET Loss</t>
  </si>
  <si>
    <r>
      <t>Q1/Q3 R</t>
    </r>
    <r>
      <rPr>
        <b/>
        <vertAlign val="subscript"/>
        <sz val="10"/>
        <rFont val="Arial"/>
        <family val="2"/>
      </rPr>
      <t>DS(on)</t>
    </r>
    <r>
      <rPr>
        <b/>
        <sz val="10"/>
        <rFont val="Arial"/>
        <family val="2"/>
      </rPr>
      <t xml:space="preserve"> Loss @ D = 100%</t>
    </r>
  </si>
  <si>
    <t>Pass FET</t>
  </si>
  <si>
    <t>Control FET Temp Rise</t>
  </si>
  <si>
    <t>Sync FET Temp Rise</t>
  </si>
  <si>
    <t>Core Loss</t>
  </si>
  <si>
    <t>Irms Lf</t>
  </si>
  <si>
    <t xml:space="preserve">High-side BUCK "Control" MOSFET Losses </t>
  </si>
  <si>
    <t xml:space="preserve">Low-side BUCK "Sync" MOSFET Losses </t>
  </si>
  <si>
    <t xml:space="preserve">Low-side BOOST "Control" MOSFET Losses </t>
  </si>
  <si>
    <t xml:space="preserve">High-side BOOST "Sync" MOSFET Losses </t>
  </si>
  <si>
    <t>Mode</t>
  </si>
  <si>
    <t>Operating Point Condtions</t>
  </si>
  <si>
    <t>Mode Digit</t>
  </si>
  <si>
    <t>D_max_exitBB_to_boost</t>
  </si>
  <si>
    <t>D_max_exitBB_to_buck</t>
  </si>
  <si>
    <t>Duty Cycle BOOST Leg</t>
  </si>
  <si>
    <t>Duty Cycle BUCK Leg</t>
  </si>
  <si>
    <t>Actual Duty Cycle BUCK Leg</t>
  </si>
  <si>
    <t>Actual Duty Cycle BOOST Leg</t>
  </si>
  <si>
    <t>D_min_boost_exitBB_to_buck</t>
  </si>
  <si>
    <t>Avg IL</t>
  </si>
  <si>
    <t>Quiescent Current of LM5175 Controller (Not Switching!)</t>
  </si>
  <si>
    <t>Total MOSFET Loss</t>
  </si>
  <si>
    <t>Full-load/high line efficiency</t>
  </si>
  <si>
    <t>Half-load/mid-line efficiency</t>
  </si>
  <si>
    <t>Low line efficiency</t>
  </si>
  <si>
    <t>θJA-MOSFET</t>
  </si>
  <si>
    <t>θJA</t>
  </si>
  <si>
    <t>10% load</t>
  </si>
  <si>
    <t>100% load</t>
  </si>
  <si>
    <t>50% load</t>
  </si>
  <si>
    <t>Low VIN</t>
  </si>
  <si>
    <t>High VIN</t>
  </si>
  <si>
    <t>Nom VIN</t>
  </si>
  <si>
    <r>
      <t xml:space="preserve">Efficiency vs </t>
    </r>
    <r>
      <rPr>
        <b/>
        <sz val="10"/>
        <rFont val="Arial"/>
        <family val="2"/>
      </rPr>
      <t>IOUT</t>
    </r>
    <r>
      <rPr>
        <sz val="10"/>
        <rFont val="Arial"/>
        <family val="2"/>
      </rPr>
      <t xml:space="preserve"> Plot</t>
    </r>
  </si>
  <si>
    <t>Efficiency vs VIN Plot</t>
  </si>
  <si>
    <t xml:space="preserve"> LM5175 Quickstart Design Tool</t>
  </si>
  <si>
    <t>http://www.ti.com/nexfet</t>
  </si>
  <si>
    <t>TSSOP-28</t>
  </si>
  <si>
    <r>
      <t>** For information on TI NexFET</t>
    </r>
    <r>
      <rPr>
        <vertAlign val="superscript"/>
        <sz val="10"/>
        <rFont val="Arial"/>
        <family val="2"/>
      </rPr>
      <t>TM</t>
    </r>
    <r>
      <rPr>
        <sz val="10"/>
        <rFont val="Arial"/>
        <family val="2"/>
      </rPr>
      <t xml:space="preserve"> MOSFETs, see **</t>
    </r>
  </si>
  <si>
    <t xml:space="preserve">   **</t>
  </si>
  <si>
    <t>VIN range</t>
  </si>
  <si>
    <t>DITHER Yes/No</t>
  </si>
  <si>
    <t>1 = Yes, 2 = No</t>
  </si>
  <si>
    <t>DITHER Disabled</t>
  </si>
  <si>
    <t>DITHER Enabled</t>
  </si>
  <si>
    <t>Modulating Frequency</t>
  </si>
  <si>
    <t>Worst case peak inductor current</t>
  </si>
  <si>
    <r>
      <t>Peak Inductor Current, I</t>
    </r>
    <r>
      <rPr>
        <vertAlign val="subscript"/>
        <sz val="10"/>
        <color theme="1"/>
        <rFont val="Arial"/>
        <family val="2"/>
      </rPr>
      <t>LPK</t>
    </r>
  </si>
  <si>
    <r>
      <t>V</t>
    </r>
    <r>
      <rPr>
        <b/>
        <vertAlign val="subscript"/>
        <sz val="10"/>
        <color theme="1"/>
        <rFont val="Arial"/>
        <family val="2"/>
      </rPr>
      <t>IN(nom)</t>
    </r>
  </si>
  <si>
    <t>dB</t>
  </si>
  <si>
    <t>EA Gain</t>
  </si>
  <si>
    <t>EA Gain (dB)</t>
  </si>
  <si>
    <t>Vijay edit: removed the derating.</t>
  </si>
  <si>
    <t>edited based on LM5176 curve fit.</t>
  </si>
  <si>
    <t>Vijay's edits 80 mV ± 15%.</t>
  </si>
  <si>
    <t>Restored to 50mV as ICTRL went away and the 25mV centering also went away.</t>
  </si>
  <si>
    <t>Vijay's edits. Used 120 mV ± 15% for min max. Check after char data to see if it is ok.</t>
  </si>
  <si>
    <t>Edited by Vijay from 96% to 90% to match datasheet calculations.</t>
  </si>
  <si>
    <t xml:space="preserve">Note: min/max are not really being used in calculations. So irrelevant if variation small.  </t>
  </si>
  <si>
    <t>Vijay's simplification</t>
  </si>
  <si>
    <t>Vijay's simplication to match datasheet calculation.</t>
  </si>
  <si>
    <t>Cc2 calculation updated to place at 5-10x the crossover. Vijay 10/7/2016</t>
  </si>
  <si>
    <t>Vijay Edit. Changed from Fcross/2 to 1.5x of Fp_dominant</t>
  </si>
  <si>
    <t>LM5176 DC/DC Controller Design Tool</t>
  </si>
  <si>
    <t>Vijay verified that this calculation (Vinmax) are correct for OCP.</t>
  </si>
  <si>
    <t>** Tie MODE to VCC (or voltage &gt; 2.4V) for No Hiccup **</t>
  </si>
  <si>
    <t>http://www.ti.com/product/lm5176</t>
  </si>
  <si>
    <t>LM5176</t>
  </si>
  <si>
    <t>IC, LM5176, Buck-Boost PWM Controller</t>
  </si>
  <si>
    <t>LM5176PWP</t>
  </si>
  <si>
    <t>Set Const Current Loop Setpoint (?)</t>
  </si>
  <si>
    <t>1.9uA kept by Vijay based on lab data (2017/5/05)</t>
  </si>
  <si>
    <t>changed to 4.95uA by Vijay on 5/5/2017</t>
  </si>
  <si>
    <t>4.95uA if UVLO =1.5V</t>
  </si>
  <si>
    <t>3.05uA hysteresis current</t>
  </si>
  <si>
    <t>Version Number</t>
  </si>
  <si>
    <t>1.0.0</t>
  </si>
  <si>
    <t>Version History</t>
  </si>
  <si>
    <t>Version</t>
  </si>
  <si>
    <t>Change List Description</t>
  </si>
  <si>
    <t>Initial Release</t>
  </si>
  <si>
    <t>1.0.1</t>
  </si>
  <si>
    <t>V 1.0.1</t>
  </si>
  <si>
    <t>Calculated inductance for 30% ripple at VIN(max)</t>
  </si>
  <si>
    <t>anerage of calculated inductances at VIN(min) and VIN(nom)</t>
  </si>
  <si>
    <t>Fixed display of comments, optimized proposal of inductor</t>
  </si>
  <si>
    <t>October 2022</t>
  </si>
  <si>
    <t>NA</t>
  </si>
  <si>
    <t>CSD19502Q5B</t>
  </si>
  <si>
    <t>CSD17573Q5B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</si>
</sst>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3" formatCode="_(* #,##0.00_);_(* \(#,##0.00\);_(* &quot;-&quot;??_);_(@_)"/>
    <numFmt numFmtId="164" formatCode="0.000000"/>
    <numFmt numFmtId="165" formatCode="0.00000"/>
    <numFmt numFmtId="166" formatCode="0.0000"/>
    <numFmt numFmtId="167" formatCode="0.000"/>
    <numFmt numFmtId="168" formatCode="0.0"/>
    <numFmt numFmtId="169" formatCode="0.000E+00"/>
    <numFmt numFmtId="170" formatCode="0.00000000"/>
    <numFmt numFmtId="171" formatCode="#0.0#"/>
    <numFmt numFmtId="172" formatCode="General&quot;nF&quot;"/>
    <numFmt numFmtId="173" formatCode="General&quot;k&quot;"/>
    <numFmt numFmtId="174" formatCode="General&quot;pF&quot;"/>
    <numFmt numFmtId="175" formatCode="General&quot;µF&quot;"/>
    <numFmt numFmtId="176" formatCode="&quot;Capacitor, Ceramic, &quot;General&quot;-µF, 25V, X5R, 20%&quot;"/>
    <numFmt numFmtId="177" formatCode="&quot;Capacitor, Ceramic, &quot;General&quot;-pF, 50V, NP0, 5%&quot;"/>
    <numFmt numFmtId="178" formatCode="&quot;Capacitor, Ceramic, &quot;General&quot;-nF, 16V, X7R, 10%&quot;"/>
    <numFmt numFmtId="179" formatCode="&quot;Capacitor, Ceramic, &quot;General&quot;-pF, 16V, X7R, 10%&quot;"/>
    <numFmt numFmtId="180" formatCode="&quot;Capacitor, Ceramic, &quot;General&quot;-µF, 25V, X7R, 20%&quot;"/>
    <numFmt numFmtId="181" formatCode="General&quot;µH&quot;"/>
    <numFmt numFmtId="182" formatCode="&quot;Inductor, &quot;General&quot;-µH, 10%&quot;"/>
    <numFmt numFmtId="183" formatCode="&quot;Resistor, Chip, &quot;General&quot;-kΩ, 1/16W, 1%&quot;"/>
    <numFmt numFmtId="184" formatCode="&quot;Resistor, Chip, &quot;General&quot;-Ω, 1/16W, 1%&quot;"/>
    <numFmt numFmtId="185" formatCode="0.E+00"/>
    <numFmt numFmtId="186" formatCode="0.0%"/>
    <numFmt numFmtId="187" formatCode="0.0E+00"/>
    <numFmt numFmtId="188" formatCode="&quot;MOSFET, N-CH, 60V, &quot;General&quot;mΩ&quot;"/>
    <numFmt numFmtId="189" formatCode="General&quot;m&quot;"/>
    <numFmt numFmtId="190" formatCode="&quot;Capacitor, Ceramic, &quot;General&quot;-µF, 50V, X7R, 20%&quot;"/>
    <numFmt numFmtId="191" formatCode="&quot;Capacitor, Ceramic, &quot;General&quot;-µF, 100V, X7R, 20%&quot;"/>
    <numFmt numFmtId="192" formatCode="&quot;Resistor, Chip, &quot;General&quot;-mΩ, 2W, 1%&quot;"/>
  </numFmts>
  <fonts count="9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22"/>
      <color indexed="44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vertAlign val="subscript"/>
      <sz val="10"/>
      <name val="Arial"/>
      <family val="2"/>
    </font>
    <font>
      <u/>
      <sz val="10"/>
      <color indexed="12"/>
      <name val="Arial"/>
      <family val="2"/>
    </font>
    <font>
      <b/>
      <sz val="16"/>
      <name val="Arial"/>
      <family val="2"/>
    </font>
    <font>
      <sz val="10"/>
      <color indexed="44"/>
      <name val="Arial"/>
      <family val="2"/>
    </font>
    <font>
      <b/>
      <sz val="28"/>
      <color indexed="44"/>
      <name val="Arial"/>
      <family val="2"/>
    </font>
    <font>
      <b/>
      <sz val="10"/>
      <color indexed="44"/>
      <name val="Arial"/>
      <family val="2"/>
    </font>
    <font>
      <sz val="10"/>
      <color indexed="8"/>
      <name val="Arial"/>
      <family val="2"/>
    </font>
    <font>
      <b/>
      <sz val="24"/>
      <color indexed="44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10"/>
      <color indexed="55"/>
      <name val="Calibri"/>
      <family val="2"/>
    </font>
    <font>
      <b/>
      <sz val="10"/>
      <color indexed="9"/>
      <name val="Calibri"/>
      <family val="2"/>
    </font>
    <font>
      <b/>
      <sz val="12"/>
      <color indexed="48"/>
      <name val="Arial"/>
      <family val="2"/>
    </font>
    <font>
      <b/>
      <sz val="12"/>
      <color indexed="12"/>
      <name val="Arial"/>
      <family val="2"/>
    </font>
    <font>
      <sz val="10"/>
      <color indexed="23"/>
      <name val="Calibri"/>
      <family val="2"/>
    </font>
    <font>
      <b/>
      <sz val="12"/>
      <color indexed="9"/>
      <name val="Calibri"/>
      <family val="2"/>
    </font>
    <font>
      <sz val="12"/>
      <name val="Calibri"/>
      <family val="2"/>
    </font>
    <font>
      <b/>
      <sz val="22"/>
      <color indexed="9"/>
      <name val="Calibri"/>
      <family val="2"/>
    </font>
    <font>
      <b/>
      <sz val="10"/>
      <color indexed="13"/>
      <name val="Calibri"/>
      <family val="2"/>
    </font>
    <font>
      <b/>
      <u/>
      <sz val="10"/>
      <color indexed="10"/>
      <name val="Arial"/>
      <family val="2"/>
    </font>
    <font>
      <sz val="10"/>
      <color indexed="56"/>
      <name val="Calibri"/>
      <family val="2"/>
    </font>
    <font>
      <sz val="10"/>
      <color indexed="8"/>
      <name val="Arial"/>
      <family val="2"/>
    </font>
    <font>
      <b/>
      <sz val="14"/>
      <color indexed="9"/>
      <name val="Calibri"/>
      <family val="2"/>
    </font>
    <font>
      <sz val="11"/>
      <color indexed="81"/>
      <name val="Tahoma"/>
      <family val="2"/>
    </font>
    <font>
      <b/>
      <i/>
      <sz val="14"/>
      <color indexed="12"/>
      <name val="Calibri"/>
      <family val="2"/>
    </font>
    <font>
      <b/>
      <sz val="8"/>
      <color indexed="81"/>
      <name val="Tahoma"/>
      <family val="2"/>
    </font>
    <font>
      <b/>
      <sz val="9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81"/>
      <name val="Tahoma"/>
      <family val="2"/>
    </font>
    <font>
      <sz val="9"/>
      <color indexed="81"/>
      <name val="Tahoma"/>
      <family val="2"/>
    </font>
    <font>
      <b/>
      <u/>
      <sz val="8"/>
      <color indexed="81"/>
      <name val="Tahoma"/>
      <family val="2"/>
    </font>
    <font>
      <b/>
      <u/>
      <sz val="9"/>
      <color indexed="81"/>
      <name val="Tahoma"/>
      <family val="2"/>
    </font>
    <font>
      <b/>
      <sz val="9"/>
      <color indexed="10"/>
      <name val="Tahoma"/>
      <family val="2"/>
    </font>
    <font>
      <sz val="10"/>
      <color indexed="81"/>
      <name val="Tahoma"/>
      <family val="2"/>
    </font>
    <font>
      <sz val="9"/>
      <color indexed="39"/>
      <name val="Tahoma"/>
      <family val="2"/>
    </font>
    <font>
      <b/>
      <sz val="9"/>
      <color indexed="39"/>
      <name val="Tahoma"/>
      <family val="2"/>
    </font>
    <font>
      <b/>
      <vertAlign val="subscript"/>
      <sz val="9"/>
      <color indexed="81"/>
      <name val="Tahoma"/>
      <family val="2"/>
    </font>
    <font>
      <vertAlign val="subscript"/>
      <sz val="9"/>
      <color indexed="81"/>
      <name val="Tahoma"/>
      <family val="2"/>
    </font>
    <font>
      <b/>
      <sz val="8"/>
      <color indexed="10"/>
      <name val="Tahoma"/>
      <family val="2"/>
    </font>
    <font>
      <b/>
      <vertAlign val="subscript"/>
      <sz val="10"/>
      <color indexed="81"/>
      <name val="Tahoma"/>
      <family val="2"/>
    </font>
    <font>
      <vertAlign val="subscript"/>
      <sz val="10"/>
      <color indexed="81"/>
      <name val="Tahoma"/>
      <family val="2"/>
    </font>
    <font>
      <sz val="10"/>
      <color indexed="81"/>
      <name val="Calibri"/>
      <family val="2"/>
    </font>
    <font>
      <sz val="36"/>
      <color rgb="FFFF0000"/>
      <name val="Arial"/>
      <family val="2"/>
    </font>
    <font>
      <sz val="32"/>
      <color theme="0"/>
      <name val="Arial"/>
      <family val="2"/>
    </font>
    <font>
      <sz val="16"/>
      <color theme="0"/>
      <name val="Arial"/>
      <family val="2"/>
    </font>
    <font>
      <b/>
      <vertAlign val="subscript"/>
      <sz val="10"/>
      <name val="Arial"/>
      <family val="2"/>
    </font>
    <font>
      <sz val="10"/>
      <color indexed="23"/>
      <name val="Arial"/>
      <family val="2"/>
    </font>
    <font>
      <sz val="10"/>
      <color indexed="55"/>
      <name val="Arial"/>
      <family val="2"/>
    </font>
    <font>
      <b/>
      <i/>
      <sz val="10"/>
      <color indexed="55"/>
      <name val="Arial"/>
      <family val="2"/>
    </font>
    <font>
      <b/>
      <i/>
      <sz val="14"/>
      <color indexed="12"/>
      <name val="Arial"/>
      <family val="2"/>
    </font>
    <font>
      <b/>
      <sz val="10"/>
      <color indexed="8"/>
      <name val="Arial"/>
      <family val="2"/>
    </font>
    <font>
      <b/>
      <sz val="14"/>
      <color indexed="9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vertAlign val="subscript"/>
      <sz val="10"/>
      <color theme="1"/>
      <name val="Arial"/>
      <family val="2"/>
    </font>
    <font>
      <b/>
      <sz val="10"/>
      <color rgb="FF0000FF"/>
      <name val="Arial"/>
      <family val="2"/>
    </font>
    <font>
      <sz val="10"/>
      <color rgb="FF0000FF"/>
      <name val="Arial"/>
      <family val="2"/>
    </font>
    <font>
      <sz val="10"/>
      <color rgb="FF0000FF"/>
      <name val="Calibri"/>
      <family val="2"/>
    </font>
    <font>
      <b/>
      <vertAlign val="subscript"/>
      <sz val="10"/>
      <color rgb="FF0000FF"/>
      <name val="Arial"/>
      <family val="2"/>
    </font>
    <font>
      <b/>
      <sz val="12"/>
      <color rgb="FF003366"/>
      <name val="Calibri"/>
      <family val="2"/>
    </font>
    <font>
      <sz val="10"/>
      <name val="Symbol"/>
      <family val="1"/>
      <charset val="2"/>
    </font>
    <font>
      <b/>
      <sz val="10"/>
      <color indexed="9"/>
      <name val="Arial"/>
      <family val="2"/>
    </font>
    <font>
      <b/>
      <sz val="12"/>
      <color rgb="FF0000FF"/>
      <name val="Arial"/>
      <family val="2"/>
    </font>
    <font>
      <b/>
      <u/>
      <sz val="10"/>
      <name val="Arial"/>
      <family val="2"/>
    </font>
    <font>
      <u/>
      <sz val="9"/>
      <color indexed="12"/>
      <name val="Tahoma"/>
      <family val="2"/>
    </font>
    <font>
      <vertAlign val="superscript"/>
      <sz val="10"/>
      <name val="Arial"/>
      <family val="2"/>
    </font>
    <font>
      <vertAlign val="subscript"/>
      <sz val="10"/>
      <color theme="1"/>
      <name val="Arial"/>
      <family val="2"/>
    </font>
    <font>
      <u/>
      <sz val="9"/>
      <color indexed="81"/>
      <name val="Tahoma"/>
      <family val="2"/>
    </font>
    <font>
      <b/>
      <sz val="11"/>
      <name val="Arial"/>
      <family val="2"/>
    </font>
    <font>
      <sz val="10"/>
      <color rgb="FFFF0000"/>
      <name val="Arial"/>
      <family val="2"/>
    </font>
    <font>
      <vertAlign val="subscript"/>
      <sz val="10"/>
      <color rgb="FFFF0000"/>
      <name val="Arial"/>
      <family val="2"/>
    </font>
    <font>
      <b/>
      <sz val="10"/>
      <name val="Symbol"/>
      <family val="1"/>
      <charset val="2"/>
    </font>
    <font>
      <b/>
      <i/>
      <u/>
      <sz val="10"/>
      <color rgb="FF0000FF"/>
      <name val="Arial"/>
      <family val="2"/>
    </font>
    <font>
      <sz val="10"/>
      <color theme="0"/>
      <name val="Arial"/>
      <family val="2"/>
    </font>
    <font>
      <u/>
      <sz val="10"/>
      <color theme="0" tint="-0.499984740745262"/>
      <name val="Arial"/>
      <family val="2"/>
    </font>
    <font>
      <b/>
      <sz val="12"/>
      <color indexed="10"/>
      <name val="Tahoma"/>
      <family val="2"/>
    </font>
    <font>
      <b/>
      <sz val="10"/>
      <color rgb="FFFF00FF"/>
      <name val="Arial"/>
      <family val="2"/>
    </font>
    <font>
      <b/>
      <sz val="10"/>
      <color rgb="FFC00000"/>
      <name val="Arial"/>
      <family val="2"/>
    </font>
    <font>
      <b/>
      <vertAlign val="subscript"/>
      <sz val="9"/>
      <color indexed="10"/>
      <name val="Tahoma"/>
      <family val="2"/>
    </font>
    <font>
      <b/>
      <sz val="9"/>
      <color indexed="14"/>
      <name val="Tahoma"/>
      <family val="2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u/>
      <sz val="10"/>
      <color theme="10"/>
      <name val="Arial"/>
      <family val="2"/>
    </font>
    <font>
      <b/>
      <sz val="10"/>
      <color theme="0"/>
      <name val="Arial"/>
      <family val="2"/>
    </font>
    <font>
      <b/>
      <u/>
      <sz val="11"/>
      <color theme="1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E0000"/>
        <bgColor indexed="64"/>
      </patternFill>
    </fill>
  </fills>
  <borders count="8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55"/>
      </top>
      <bottom/>
      <diagonal/>
    </border>
    <border>
      <left/>
      <right/>
      <top/>
      <bottom style="medium">
        <color indexed="55"/>
      </bottom>
      <diagonal/>
    </border>
    <border>
      <left/>
      <right style="medium">
        <color indexed="55"/>
      </right>
      <top style="medium">
        <color indexed="55"/>
      </top>
      <bottom/>
      <diagonal/>
    </border>
    <border>
      <left/>
      <right style="medium">
        <color indexed="55"/>
      </right>
      <top/>
      <bottom/>
      <diagonal/>
    </border>
    <border>
      <left/>
      <right style="medium">
        <color indexed="55"/>
      </right>
      <top/>
      <bottom style="medium">
        <color indexed="55"/>
      </bottom>
      <diagonal/>
    </border>
    <border>
      <left style="medium">
        <color indexed="55"/>
      </left>
      <right/>
      <top style="medium">
        <color indexed="55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55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55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8">
    <xf numFmtId="0" fontId="0" fillId="0" borderId="0"/>
    <xf numFmtId="43" fontId="3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94" fillId="0" borderId="0" applyNumberFormat="0" applyFill="0" applyBorder="0" applyAlignment="0" applyProtection="0"/>
  </cellStyleXfs>
  <cellXfs count="747">
    <xf numFmtId="0" fontId="0" fillId="0" borderId="0" xfId="0"/>
    <xf numFmtId="0" fontId="8" fillId="0" borderId="0" xfId="0" applyFont="1"/>
    <xf numFmtId="0" fontId="4" fillId="0" borderId="0" xfId="0" applyFont="1"/>
    <xf numFmtId="0" fontId="9" fillId="0" borderId="0" xfId="0" applyFont="1"/>
    <xf numFmtId="2" fontId="0" fillId="0" borderId="0" xfId="0" applyNumberFormat="1"/>
    <xf numFmtId="0" fontId="0" fillId="2" borderId="0" xfId="0" applyFill="1"/>
    <xf numFmtId="0" fontId="0" fillId="3" borderId="0" xfId="0" applyFill="1"/>
    <xf numFmtId="0" fontId="4" fillId="2" borderId="0" xfId="0" applyFont="1" applyFill="1"/>
    <xf numFmtId="169" fontId="0" fillId="0" borderId="0" xfId="0" applyNumberFormat="1"/>
    <xf numFmtId="10" fontId="0" fillId="0" borderId="0" xfId="0" applyNumberFormat="1"/>
    <xf numFmtId="0" fontId="15" fillId="3" borderId="0" xfId="0" applyFont="1" applyFill="1" applyAlignment="1">
      <alignment horizontal="right"/>
    </xf>
    <xf numFmtId="0" fontId="15" fillId="3" borderId="0" xfId="0" applyFont="1" applyFill="1"/>
    <xf numFmtId="0" fontId="0" fillId="4" borderId="2" xfId="0" applyFill="1" applyBorder="1"/>
    <xf numFmtId="0" fontId="17" fillId="3" borderId="4" xfId="0" applyFont="1" applyFill="1" applyBorder="1"/>
    <xf numFmtId="0" fontId="4" fillId="5" borderId="8" xfId="0" applyFont="1" applyFill="1" applyBorder="1"/>
    <xf numFmtId="0" fontId="4" fillId="5" borderId="9" xfId="0" applyFont="1" applyFill="1" applyBorder="1"/>
    <xf numFmtId="0" fontId="4" fillId="5" borderId="10" xfId="0" applyFont="1" applyFill="1" applyBorder="1"/>
    <xf numFmtId="0" fontId="4" fillId="5" borderId="11" xfId="0" applyFont="1" applyFill="1" applyBorder="1"/>
    <xf numFmtId="0" fontId="9" fillId="0" borderId="0" xfId="0" applyFont="1" applyProtection="1">
      <protection locked="0"/>
    </xf>
    <xf numFmtId="0" fontId="0" fillId="0" borderId="0" xfId="0" applyProtection="1">
      <protection locked="0"/>
    </xf>
    <xf numFmtId="0" fontId="0" fillId="6" borderId="12" xfId="0" applyFill="1" applyBorder="1"/>
    <xf numFmtId="0" fontId="0" fillId="0" borderId="11" xfId="0" applyBorder="1"/>
    <xf numFmtId="0" fontId="0" fillId="6" borderId="11" xfId="0" applyFill="1" applyBorder="1"/>
    <xf numFmtId="0" fontId="0" fillId="4" borderId="11" xfId="0" applyFill="1" applyBorder="1"/>
    <xf numFmtId="0" fontId="4" fillId="5" borderId="0" xfId="0" applyFont="1" applyFill="1"/>
    <xf numFmtId="0" fontId="0" fillId="6" borderId="0" xfId="0" applyFill="1"/>
    <xf numFmtId="0" fontId="0" fillId="0" borderId="13" xfId="0" applyBorder="1"/>
    <xf numFmtId="0" fontId="9" fillId="2" borderId="0" xfId="0" applyFont="1" applyFill="1"/>
    <xf numFmtId="0" fontId="0" fillId="6" borderId="13" xfId="0" applyFill="1" applyBorder="1"/>
    <xf numFmtId="0" fontId="0" fillId="4" borderId="0" xfId="0" applyFill="1"/>
    <xf numFmtId="11" fontId="0" fillId="0" borderId="0" xfId="0" applyNumberFormat="1"/>
    <xf numFmtId="0" fontId="13" fillId="3" borderId="0" xfId="0" applyFont="1" applyFill="1"/>
    <xf numFmtId="0" fontId="0" fillId="4" borderId="12" xfId="0" applyFill="1" applyBorder="1"/>
    <xf numFmtId="0" fontId="0" fillId="4" borderId="14" xfId="0" applyFill="1" applyBorder="1"/>
    <xf numFmtId="0" fontId="4" fillId="4" borderId="11" xfId="0" applyFont="1" applyFill="1" applyBorder="1"/>
    <xf numFmtId="0" fontId="0" fillId="6" borderId="8" xfId="0" applyFill="1" applyBorder="1"/>
    <xf numFmtId="0" fontId="0" fillId="4" borderId="8" xfId="0" applyFill="1" applyBorder="1"/>
    <xf numFmtId="0" fontId="4" fillId="5" borderId="4" xfId="0" applyFont="1" applyFill="1" applyBorder="1"/>
    <xf numFmtId="0" fontId="0" fillId="2" borderId="14" xfId="0" applyFill="1" applyBorder="1"/>
    <xf numFmtId="0" fontId="0" fillId="2" borderId="13" xfId="0" applyFill="1" applyBorder="1"/>
    <xf numFmtId="0" fontId="0" fillId="2" borderId="12" xfId="0" applyFill="1" applyBorder="1"/>
    <xf numFmtId="0" fontId="0" fillId="8" borderId="0" xfId="0" applyFill="1"/>
    <xf numFmtId="0" fontId="16" fillId="0" borderId="0" xfId="0" applyFont="1"/>
    <xf numFmtId="0" fontId="0" fillId="10" borderId="0" xfId="0" applyFill="1"/>
    <xf numFmtId="0" fontId="0" fillId="0" borderId="0" xfId="0" applyAlignment="1">
      <alignment horizontal="right"/>
    </xf>
    <xf numFmtId="0" fontId="18" fillId="0" borderId="0" xfId="0" applyFont="1"/>
    <xf numFmtId="11" fontId="8" fillId="0" borderId="0" xfId="0" applyNumberFormat="1" applyFont="1"/>
    <xf numFmtId="0" fontId="0" fillId="11" borderId="0" xfId="0" applyFill="1"/>
    <xf numFmtId="168" fontId="0" fillId="0" borderId="0" xfId="0" applyNumberFormat="1"/>
    <xf numFmtId="0" fontId="4" fillId="0" borderId="0" xfId="0" applyFont="1" applyAlignment="1">
      <alignment horizontal="center"/>
    </xf>
    <xf numFmtId="0" fontId="4" fillId="4" borderId="0" xfId="0" applyFont="1" applyFill="1" applyAlignment="1">
      <alignment horizontal="center"/>
    </xf>
    <xf numFmtId="0" fontId="4" fillId="12" borderId="0" xfId="0" applyFont="1" applyFill="1" applyAlignment="1">
      <alignment horizontal="center"/>
    </xf>
    <xf numFmtId="0" fontId="4" fillId="13" borderId="0" xfId="0" applyFont="1" applyFill="1" applyAlignment="1">
      <alignment horizontal="center"/>
    </xf>
    <xf numFmtId="165" fontId="0" fillId="0" borderId="0" xfId="0" applyNumberFormat="1"/>
    <xf numFmtId="171" fontId="18" fillId="3" borderId="0" xfId="0" applyNumberFormat="1" applyFont="1" applyFill="1" applyAlignment="1">
      <alignment horizontal="center"/>
    </xf>
    <xf numFmtId="171" fontId="26" fillId="3" borderId="0" xfId="0" applyNumberFormat="1" applyFont="1" applyFill="1" applyAlignment="1">
      <alignment horizontal="center"/>
    </xf>
    <xf numFmtId="0" fontId="0" fillId="0" borderId="28" xfId="0" applyBorder="1"/>
    <xf numFmtId="0" fontId="0" fillId="0" borderId="29" xfId="0" applyBorder="1"/>
    <xf numFmtId="0" fontId="9" fillId="0" borderId="28" xfId="0" applyFont="1" applyBorder="1"/>
    <xf numFmtId="0" fontId="0" fillId="13" borderId="0" xfId="0" applyFill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2" xfId="0" applyBorder="1"/>
    <xf numFmtId="0" fontId="0" fillId="0" borderId="3" xfId="0" applyBorder="1"/>
    <xf numFmtId="0" fontId="8" fillId="0" borderId="28" xfId="0" applyFont="1" applyBorder="1"/>
    <xf numFmtId="0" fontId="4" fillId="0" borderId="28" xfId="0" applyFont="1" applyBorder="1"/>
    <xf numFmtId="11" fontId="0" fillId="13" borderId="0" xfId="0" applyNumberFormat="1" applyFill="1"/>
    <xf numFmtId="0" fontId="0" fillId="12" borderId="0" xfId="0" applyFill="1"/>
    <xf numFmtId="11" fontId="0" fillId="12" borderId="0" xfId="0" applyNumberFormat="1" applyFill="1"/>
    <xf numFmtId="0" fontId="0" fillId="0" borderId="31" xfId="0" applyBorder="1" applyAlignment="1">
      <alignment horizontal="right"/>
    </xf>
    <xf numFmtId="11" fontId="8" fillId="0" borderId="31" xfId="0" applyNumberFormat="1" applyFont="1" applyBorder="1"/>
    <xf numFmtId="11" fontId="0" fillId="4" borderId="0" xfId="0" applyNumberFormat="1" applyFill="1"/>
    <xf numFmtId="0" fontId="0" fillId="2" borderId="0" xfId="0" applyFill="1" applyProtection="1">
      <protection locked="0"/>
    </xf>
    <xf numFmtId="0" fontId="0" fillId="2" borderId="11" xfId="0" applyFill="1" applyBorder="1" applyProtection="1">
      <protection locked="0"/>
    </xf>
    <xf numFmtId="0" fontId="0" fillId="9" borderId="0" xfId="0" applyFill="1"/>
    <xf numFmtId="0" fontId="0" fillId="0" borderId="8" xfId="0" applyBorder="1"/>
    <xf numFmtId="0" fontId="0" fillId="4" borderId="13" xfId="0" applyFill="1" applyBorder="1"/>
    <xf numFmtId="0" fontId="0" fillId="7" borderId="11" xfId="0" applyFill="1" applyBorder="1"/>
    <xf numFmtId="0" fontId="16" fillId="7" borderId="11" xfId="0" applyFont="1" applyFill="1" applyBorder="1"/>
    <xf numFmtId="0" fontId="9" fillId="7" borderId="11" xfId="0" applyFont="1" applyFill="1" applyBorder="1"/>
    <xf numFmtId="0" fontId="9" fillId="9" borderId="11" xfId="0" applyFont="1" applyFill="1" applyBorder="1"/>
    <xf numFmtId="0" fontId="18" fillId="3" borderId="0" xfId="0" applyFont="1" applyFill="1"/>
    <xf numFmtId="0" fontId="19" fillId="9" borderId="0" xfId="0" applyFont="1" applyFill="1"/>
    <xf numFmtId="0" fontId="18" fillId="9" borderId="0" xfId="0" applyFont="1" applyFill="1" applyAlignment="1">
      <alignment horizontal="right"/>
    </xf>
    <xf numFmtId="0" fontId="19" fillId="9" borderId="0" xfId="0" applyFont="1" applyFill="1" applyAlignment="1">
      <alignment horizontal="right"/>
    </xf>
    <xf numFmtId="0" fontId="18" fillId="9" borderId="0" xfId="0" applyFont="1" applyFill="1"/>
    <xf numFmtId="0" fontId="26" fillId="15" borderId="19" xfId="0" applyFont="1" applyFill="1" applyBorder="1"/>
    <xf numFmtId="0" fontId="26" fillId="15" borderId="20" xfId="0" applyFont="1" applyFill="1" applyBorder="1"/>
    <xf numFmtId="0" fontId="26" fillId="3" borderId="0" xfId="0" applyFont="1" applyFill="1"/>
    <xf numFmtId="0" fontId="18" fillId="9" borderId="0" xfId="0" applyFont="1" applyFill="1" applyAlignment="1">
      <alignment horizontal="center"/>
    </xf>
    <xf numFmtId="0" fontId="18" fillId="9" borderId="0" xfId="0" applyFont="1" applyFill="1" applyAlignment="1">
      <alignment horizontal="left"/>
    </xf>
    <xf numFmtId="0" fontId="22" fillId="0" borderId="0" xfId="0" applyFont="1"/>
    <xf numFmtId="0" fontId="0" fillId="0" borderId="1" xfId="0" applyBorder="1"/>
    <xf numFmtId="0" fontId="4" fillId="0" borderId="1" xfId="0" applyFont="1" applyBorder="1"/>
    <xf numFmtId="0" fontId="0" fillId="0" borderId="2" xfId="0" applyBorder="1" applyAlignment="1">
      <alignment horizontal="right"/>
    </xf>
    <xf numFmtId="0" fontId="23" fillId="0" borderId="0" xfId="0" applyFont="1"/>
    <xf numFmtId="0" fontId="31" fillId="0" borderId="0" xfId="0" applyFont="1"/>
    <xf numFmtId="0" fontId="31" fillId="4" borderId="0" xfId="0" applyFont="1" applyFill="1"/>
    <xf numFmtId="0" fontId="22" fillId="0" borderId="38" xfId="0" applyFont="1" applyBorder="1"/>
    <xf numFmtId="0" fontId="0" fillId="0" borderId="33" xfId="0" applyBorder="1"/>
    <xf numFmtId="0" fontId="0" fillId="0" borderId="35" xfId="0" applyBorder="1"/>
    <xf numFmtId="0" fontId="9" fillId="0" borderId="39" xfId="0" applyFont="1" applyBorder="1"/>
    <xf numFmtId="0" fontId="0" fillId="0" borderId="36" xfId="0" applyBorder="1"/>
    <xf numFmtId="0" fontId="31" fillId="0" borderId="39" xfId="0" applyFont="1" applyBorder="1"/>
    <xf numFmtId="0" fontId="31" fillId="0" borderId="40" xfId="0" applyFont="1" applyBorder="1"/>
    <xf numFmtId="0" fontId="31" fillId="0" borderId="34" xfId="0" applyFont="1" applyBorder="1"/>
    <xf numFmtId="0" fontId="0" fillId="0" borderId="34" xfId="0" applyBorder="1"/>
    <xf numFmtId="0" fontId="0" fillId="0" borderId="37" xfId="0" applyBorder="1"/>
    <xf numFmtId="0" fontId="9" fillId="0" borderId="31" xfId="0" applyFont="1" applyBorder="1"/>
    <xf numFmtId="0" fontId="9" fillId="13" borderId="0" xfId="0" applyFont="1" applyFill="1"/>
    <xf numFmtId="0" fontId="18" fillId="9" borderId="29" xfId="0" applyFont="1" applyFill="1" applyBorder="1"/>
    <xf numFmtId="0" fontId="20" fillId="9" borderId="0" xfId="0" applyFont="1" applyFill="1"/>
    <xf numFmtId="167" fontId="18" fillId="9" borderId="0" xfId="0" applyNumberFormat="1" applyFont="1" applyFill="1"/>
    <xf numFmtId="170" fontId="18" fillId="9" borderId="0" xfId="0" applyNumberFormat="1" applyFont="1" applyFill="1"/>
    <xf numFmtId="166" fontId="18" fillId="9" borderId="0" xfId="0" applyNumberFormat="1" applyFont="1" applyFill="1"/>
    <xf numFmtId="2" fontId="31" fillId="12" borderId="0" xfId="0" applyNumberFormat="1" applyFont="1" applyFill="1"/>
    <xf numFmtId="0" fontId="18" fillId="16" borderId="0" xfId="0" applyFont="1" applyFill="1"/>
    <xf numFmtId="0" fontId="3" fillId="0" borderId="0" xfId="0" applyFont="1"/>
    <xf numFmtId="2" fontId="3" fillId="0" borderId="0" xfId="0" quotePrefix="1" applyNumberFormat="1" applyFont="1"/>
    <xf numFmtId="0" fontId="0" fillId="0" borderId="0" xfId="0" applyAlignment="1">
      <alignment horizontal="left"/>
    </xf>
    <xf numFmtId="0" fontId="3" fillId="0" borderId="2" xfId="0" applyFont="1" applyBorder="1"/>
    <xf numFmtId="0" fontId="3" fillId="0" borderId="31" xfId="0" applyFont="1" applyBorder="1"/>
    <xf numFmtId="0" fontId="34" fillId="9" borderId="0" xfId="0" applyFont="1" applyFill="1"/>
    <xf numFmtId="0" fontId="21" fillId="19" borderId="0" xfId="0" applyFont="1" applyFill="1" applyAlignment="1">
      <alignment vertical="center"/>
    </xf>
    <xf numFmtId="0" fontId="0" fillId="18" borderId="0" xfId="0" applyFill="1"/>
    <xf numFmtId="0" fontId="54" fillId="18" borderId="0" xfId="0" applyFont="1" applyFill="1"/>
    <xf numFmtId="0" fontId="24" fillId="9" borderId="0" xfId="0" applyFont="1" applyFill="1" applyAlignment="1">
      <alignment horizontal="right"/>
    </xf>
    <xf numFmtId="0" fontId="4" fillId="9" borderId="0" xfId="0" applyFont="1" applyFill="1" applyAlignment="1">
      <alignment horizontal="right"/>
    </xf>
    <xf numFmtId="0" fontId="3" fillId="9" borderId="0" xfId="0" applyFont="1" applyFill="1" applyAlignment="1">
      <alignment horizontal="right"/>
    </xf>
    <xf numFmtId="0" fontId="3" fillId="9" borderId="31" xfId="0" applyFont="1" applyFill="1" applyBorder="1" applyAlignment="1">
      <alignment horizontal="right"/>
    </xf>
    <xf numFmtId="0" fontId="3" fillId="9" borderId="28" xfId="0" applyFont="1" applyFill="1" applyBorder="1"/>
    <xf numFmtId="0" fontId="3" fillId="9" borderId="0" xfId="0" applyFont="1" applyFill="1"/>
    <xf numFmtId="0" fontId="4" fillId="19" borderId="0" xfId="0" applyFont="1" applyFill="1" applyProtection="1">
      <protection locked="0"/>
    </xf>
    <xf numFmtId="0" fontId="57" fillId="9" borderId="0" xfId="0" applyFont="1" applyFill="1"/>
    <xf numFmtId="1" fontId="4" fillId="19" borderId="0" xfId="0" applyNumberFormat="1" applyFont="1" applyFill="1" applyProtection="1">
      <protection locked="0"/>
    </xf>
    <xf numFmtId="0" fontId="58" fillId="9" borderId="0" xfId="0" applyFont="1" applyFill="1"/>
    <xf numFmtId="0" fontId="7" fillId="9" borderId="0" xfId="0" applyFont="1" applyFill="1" applyAlignment="1">
      <alignment horizontal="right"/>
    </xf>
    <xf numFmtId="0" fontId="56" fillId="9" borderId="0" xfId="0" applyFont="1" applyFill="1"/>
    <xf numFmtId="0" fontId="59" fillId="9" borderId="0" xfId="0" applyFont="1" applyFill="1"/>
    <xf numFmtId="0" fontId="4" fillId="9" borderId="0" xfId="0" applyFont="1" applyFill="1"/>
    <xf numFmtId="168" fontId="4" fillId="9" borderId="0" xfId="0" applyNumberFormat="1" applyFont="1" applyFill="1"/>
    <xf numFmtId="0" fontId="3" fillId="16" borderId="0" xfId="0" applyFont="1" applyFill="1"/>
    <xf numFmtId="0" fontId="4" fillId="9" borderId="28" xfId="0" applyFont="1" applyFill="1" applyBorder="1"/>
    <xf numFmtId="0" fontId="59" fillId="16" borderId="0" xfId="0" applyFont="1" applyFill="1"/>
    <xf numFmtId="1" fontId="56" fillId="9" borderId="0" xfId="0" applyNumberFormat="1" applyFont="1" applyFill="1" applyAlignment="1">
      <alignment horizontal="right"/>
    </xf>
    <xf numFmtId="0" fontId="61" fillId="15" borderId="19" xfId="0" applyFont="1" applyFill="1" applyBorder="1"/>
    <xf numFmtId="0" fontId="59" fillId="9" borderId="0" xfId="0" applyFont="1" applyFill="1" applyAlignment="1">
      <alignment vertical="center"/>
    </xf>
    <xf numFmtId="0" fontId="8" fillId="9" borderId="0" xfId="0" applyFont="1" applyFill="1" applyAlignment="1">
      <alignment horizontal="right"/>
    </xf>
    <xf numFmtId="168" fontId="8" fillId="9" borderId="0" xfId="0" applyNumberFormat="1" applyFont="1" applyFill="1"/>
    <xf numFmtId="0" fontId="8" fillId="9" borderId="0" xfId="0" applyFont="1" applyFill="1"/>
    <xf numFmtId="0" fontId="3" fillId="16" borderId="0" xfId="0" applyFont="1" applyFill="1" applyAlignment="1">
      <alignment horizontal="left"/>
    </xf>
    <xf numFmtId="1" fontId="3" fillId="16" borderId="0" xfId="0" applyNumberFormat="1" applyFont="1" applyFill="1" applyAlignment="1">
      <alignment horizontal="right"/>
    </xf>
    <xf numFmtId="0" fontId="4" fillId="9" borderId="0" xfId="0" applyFont="1" applyFill="1" applyAlignment="1">
      <alignment horizontal="left"/>
    </xf>
    <xf numFmtId="0" fontId="62" fillId="9" borderId="0" xfId="0" applyFont="1" applyFill="1"/>
    <xf numFmtId="0" fontId="3" fillId="9" borderId="0" xfId="0" applyFont="1" applyFill="1" applyAlignment="1">
      <alignment horizontal="left"/>
    </xf>
    <xf numFmtId="0" fontId="60" fillId="19" borderId="0" xfId="0" applyFont="1" applyFill="1" applyAlignment="1" applyProtection="1">
      <alignment horizontal="right"/>
      <protection locked="0" hidden="1"/>
    </xf>
    <xf numFmtId="0" fontId="63" fillId="15" borderId="19" xfId="0" applyFont="1" applyFill="1" applyBorder="1"/>
    <xf numFmtId="0" fontId="23" fillId="9" borderId="28" xfId="0" applyFont="1" applyFill="1" applyBorder="1"/>
    <xf numFmtId="1" fontId="3" fillId="9" borderId="0" xfId="0" applyNumberFormat="1" applyFont="1" applyFill="1"/>
    <xf numFmtId="0" fontId="65" fillId="9" borderId="0" xfId="0" applyFont="1" applyFill="1" applyAlignment="1">
      <alignment horizontal="right"/>
    </xf>
    <xf numFmtId="0" fontId="3" fillId="9" borderId="2" xfId="0" applyFont="1" applyFill="1" applyBorder="1"/>
    <xf numFmtId="0" fontId="3" fillId="9" borderId="2" xfId="0" applyFont="1" applyFill="1" applyBorder="1" applyAlignment="1">
      <alignment horizontal="right"/>
    </xf>
    <xf numFmtId="0" fontId="65" fillId="9" borderId="2" xfId="0" applyFont="1" applyFill="1" applyBorder="1" applyAlignment="1">
      <alignment horizontal="right"/>
    </xf>
    <xf numFmtId="0" fontId="4" fillId="9" borderId="3" xfId="0" applyFont="1" applyFill="1" applyBorder="1"/>
    <xf numFmtId="0" fontId="4" fillId="9" borderId="29" xfId="0" applyFont="1" applyFill="1" applyBorder="1"/>
    <xf numFmtId="0" fontId="3" fillId="9" borderId="30" xfId="0" applyFont="1" applyFill="1" applyBorder="1"/>
    <xf numFmtId="0" fontId="3" fillId="9" borderId="31" xfId="0" applyFont="1" applyFill="1" applyBorder="1"/>
    <xf numFmtId="0" fontId="3" fillId="9" borderId="32" xfId="0" applyFont="1" applyFill="1" applyBorder="1"/>
    <xf numFmtId="0" fontId="3" fillId="9" borderId="3" xfId="0" applyFont="1" applyFill="1" applyBorder="1"/>
    <xf numFmtId="0" fontId="3" fillId="9" borderId="29" xfId="0" applyFont="1" applyFill="1" applyBorder="1"/>
    <xf numFmtId="168" fontId="3" fillId="9" borderId="31" xfId="0" applyNumberFormat="1" applyFont="1" applyFill="1" applyBorder="1"/>
    <xf numFmtId="0" fontId="4" fillId="9" borderId="2" xfId="0" applyFont="1" applyFill="1" applyBorder="1"/>
    <xf numFmtId="0" fontId="4" fillId="9" borderId="2" xfId="0" applyFont="1" applyFill="1" applyBorder="1" applyAlignment="1">
      <alignment horizontal="right"/>
    </xf>
    <xf numFmtId="1" fontId="4" fillId="19" borderId="2" xfId="0" applyNumberFormat="1" applyFont="1" applyFill="1" applyBorder="1" applyProtection="1">
      <protection locked="0"/>
    </xf>
    <xf numFmtId="0" fontId="3" fillId="16" borderId="41" xfId="0" applyFont="1" applyFill="1" applyBorder="1" applyAlignment="1">
      <alignment horizontal="left"/>
    </xf>
    <xf numFmtId="0" fontId="60" fillId="19" borderId="41" xfId="0" applyFont="1" applyFill="1" applyBorder="1" applyAlignment="1" applyProtection="1">
      <alignment horizontal="right"/>
      <protection locked="0" hidden="1"/>
    </xf>
    <xf numFmtId="0" fontId="60" fillId="9" borderId="42" xfId="0" applyFont="1" applyFill="1" applyBorder="1" applyAlignment="1">
      <alignment horizontal="left"/>
    </xf>
    <xf numFmtId="0" fontId="60" fillId="9" borderId="29" xfId="0" applyFont="1" applyFill="1" applyBorder="1" applyAlignment="1">
      <alignment horizontal="left"/>
    </xf>
    <xf numFmtId="0" fontId="4" fillId="9" borderId="43" xfId="0" applyFont="1" applyFill="1" applyBorder="1" applyAlignment="1">
      <alignment horizontal="center"/>
    </xf>
    <xf numFmtId="0" fontId="4" fillId="9" borderId="28" xfId="0" applyFont="1" applyFill="1" applyBorder="1" applyAlignment="1">
      <alignment horizontal="center"/>
    </xf>
    <xf numFmtId="0" fontId="4" fillId="9" borderId="43" xfId="0" applyFont="1" applyFill="1" applyBorder="1"/>
    <xf numFmtId="0" fontId="4" fillId="9" borderId="41" xfId="0" applyFont="1" applyFill="1" applyBorder="1"/>
    <xf numFmtId="0" fontId="3" fillId="9" borderId="41" xfId="0" applyFont="1" applyFill="1" applyBorder="1"/>
    <xf numFmtId="0" fontId="3" fillId="9" borderId="42" xfId="0" applyFont="1" applyFill="1" applyBorder="1"/>
    <xf numFmtId="0" fontId="3" fillId="9" borderId="41" xfId="0" applyFont="1" applyFill="1" applyBorder="1" applyAlignment="1">
      <alignment vertical="center"/>
    </xf>
    <xf numFmtId="0" fontId="3" fillId="9" borderId="45" xfId="0" applyFont="1" applyFill="1" applyBorder="1"/>
    <xf numFmtId="0" fontId="4" fillId="9" borderId="45" xfId="0" applyFont="1" applyFill="1" applyBorder="1" applyAlignment="1">
      <alignment horizontal="right"/>
    </xf>
    <xf numFmtId="0" fontId="3" fillId="9" borderId="46" xfId="0" applyFont="1" applyFill="1" applyBorder="1"/>
    <xf numFmtId="0" fontId="3" fillId="16" borderId="45" xfId="0" applyFont="1" applyFill="1" applyBorder="1" applyAlignment="1">
      <alignment horizontal="left"/>
    </xf>
    <xf numFmtId="0" fontId="60" fillId="19" borderId="45" xfId="0" applyFont="1" applyFill="1" applyBorder="1" applyAlignment="1" applyProtection="1">
      <alignment horizontal="right"/>
      <protection locked="0" hidden="1"/>
    </xf>
    <xf numFmtId="0" fontId="60" fillId="9" borderId="46" xfId="0" applyFont="1" applyFill="1" applyBorder="1" applyAlignment="1">
      <alignment horizontal="left"/>
    </xf>
    <xf numFmtId="168" fontId="3" fillId="9" borderId="41" xfId="0" applyNumberFormat="1" applyFont="1" applyFill="1" applyBorder="1" applyAlignment="1">
      <alignment horizontal="left" vertical="center"/>
    </xf>
    <xf numFmtId="1" fontId="3" fillId="9" borderId="45" xfId="0" applyNumberFormat="1" applyFont="1" applyFill="1" applyBorder="1" applyAlignment="1">
      <alignment horizontal="left" vertical="center"/>
    </xf>
    <xf numFmtId="0" fontId="23" fillId="9" borderId="28" xfId="0" applyFont="1" applyFill="1" applyBorder="1" applyAlignment="1">
      <alignment vertical="center"/>
    </xf>
    <xf numFmtId="0" fontId="3" fillId="9" borderId="43" xfId="0" applyFont="1" applyFill="1" applyBorder="1"/>
    <xf numFmtId="0" fontId="3" fillId="16" borderId="28" xfId="0" applyFont="1" applyFill="1" applyBorder="1"/>
    <xf numFmtId="1" fontId="4" fillId="16" borderId="28" xfId="0" applyNumberFormat="1" applyFont="1" applyFill="1" applyBorder="1" applyAlignment="1">
      <alignment horizontal="right" vertical="center"/>
    </xf>
    <xf numFmtId="0" fontId="61" fillId="15" borderId="47" xfId="0" applyFont="1" applyFill="1" applyBorder="1"/>
    <xf numFmtId="0" fontId="18" fillId="3" borderId="28" xfId="0" applyFont="1" applyFill="1" applyBorder="1"/>
    <xf numFmtId="171" fontId="18" fillId="18" borderId="0" xfId="0" applyNumberFormat="1" applyFont="1" applyFill="1" applyAlignment="1">
      <alignment horizontal="center"/>
    </xf>
    <xf numFmtId="0" fontId="18" fillId="18" borderId="0" xfId="0" applyFont="1" applyFill="1"/>
    <xf numFmtId="171" fontId="26" fillId="18" borderId="0" xfId="0" applyNumberFormat="1" applyFont="1" applyFill="1" applyAlignment="1">
      <alignment horizontal="center"/>
    </xf>
    <xf numFmtId="0" fontId="26" fillId="18" borderId="0" xfId="0" applyFont="1" applyFill="1"/>
    <xf numFmtId="0" fontId="3" fillId="16" borderId="0" xfId="0" applyFont="1" applyFill="1" applyProtection="1">
      <protection locked="0"/>
    </xf>
    <xf numFmtId="0" fontId="3" fillId="9" borderId="44" xfId="0" applyFont="1" applyFill="1" applyBorder="1"/>
    <xf numFmtId="0" fontId="4" fillId="9" borderId="45" xfId="0" applyFont="1" applyFill="1" applyBorder="1"/>
    <xf numFmtId="0" fontId="3" fillId="9" borderId="48" xfId="0" applyFont="1" applyFill="1" applyBorder="1"/>
    <xf numFmtId="0" fontId="69" fillId="9" borderId="0" xfId="0" applyFont="1" applyFill="1"/>
    <xf numFmtId="0" fontId="69" fillId="9" borderId="29" xfId="0" applyFont="1" applyFill="1" applyBorder="1"/>
    <xf numFmtId="171" fontId="69" fillId="18" borderId="0" xfId="0" applyNumberFormat="1" applyFont="1" applyFill="1" applyAlignment="1">
      <alignment horizontal="center"/>
    </xf>
    <xf numFmtId="0" fontId="69" fillId="18" borderId="0" xfId="0" applyFont="1" applyFill="1"/>
    <xf numFmtId="171" fontId="69" fillId="3" borderId="0" xfId="0" applyNumberFormat="1" applyFont="1" applyFill="1" applyAlignment="1">
      <alignment horizontal="center"/>
    </xf>
    <xf numFmtId="0" fontId="69" fillId="3" borderId="0" xfId="0" applyFont="1" applyFill="1"/>
    <xf numFmtId="0" fontId="67" fillId="9" borderId="41" xfId="0" applyFont="1" applyFill="1" applyBorder="1" applyAlignment="1">
      <alignment horizontal="right"/>
    </xf>
    <xf numFmtId="0" fontId="3" fillId="16" borderId="31" xfId="0" applyFont="1" applyFill="1" applyBorder="1"/>
    <xf numFmtId="0" fontId="18" fillId="9" borderId="31" xfId="0" applyFont="1" applyFill="1" applyBorder="1"/>
    <xf numFmtId="0" fontId="18" fillId="9" borderId="32" xfId="0" applyFont="1" applyFill="1" applyBorder="1"/>
    <xf numFmtId="0" fontId="68" fillId="9" borderId="28" xfId="0" applyFont="1" applyFill="1" applyBorder="1" applyAlignment="1">
      <alignment vertical="center"/>
    </xf>
    <xf numFmtId="0" fontId="67" fillId="9" borderId="0" xfId="0" applyFont="1" applyFill="1" applyAlignment="1">
      <alignment horizontal="right" vertical="center"/>
    </xf>
    <xf numFmtId="168" fontId="67" fillId="9" borderId="45" xfId="0" applyNumberFormat="1" applyFont="1" applyFill="1" applyBorder="1" applyAlignment="1">
      <alignment horizontal="center" vertical="center"/>
    </xf>
    <xf numFmtId="0" fontId="67" fillId="0" borderId="0" xfId="0" applyFont="1" applyAlignment="1">
      <alignment horizontal="left" vertical="center"/>
    </xf>
    <xf numFmtId="0" fontId="3" fillId="0" borderId="1" xfId="0" applyFont="1" applyBorder="1"/>
    <xf numFmtId="0" fontId="3" fillId="0" borderId="28" xfId="0" applyFont="1" applyBorder="1"/>
    <xf numFmtId="2" fontId="0" fillId="0" borderId="0" xfId="0" applyNumberFormat="1" applyAlignment="1">
      <alignment horizontal="right"/>
    </xf>
    <xf numFmtId="0" fontId="72" fillId="0" borderId="0" xfId="0" applyFont="1"/>
    <xf numFmtId="0" fontId="3" fillId="9" borderId="0" xfId="3" applyFill="1"/>
    <xf numFmtId="49" fontId="3" fillId="9" borderId="0" xfId="3" applyNumberFormat="1" applyFill="1"/>
    <xf numFmtId="0" fontId="12" fillId="9" borderId="0" xfId="3" applyFont="1" applyFill="1" applyAlignment="1">
      <alignment vertical="center"/>
    </xf>
    <xf numFmtId="0" fontId="3" fillId="20" borderId="18" xfId="3" applyFill="1" applyBorder="1" applyAlignment="1">
      <alignment horizontal="center" vertical="center"/>
    </xf>
    <xf numFmtId="0" fontId="3" fillId="9" borderId="18" xfId="3" applyFill="1" applyBorder="1" applyAlignment="1">
      <alignment horizontal="center" vertical="center"/>
    </xf>
    <xf numFmtId="0" fontId="3" fillId="9" borderId="11" xfId="3" applyFill="1" applyBorder="1" applyAlignment="1">
      <alignment vertical="center" wrapText="1"/>
    </xf>
    <xf numFmtId="0" fontId="3" fillId="9" borderId="11" xfId="3" applyFill="1" applyBorder="1" applyAlignment="1">
      <alignment horizontal="left" vertical="center"/>
    </xf>
    <xf numFmtId="0" fontId="3" fillId="9" borderId="0" xfId="3" applyFill="1" applyAlignment="1">
      <alignment vertical="center"/>
    </xf>
    <xf numFmtId="49" fontId="3" fillId="9" borderId="0" xfId="3" applyNumberFormat="1" applyFill="1" applyAlignment="1">
      <alignment vertical="center"/>
    </xf>
    <xf numFmtId="0" fontId="3" fillId="21" borderId="18" xfId="3" applyFill="1" applyBorder="1" applyAlignment="1">
      <alignment horizontal="center" vertical="center"/>
    </xf>
    <xf numFmtId="0" fontId="3" fillId="21" borderId="11" xfId="3" applyFill="1" applyBorder="1" applyAlignment="1">
      <alignment vertical="center" wrapText="1"/>
    </xf>
    <xf numFmtId="173" fontId="3" fillId="21" borderId="11" xfId="3" applyNumberFormat="1" applyFill="1" applyBorder="1" applyAlignment="1">
      <alignment horizontal="center" vertical="center"/>
    </xf>
    <xf numFmtId="0" fontId="3" fillId="21" borderId="11" xfId="3" quotePrefix="1" applyFill="1" applyBorder="1" applyAlignment="1">
      <alignment horizontal="left" vertical="center"/>
    </xf>
    <xf numFmtId="0" fontId="3" fillId="21" borderId="11" xfId="3" applyFill="1" applyBorder="1" applyAlignment="1">
      <alignment horizontal="left" vertical="center"/>
    </xf>
    <xf numFmtId="0" fontId="3" fillId="16" borderId="18" xfId="3" applyFill="1" applyBorder="1" applyAlignment="1">
      <alignment horizontal="center" vertical="center"/>
    </xf>
    <xf numFmtId="0" fontId="3" fillId="16" borderId="11" xfId="3" applyFill="1" applyBorder="1" applyAlignment="1">
      <alignment vertical="center" wrapText="1"/>
    </xf>
    <xf numFmtId="173" fontId="3" fillId="16" borderId="11" xfId="3" applyNumberFormat="1" applyFill="1" applyBorder="1" applyAlignment="1">
      <alignment horizontal="center" vertical="center"/>
    </xf>
    <xf numFmtId="0" fontId="3" fillId="16" borderId="11" xfId="3" quotePrefix="1" applyFill="1" applyBorder="1" applyAlignment="1">
      <alignment horizontal="left" vertical="center"/>
    </xf>
    <xf numFmtId="0" fontId="3" fillId="16" borderId="11" xfId="3" applyFill="1" applyBorder="1" applyAlignment="1">
      <alignment horizontal="left" vertical="center"/>
    </xf>
    <xf numFmtId="175" fontId="3" fillId="9" borderId="11" xfId="3" applyNumberFormat="1" applyFill="1" applyBorder="1" applyAlignment="1">
      <alignment horizontal="center" vertical="center"/>
    </xf>
    <xf numFmtId="0" fontId="3" fillId="9" borderId="15" xfId="3" applyFill="1" applyBorder="1" applyAlignment="1">
      <alignment horizontal="left" vertical="center"/>
    </xf>
    <xf numFmtId="49" fontId="3" fillId="9" borderId="11" xfId="3" applyNumberFormat="1" applyFill="1" applyBorder="1" applyAlignment="1">
      <alignment horizontal="left" vertical="center"/>
    </xf>
    <xf numFmtId="0" fontId="3" fillId="20" borderId="11" xfId="3" applyFill="1" applyBorder="1" applyAlignment="1">
      <alignment vertical="center" wrapText="1"/>
    </xf>
    <xf numFmtId="174" fontId="3" fillId="20" borderId="11" xfId="3" applyNumberFormat="1" applyFill="1" applyBorder="1" applyAlignment="1">
      <alignment horizontal="center" vertical="center"/>
    </xf>
    <xf numFmtId="0" fontId="3" fillId="20" borderId="15" xfId="3" applyFill="1" applyBorder="1" applyAlignment="1">
      <alignment horizontal="left" vertical="center"/>
    </xf>
    <xf numFmtId="0" fontId="3" fillId="20" borderId="11" xfId="3" quotePrefix="1" applyFill="1" applyBorder="1" applyAlignment="1">
      <alignment horizontal="left" vertical="center"/>
    </xf>
    <xf numFmtId="0" fontId="3" fillId="20" borderId="11" xfId="3" applyFill="1" applyBorder="1" applyAlignment="1">
      <alignment horizontal="left" vertical="center"/>
    </xf>
    <xf numFmtId="174" fontId="3" fillId="16" borderId="11" xfId="3" applyNumberFormat="1" applyFill="1" applyBorder="1" applyAlignment="1">
      <alignment horizontal="center" vertical="center"/>
    </xf>
    <xf numFmtId="0" fontId="3" fillId="16" borderId="15" xfId="3" applyFill="1" applyBorder="1" applyAlignment="1">
      <alignment horizontal="left" vertical="center"/>
    </xf>
    <xf numFmtId="175" fontId="3" fillId="16" borderId="11" xfId="3" applyNumberFormat="1" applyFill="1" applyBorder="1" applyAlignment="1">
      <alignment horizontal="center" vertical="center"/>
    </xf>
    <xf numFmtId="175" fontId="3" fillId="20" borderId="11" xfId="3" applyNumberFormat="1" applyFill="1" applyBorder="1" applyAlignment="1">
      <alignment horizontal="center" vertical="center"/>
    </xf>
    <xf numFmtId="172" fontId="3" fillId="20" borderId="11" xfId="3" applyNumberFormat="1" applyFill="1" applyBorder="1" applyAlignment="1">
      <alignment horizontal="center" vertical="center"/>
    </xf>
    <xf numFmtId="0" fontId="3" fillId="16" borderId="11" xfId="3" applyFill="1" applyBorder="1" applyAlignment="1">
      <alignment horizontal="center" vertical="center"/>
    </xf>
    <xf numFmtId="49" fontId="3" fillId="16" borderId="11" xfId="3" applyNumberFormat="1" applyFill="1" applyBorder="1" applyAlignment="1">
      <alignment horizontal="left" vertical="center"/>
    </xf>
    <xf numFmtId="181" fontId="3" fillId="20" borderId="11" xfId="3" applyNumberFormat="1" applyFill="1" applyBorder="1" applyAlignment="1">
      <alignment horizontal="center" vertical="center"/>
    </xf>
    <xf numFmtId="0" fontId="3" fillId="16" borderId="0" xfId="3" applyFill="1"/>
    <xf numFmtId="49" fontId="3" fillId="16" borderId="0" xfId="3" applyNumberFormat="1" applyFill="1"/>
    <xf numFmtId="0" fontId="4" fillId="19" borderId="45" xfId="0" applyFont="1" applyFill="1" applyBorder="1" applyProtection="1">
      <protection locked="0"/>
    </xf>
    <xf numFmtId="0" fontId="4" fillId="19" borderId="0" xfId="0" applyFont="1" applyFill="1" applyAlignment="1" applyProtection="1">
      <alignment horizontal="right"/>
      <protection locked="0"/>
    </xf>
    <xf numFmtId="0" fontId="4" fillId="19" borderId="45" xfId="0" applyFont="1" applyFill="1" applyBorder="1" applyAlignment="1" applyProtection="1">
      <alignment horizontal="right"/>
      <protection locked="0"/>
    </xf>
    <xf numFmtId="0" fontId="74" fillId="16" borderId="0" xfId="0" applyFont="1" applyFill="1"/>
    <xf numFmtId="168" fontId="4" fillId="19" borderId="0" xfId="0" applyNumberFormat="1" applyFont="1" applyFill="1" applyProtection="1">
      <protection locked="0"/>
    </xf>
    <xf numFmtId="0" fontId="4" fillId="9" borderId="0" xfId="3" applyFont="1" applyFill="1"/>
    <xf numFmtId="0" fontId="62" fillId="9" borderId="41" xfId="0" applyFont="1" applyFill="1" applyBorder="1" applyProtection="1">
      <protection locked="0"/>
    </xf>
    <xf numFmtId="1" fontId="0" fillId="4" borderId="0" xfId="0" applyNumberFormat="1" applyFill="1"/>
    <xf numFmtId="0" fontId="3" fillId="9" borderId="0" xfId="0" applyFont="1" applyFill="1" applyAlignment="1">
      <alignment vertical="center"/>
    </xf>
    <xf numFmtId="0" fontId="3" fillId="9" borderId="28" xfId="0" applyFont="1" applyFill="1" applyBorder="1" applyAlignment="1">
      <alignment vertical="center"/>
    </xf>
    <xf numFmtId="0" fontId="3" fillId="9" borderId="0" xfId="0" applyFont="1" applyFill="1" applyAlignment="1">
      <alignment horizontal="right" vertical="center"/>
    </xf>
    <xf numFmtId="168" fontId="3" fillId="9" borderId="0" xfId="0" applyNumberFormat="1" applyFont="1" applyFill="1" applyAlignment="1">
      <alignment vertical="center"/>
    </xf>
    <xf numFmtId="0" fontId="3" fillId="9" borderId="29" xfId="0" applyFont="1" applyFill="1" applyBorder="1" applyAlignment="1">
      <alignment vertical="center"/>
    </xf>
    <xf numFmtId="1" fontId="3" fillId="9" borderId="0" xfId="0" applyNumberFormat="1" applyFont="1" applyFill="1" applyAlignment="1">
      <alignment vertical="center"/>
    </xf>
    <xf numFmtId="0" fontId="3" fillId="9" borderId="30" xfId="0" applyFont="1" applyFill="1" applyBorder="1" applyAlignment="1">
      <alignment vertical="center"/>
    </xf>
    <xf numFmtId="0" fontId="3" fillId="9" borderId="31" xfId="0" applyFont="1" applyFill="1" applyBorder="1" applyAlignment="1">
      <alignment vertical="center"/>
    </xf>
    <xf numFmtId="0" fontId="3" fillId="9" borderId="31" xfId="0" applyFont="1" applyFill="1" applyBorder="1" applyAlignment="1">
      <alignment horizontal="right" vertical="center"/>
    </xf>
    <xf numFmtId="1" fontId="3" fillId="9" borderId="31" xfId="0" applyNumberFormat="1" applyFont="1" applyFill="1" applyBorder="1" applyAlignment="1">
      <alignment vertical="center"/>
    </xf>
    <xf numFmtId="0" fontId="3" fillId="9" borderId="32" xfId="0" applyFont="1" applyFill="1" applyBorder="1" applyAlignment="1">
      <alignment vertical="center"/>
    </xf>
    <xf numFmtId="0" fontId="3" fillId="9" borderId="43" xfId="0" applyFont="1" applyFill="1" applyBorder="1" applyAlignment="1">
      <alignment vertical="center"/>
    </xf>
    <xf numFmtId="0" fontId="3" fillId="9" borderId="2" xfId="0" applyFont="1" applyFill="1" applyBorder="1" applyAlignment="1">
      <alignment vertical="center"/>
    </xf>
    <xf numFmtId="0" fontId="3" fillId="9" borderId="2" xfId="0" applyFont="1" applyFill="1" applyBorder="1" applyAlignment="1">
      <alignment horizontal="right" vertical="center"/>
    </xf>
    <xf numFmtId="0" fontId="65" fillId="9" borderId="2" xfId="0" applyFont="1" applyFill="1" applyBorder="1" applyAlignment="1">
      <alignment horizontal="right" vertical="center"/>
    </xf>
    <xf numFmtId="0" fontId="4" fillId="19" borderId="2" xfId="0" applyFont="1" applyFill="1" applyBorder="1" applyAlignment="1" applyProtection="1">
      <alignment vertical="center"/>
      <protection locked="0"/>
    </xf>
    <xf numFmtId="0" fontId="4" fillId="9" borderId="3" xfId="0" applyFont="1" applyFill="1" applyBorder="1" applyAlignment="1">
      <alignment vertical="center"/>
    </xf>
    <xf numFmtId="0" fontId="65" fillId="9" borderId="0" xfId="0" applyFont="1" applyFill="1" applyAlignment="1">
      <alignment horizontal="right" vertical="center"/>
    </xf>
    <xf numFmtId="0" fontId="4" fillId="19" borderId="0" xfId="0" applyFont="1" applyFill="1" applyAlignment="1" applyProtection="1">
      <alignment vertical="center"/>
      <protection locked="0"/>
    </xf>
    <xf numFmtId="0" fontId="4" fillId="9" borderId="29" xfId="0" applyFont="1" applyFill="1" applyBorder="1" applyAlignment="1">
      <alignment vertical="center"/>
    </xf>
    <xf numFmtId="1" fontId="4" fillId="19" borderId="0" xfId="0" applyNumberFormat="1" applyFont="1" applyFill="1" applyAlignment="1" applyProtection="1">
      <alignment vertical="center"/>
      <protection locked="0"/>
    </xf>
    <xf numFmtId="0" fontId="65" fillId="16" borderId="2" xfId="0" applyFont="1" applyFill="1" applyBorder="1" applyAlignment="1">
      <alignment horizontal="right" vertical="center"/>
    </xf>
    <xf numFmtId="1" fontId="3" fillId="9" borderId="0" xfId="0" applyNumberFormat="1" applyFont="1" applyFill="1" applyAlignment="1">
      <alignment horizontal="right" vertical="center"/>
    </xf>
    <xf numFmtId="0" fontId="65" fillId="16" borderId="0" xfId="0" applyFont="1" applyFill="1" applyAlignment="1">
      <alignment horizontal="right" vertical="center"/>
    </xf>
    <xf numFmtId="0" fontId="4" fillId="9" borderId="0" xfId="0" applyFont="1" applyFill="1" applyAlignment="1">
      <alignment vertical="center"/>
    </xf>
    <xf numFmtId="0" fontId="4" fillId="9" borderId="0" xfId="0" applyFont="1" applyFill="1" applyAlignment="1">
      <alignment horizontal="right" vertical="center"/>
    </xf>
    <xf numFmtId="0" fontId="4" fillId="19" borderId="0" xfId="0" applyFont="1" applyFill="1" applyAlignment="1" applyProtection="1">
      <alignment horizontal="right" vertical="center"/>
      <protection locked="0"/>
    </xf>
    <xf numFmtId="0" fontId="3" fillId="9" borderId="45" xfId="0" applyFont="1" applyFill="1" applyBorder="1" applyAlignment="1">
      <alignment horizontal="right" vertical="center"/>
    </xf>
    <xf numFmtId="2" fontId="3" fillId="9" borderId="0" xfId="0" applyNumberFormat="1" applyFont="1" applyFill="1" applyAlignment="1">
      <alignment horizontal="right" vertical="center"/>
    </xf>
    <xf numFmtId="0" fontId="3" fillId="9" borderId="44" xfId="0" applyFont="1" applyFill="1" applyBorder="1" applyAlignment="1">
      <alignment vertical="center"/>
    </xf>
    <xf numFmtId="0" fontId="3" fillId="9" borderId="45" xfId="0" applyFont="1" applyFill="1" applyBorder="1" applyAlignment="1">
      <alignment vertical="center"/>
    </xf>
    <xf numFmtId="0" fontId="3" fillId="9" borderId="46" xfId="0" applyFont="1" applyFill="1" applyBorder="1" applyAlignment="1">
      <alignment vertical="center"/>
    </xf>
    <xf numFmtId="0" fontId="3" fillId="9" borderId="3" xfId="0" applyFont="1" applyFill="1" applyBorder="1" applyAlignment="1">
      <alignment vertical="center"/>
    </xf>
    <xf numFmtId="1" fontId="65" fillId="19" borderId="0" xfId="0" applyNumberFormat="1" applyFont="1" applyFill="1" applyAlignment="1" applyProtection="1">
      <alignment horizontal="right" vertical="center"/>
      <protection locked="0"/>
    </xf>
    <xf numFmtId="0" fontId="4" fillId="9" borderId="29" xfId="0" applyFont="1" applyFill="1" applyBorder="1" applyAlignment="1">
      <alignment horizontal="left" vertical="center"/>
    </xf>
    <xf numFmtId="0" fontId="65" fillId="19" borderId="0" xfId="0" applyFont="1" applyFill="1" applyAlignment="1" applyProtection="1">
      <alignment vertical="center"/>
      <protection locked="0"/>
    </xf>
    <xf numFmtId="2" fontId="8" fillId="12" borderId="2" xfId="0" applyNumberFormat="1" applyFont="1" applyFill="1" applyBorder="1"/>
    <xf numFmtId="2" fontId="8" fillId="12" borderId="0" xfId="0" applyNumberFormat="1" applyFont="1" applyFill="1"/>
    <xf numFmtId="11" fontId="8" fillId="12" borderId="0" xfId="0" applyNumberFormat="1" applyFont="1" applyFill="1"/>
    <xf numFmtId="169" fontId="8" fillId="12" borderId="0" xfId="0" applyNumberFormat="1" applyFont="1" applyFill="1"/>
    <xf numFmtId="0" fontId="0" fillId="0" borderId="41" xfId="0" applyBorder="1"/>
    <xf numFmtId="0" fontId="0" fillId="22" borderId="0" xfId="0" applyFill="1"/>
    <xf numFmtId="0" fontId="3" fillId="0" borderId="0" xfId="0" applyFont="1" applyAlignment="1">
      <alignment horizontal="right"/>
    </xf>
    <xf numFmtId="0" fontId="4" fillId="0" borderId="41" xfId="0" applyFont="1" applyBorder="1" applyAlignment="1">
      <alignment horizontal="right"/>
    </xf>
    <xf numFmtId="0" fontId="4" fillId="0" borderId="31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41" xfId="0" applyFont="1" applyBorder="1"/>
    <xf numFmtId="0" fontId="4" fillId="0" borderId="31" xfId="0" applyFont="1" applyBorder="1"/>
    <xf numFmtId="0" fontId="4" fillId="0" borderId="0" xfId="0" applyFont="1" applyAlignment="1">
      <alignment horizontal="left"/>
    </xf>
    <xf numFmtId="167" fontId="8" fillId="12" borderId="0" xfId="0" applyNumberFormat="1" applyFont="1" applyFill="1"/>
    <xf numFmtId="167" fontId="9" fillId="12" borderId="0" xfId="0" applyNumberFormat="1" applyFont="1" applyFill="1"/>
    <xf numFmtId="167" fontId="4" fillId="22" borderId="2" xfId="0" applyNumberFormat="1" applyFont="1" applyFill="1" applyBorder="1"/>
    <xf numFmtId="0" fontId="4" fillId="19" borderId="2" xfId="0" applyFont="1" applyFill="1" applyBorder="1" applyProtection="1">
      <protection locked="0"/>
    </xf>
    <xf numFmtId="0" fontId="64" fillId="16" borderId="0" xfId="0" applyFont="1" applyFill="1" applyAlignment="1">
      <alignment horizontal="center"/>
    </xf>
    <xf numFmtId="168" fontId="3" fillId="9" borderId="0" xfId="0" applyNumberFormat="1" applyFont="1" applyFill="1"/>
    <xf numFmtId="2" fontId="0" fillId="13" borderId="0" xfId="0" applyNumberFormat="1" applyFill="1"/>
    <xf numFmtId="2" fontId="0" fillId="22" borderId="0" xfId="0" applyNumberFormat="1" applyFill="1"/>
    <xf numFmtId="1" fontId="0" fillId="12" borderId="0" xfId="0" applyNumberFormat="1" applyFill="1"/>
    <xf numFmtId="166" fontId="0" fillId="22" borderId="0" xfId="0" applyNumberFormat="1" applyFill="1"/>
    <xf numFmtId="166" fontId="0" fillId="12" borderId="0" xfId="0" applyNumberFormat="1" applyFill="1"/>
    <xf numFmtId="3" fontId="0" fillId="12" borderId="0" xfId="0" applyNumberFormat="1" applyFill="1"/>
    <xf numFmtId="1" fontId="0" fillId="22" borderId="0" xfId="0" applyNumberFormat="1" applyFill="1"/>
    <xf numFmtId="1" fontId="0" fillId="0" borderId="0" xfId="0" applyNumberFormat="1"/>
    <xf numFmtId="1" fontId="0" fillId="24" borderId="0" xfId="0" applyNumberFormat="1" applyFill="1"/>
    <xf numFmtId="166" fontId="0" fillId="0" borderId="0" xfId="0" applyNumberFormat="1"/>
    <xf numFmtId="0" fontId="0" fillId="23" borderId="0" xfId="0" applyFill="1"/>
    <xf numFmtId="168" fontId="0" fillId="22" borderId="0" xfId="0" applyNumberFormat="1" applyFill="1"/>
    <xf numFmtId="0" fontId="3" fillId="0" borderId="41" xfId="0" applyFont="1" applyBorder="1"/>
    <xf numFmtId="168" fontId="0" fillId="12" borderId="2" xfId="0" applyNumberFormat="1" applyFill="1" applyBorder="1"/>
    <xf numFmtId="0" fontId="3" fillId="0" borderId="30" xfId="0" applyFont="1" applyBorder="1"/>
    <xf numFmtId="0" fontId="8" fillId="0" borderId="31" xfId="0" applyFont="1" applyBorder="1"/>
    <xf numFmtId="0" fontId="4" fillId="0" borderId="54" xfId="0" applyFont="1" applyBorder="1"/>
    <xf numFmtId="0" fontId="0" fillId="24" borderId="0" xfId="0" applyFill="1"/>
    <xf numFmtId="0" fontId="16" fillId="0" borderId="34" xfId="0" applyFont="1" applyBorder="1"/>
    <xf numFmtId="0" fontId="3" fillId="0" borderId="0" xfId="3"/>
    <xf numFmtId="0" fontId="3" fillId="0" borderId="18" xfId="3" applyBorder="1" applyAlignment="1">
      <alignment horizontal="left"/>
    </xf>
    <xf numFmtId="0" fontId="3" fillId="0" borderId="11" xfId="3" applyBorder="1"/>
    <xf numFmtId="0" fontId="3" fillId="0" borderId="58" xfId="3" applyBorder="1"/>
    <xf numFmtId="0" fontId="3" fillId="0" borderId="18" xfId="3" applyBorder="1"/>
    <xf numFmtId="1" fontId="3" fillId="0" borderId="11" xfId="3" applyNumberFormat="1" applyBorder="1"/>
    <xf numFmtId="0" fontId="3" fillId="0" borderId="15" xfId="3" applyBorder="1"/>
    <xf numFmtId="0" fontId="3" fillId="8" borderId="18" xfId="3" applyFill="1" applyBorder="1"/>
    <xf numFmtId="0" fontId="3" fillId="8" borderId="11" xfId="3" applyFill="1" applyBorder="1"/>
    <xf numFmtId="0" fontId="3" fillId="8" borderId="58" xfId="3" applyFill="1" applyBorder="1"/>
    <xf numFmtId="168" fontId="3" fillId="0" borderId="11" xfId="3" applyNumberFormat="1" applyBorder="1"/>
    <xf numFmtId="0" fontId="8" fillId="0" borderId="5" xfId="3" applyFont="1" applyBorder="1" applyAlignment="1">
      <alignment horizontal="center"/>
    </xf>
    <xf numFmtId="0" fontId="8" fillId="0" borderId="6" xfId="3" applyFont="1" applyBorder="1" applyAlignment="1">
      <alignment horizontal="center"/>
    </xf>
    <xf numFmtId="0" fontId="8" fillId="0" borderId="7" xfId="3" applyFont="1" applyBorder="1" applyAlignment="1">
      <alignment horizontal="center"/>
    </xf>
    <xf numFmtId="0" fontId="8" fillId="0" borderId="0" xfId="3" applyFont="1" applyAlignment="1">
      <alignment horizontal="center"/>
    </xf>
    <xf numFmtId="0" fontId="8" fillId="0" borderId="18" xfId="3" applyFont="1" applyBorder="1"/>
    <xf numFmtId="0" fontId="8" fillId="0" borderId="58" xfId="3" applyFont="1" applyBorder="1"/>
    <xf numFmtId="0" fontId="3" fillId="0" borderId="66" xfId="3" applyBorder="1" applyAlignment="1">
      <alignment horizontal="center"/>
    </xf>
    <xf numFmtId="166" fontId="3" fillId="0" borderId="67" xfId="3" applyNumberFormat="1" applyBorder="1" applyAlignment="1">
      <alignment horizontal="center"/>
    </xf>
    <xf numFmtId="166" fontId="3" fillId="0" borderId="12" xfId="3" applyNumberFormat="1" applyBorder="1" applyAlignment="1">
      <alignment horizontal="center"/>
    </xf>
    <xf numFmtId="166" fontId="3" fillId="0" borderId="68" xfId="3" applyNumberFormat="1" applyBorder="1" applyAlignment="1">
      <alignment horizontal="center"/>
    </xf>
    <xf numFmtId="166" fontId="3" fillId="0" borderId="69" xfId="3" applyNumberFormat="1" applyBorder="1" applyAlignment="1">
      <alignment horizontal="center"/>
    </xf>
    <xf numFmtId="164" fontId="3" fillId="0" borderId="67" xfId="3" applyNumberFormat="1" applyBorder="1" applyAlignment="1">
      <alignment horizontal="center"/>
    </xf>
    <xf numFmtId="164" fontId="3" fillId="0" borderId="68" xfId="3" applyNumberFormat="1" applyBorder="1" applyAlignment="1">
      <alignment horizontal="center"/>
    </xf>
    <xf numFmtId="2" fontId="3" fillId="0" borderId="67" xfId="3" applyNumberFormat="1" applyBorder="1" applyAlignment="1">
      <alignment horizontal="center"/>
    </xf>
    <xf numFmtId="2" fontId="3" fillId="0" borderId="12" xfId="3" applyNumberFormat="1" applyBorder="1" applyAlignment="1">
      <alignment horizontal="center"/>
    </xf>
    <xf numFmtId="2" fontId="3" fillId="0" borderId="18" xfId="3" applyNumberFormat="1" applyBorder="1" applyAlignment="1">
      <alignment horizontal="center"/>
    </xf>
    <xf numFmtId="2" fontId="3" fillId="0" borderId="58" xfId="3" applyNumberFormat="1" applyBorder="1" applyAlignment="1">
      <alignment horizontal="center"/>
    </xf>
    <xf numFmtId="0" fontId="3" fillId="0" borderId="63" xfId="3" applyBorder="1" applyAlignment="1">
      <alignment horizontal="center"/>
    </xf>
    <xf numFmtId="166" fontId="3" fillId="0" borderId="11" xfId="3" applyNumberFormat="1" applyBorder="1" applyAlignment="1">
      <alignment horizontal="center"/>
    </xf>
    <xf numFmtId="166" fontId="3" fillId="0" borderId="58" xfId="3" applyNumberFormat="1" applyBorder="1" applyAlignment="1">
      <alignment horizontal="center"/>
    </xf>
    <xf numFmtId="0" fontId="3" fillId="0" borderId="0" xfId="3" applyAlignment="1">
      <alignment horizontal="center"/>
    </xf>
    <xf numFmtId="166" fontId="3" fillId="0" borderId="0" xfId="3" applyNumberFormat="1" applyAlignment="1">
      <alignment horizontal="center"/>
    </xf>
    <xf numFmtId="164" fontId="3" fillId="0" borderId="0" xfId="3" applyNumberFormat="1" applyAlignment="1">
      <alignment horizontal="center"/>
    </xf>
    <xf numFmtId="2" fontId="3" fillId="0" borderId="0" xfId="3" applyNumberFormat="1" applyAlignment="1">
      <alignment horizontal="center"/>
    </xf>
    <xf numFmtId="0" fontId="3" fillId="0" borderId="0" xfId="3" applyAlignment="1">
      <alignment horizontal="right"/>
    </xf>
    <xf numFmtId="166" fontId="3" fillId="0" borderId="18" xfId="3" applyNumberFormat="1" applyBorder="1" applyAlignment="1">
      <alignment horizontal="center"/>
    </xf>
    <xf numFmtId="166" fontId="3" fillId="0" borderId="8" xfId="3" applyNumberFormat="1" applyBorder="1" applyAlignment="1">
      <alignment horizontal="center"/>
    </xf>
    <xf numFmtId="2" fontId="3" fillId="0" borderId="5" xfId="3" applyNumberFormat="1" applyBorder="1" applyAlignment="1">
      <alignment horizontal="center"/>
    </xf>
    <xf numFmtId="2" fontId="3" fillId="0" borderId="7" xfId="3" applyNumberFormat="1" applyBorder="1" applyAlignment="1">
      <alignment horizontal="center"/>
    </xf>
    <xf numFmtId="2" fontId="3" fillId="0" borderId="0" xfId="3" applyNumberFormat="1"/>
    <xf numFmtId="167" fontId="0" fillId="0" borderId="0" xfId="0" applyNumberFormat="1"/>
    <xf numFmtId="1" fontId="8" fillId="12" borderId="0" xfId="0" applyNumberFormat="1" applyFont="1" applyFill="1"/>
    <xf numFmtId="0" fontId="62" fillId="0" borderId="0" xfId="0" applyFont="1"/>
    <xf numFmtId="0" fontId="3" fillId="4" borderId="70" xfId="3" applyFill="1" applyBorder="1" applyAlignment="1">
      <alignment vertical="center"/>
    </xf>
    <xf numFmtId="0" fontId="3" fillId="0" borderId="71" xfId="3" applyBorder="1" applyAlignment="1">
      <alignment horizontal="center"/>
    </xf>
    <xf numFmtId="2" fontId="3" fillId="0" borderId="11" xfId="3" applyNumberFormat="1" applyBorder="1"/>
    <xf numFmtId="2" fontId="3" fillId="0" borderId="58" xfId="3" applyNumberFormat="1" applyBorder="1"/>
    <xf numFmtId="2" fontId="8" fillId="0" borderId="7" xfId="3" applyNumberFormat="1" applyFont="1" applyBorder="1" applyAlignment="1">
      <alignment horizontal="center"/>
    </xf>
    <xf numFmtId="2" fontId="3" fillId="0" borderId="68" xfId="3" applyNumberFormat="1" applyBorder="1"/>
    <xf numFmtId="1" fontId="3" fillId="9" borderId="2" xfId="0" applyNumberFormat="1" applyFont="1" applyFill="1" applyBorder="1" applyAlignment="1">
      <alignment vertical="center"/>
    </xf>
    <xf numFmtId="0" fontId="4" fillId="9" borderId="44" xfId="0" applyFont="1" applyFill="1" applyBorder="1" applyAlignment="1">
      <alignment horizontal="center"/>
    </xf>
    <xf numFmtId="11" fontId="3" fillId="0" borderId="0" xfId="0" applyNumberFormat="1" applyFont="1"/>
    <xf numFmtId="1" fontId="3" fillId="0" borderId="0" xfId="0" applyNumberFormat="1" applyFont="1"/>
    <xf numFmtId="1" fontId="3" fillId="12" borderId="0" xfId="0" applyNumberFormat="1" applyFont="1" applyFill="1"/>
    <xf numFmtId="0" fontId="3" fillId="23" borderId="0" xfId="0" applyFont="1" applyFill="1"/>
    <xf numFmtId="0" fontId="3" fillId="0" borderId="75" xfId="0" applyFont="1" applyBorder="1"/>
    <xf numFmtId="167" fontId="3" fillId="0" borderId="77" xfId="0" applyNumberFormat="1" applyFont="1" applyBorder="1"/>
    <xf numFmtId="11" fontId="8" fillId="0" borderId="77" xfId="0" applyNumberFormat="1" applyFont="1" applyBorder="1"/>
    <xf numFmtId="0" fontId="72" fillId="0" borderId="77" xfId="0" applyFont="1" applyBorder="1"/>
    <xf numFmtId="1" fontId="62" fillId="0" borderId="0" xfId="0" applyNumberFormat="1" applyFont="1"/>
    <xf numFmtId="0" fontId="81" fillId="0" borderId="0" xfId="0" applyFont="1"/>
    <xf numFmtId="1" fontId="64" fillId="0" borderId="0" xfId="0" applyNumberFormat="1" applyFont="1"/>
    <xf numFmtId="0" fontId="64" fillId="0" borderId="0" xfId="0" applyFont="1"/>
    <xf numFmtId="2" fontId="64" fillId="0" borderId="0" xfId="0" applyNumberFormat="1" applyFont="1"/>
    <xf numFmtId="167" fontId="62" fillId="0" borderId="0" xfId="0" applyNumberFormat="1" applyFont="1"/>
    <xf numFmtId="0" fontId="4" fillId="0" borderId="30" xfId="0" applyFont="1" applyBorder="1"/>
    <xf numFmtId="165" fontId="4" fillId="0" borderId="0" xfId="0" applyNumberFormat="1" applyFont="1"/>
    <xf numFmtId="11" fontId="4" fillId="0" borderId="0" xfId="0" applyNumberFormat="1" applyFont="1"/>
    <xf numFmtId="0" fontId="0" fillId="0" borderId="45" xfId="0" applyBorder="1"/>
    <xf numFmtId="1" fontId="3" fillId="22" borderId="0" xfId="0" applyNumberFormat="1" applyFont="1" applyFill="1"/>
    <xf numFmtId="1" fontId="65" fillId="0" borderId="0" xfId="0" applyNumberFormat="1" applyFont="1"/>
    <xf numFmtId="0" fontId="65" fillId="0" borderId="0" xfId="0" applyFont="1"/>
    <xf numFmtId="0" fontId="72" fillId="0" borderId="58" xfId="3" applyFont="1" applyBorder="1"/>
    <xf numFmtId="167" fontId="0" fillId="12" borderId="0" xfId="0" applyNumberFormat="1" applyFill="1"/>
    <xf numFmtId="185" fontId="3" fillId="0" borderId="0" xfId="0" applyNumberFormat="1" applyFont="1"/>
    <xf numFmtId="166" fontId="8" fillId="12" borderId="0" xfId="0" applyNumberFormat="1" applyFont="1" applyFill="1"/>
    <xf numFmtId="185" fontId="0" fillId="23" borderId="0" xfId="0" applyNumberFormat="1" applyFill="1"/>
    <xf numFmtId="11" fontId="0" fillId="22" borderId="0" xfId="0" applyNumberFormat="1" applyFill="1" applyAlignment="1">
      <alignment horizontal="right"/>
    </xf>
    <xf numFmtId="0" fontId="0" fillId="24" borderId="0" xfId="0" applyFill="1" applyAlignment="1">
      <alignment horizontal="right"/>
    </xf>
    <xf numFmtId="167" fontId="31" fillId="22" borderId="0" xfId="0" applyNumberFormat="1" applyFont="1" applyFill="1"/>
    <xf numFmtId="166" fontId="31" fillId="22" borderId="34" xfId="0" applyNumberFormat="1" applyFont="1" applyFill="1" applyBorder="1"/>
    <xf numFmtId="0" fontId="0" fillId="23" borderId="0" xfId="0" applyFill="1" applyAlignment="1">
      <alignment horizontal="right"/>
    </xf>
    <xf numFmtId="2" fontId="0" fillId="22" borderId="0" xfId="0" applyNumberFormat="1" applyFill="1" applyAlignment="1">
      <alignment horizontal="right"/>
    </xf>
    <xf numFmtId="0" fontId="81" fillId="0" borderId="28" xfId="0" applyFont="1" applyBorder="1"/>
    <xf numFmtId="167" fontId="3" fillId="0" borderId="0" xfId="0" applyNumberFormat="1" applyFont="1"/>
    <xf numFmtId="0" fontId="3" fillId="0" borderId="24" xfId="3" applyBorder="1" applyAlignment="1">
      <alignment horizontal="left"/>
    </xf>
    <xf numFmtId="0" fontId="3" fillId="0" borderId="45" xfId="3" applyBorder="1"/>
    <xf numFmtId="0" fontId="3" fillId="0" borderId="46" xfId="3" applyBorder="1"/>
    <xf numFmtId="167" fontId="3" fillId="0" borderId="45" xfId="3" applyNumberFormat="1" applyBorder="1"/>
    <xf numFmtId="0" fontId="3" fillId="8" borderId="15" xfId="3" applyFill="1" applyBorder="1"/>
    <xf numFmtId="0" fontId="4" fillId="0" borderId="55" xfId="3" applyFont="1" applyBorder="1" applyAlignment="1">
      <alignment horizontal="center"/>
    </xf>
    <xf numFmtId="11" fontId="3" fillId="0" borderId="11" xfId="3" applyNumberFormat="1" applyBorder="1"/>
    <xf numFmtId="1" fontId="3" fillId="0" borderId="45" xfId="3" applyNumberFormat="1" applyBorder="1"/>
    <xf numFmtId="167" fontId="3" fillId="0" borderId="11" xfId="3" applyNumberFormat="1" applyBorder="1"/>
    <xf numFmtId="0" fontId="3" fillId="0" borderId="0" xfId="3" applyAlignment="1">
      <alignment horizontal="left"/>
    </xf>
    <xf numFmtId="1" fontId="3" fillId="0" borderId="0" xfId="3" applyNumberFormat="1"/>
    <xf numFmtId="167" fontId="3" fillId="0" borderId="0" xfId="3" applyNumberFormat="1"/>
    <xf numFmtId="185" fontId="3" fillId="23" borderId="0" xfId="0" applyNumberFormat="1" applyFont="1" applyFill="1" applyAlignment="1">
      <alignment horizontal="right" vertical="center"/>
    </xf>
    <xf numFmtId="186" fontId="9" fillId="12" borderId="0" xfId="0" applyNumberFormat="1" applyFont="1" applyFill="1"/>
    <xf numFmtId="2" fontId="3" fillId="0" borderId="0" xfId="0" applyNumberFormat="1" applyFont="1"/>
    <xf numFmtId="167" fontId="4" fillId="0" borderId="0" xfId="0" applyNumberFormat="1" applyFont="1" applyAlignment="1">
      <alignment horizontal="right"/>
    </xf>
    <xf numFmtId="1" fontId="3" fillId="24" borderId="0" xfId="0" applyNumberFormat="1" applyFont="1" applyFill="1"/>
    <xf numFmtId="0" fontId="3" fillId="24" borderId="0" xfId="0" applyFont="1" applyFill="1"/>
    <xf numFmtId="166" fontId="3" fillId="22" borderId="31" xfId="0" applyNumberFormat="1" applyFont="1" applyFill="1" applyBorder="1"/>
    <xf numFmtId="168" fontId="64" fillId="9" borderId="2" xfId="1" applyNumberFormat="1" applyFont="1" applyFill="1" applyBorder="1" applyAlignment="1" applyProtection="1">
      <alignment horizontal="right"/>
    </xf>
    <xf numFmtId="0" fontId="3" fillId="0" borderId="8" xfId="3" applyBorder="1"/>
    <xf numFmtId="168" fontId="3" fillId="0" borderId="8" xfId="3" applyNumberFormat="1" applyBorder="1"/>
    <xf numFmtId="0" fontId="4" fillId="0" borderId="57" xfId="3" applyFont="1" applyBorder="1" applyAlignment="1">
      <alignment horizontal="center"/>
    </xf>
    <xf numFmtId="0" fontId="3" fillId="8" borderId="64" xfId="3" applyFill="1" applyBorder="1"/>
    <xf numFmtId="167" fontId="3" fillId="0" borderId="44" xfId="3" applyNumberFormat="1" applyBorder="1"/>
    <xf numFmtId="164" fontId="3" fillId="0" borderId="58" xfId="3" applyNumberFormat="1" applyBorder="1" applyAlignment="1">
      <alignment horizontal="center"/>
    </xf>
    <xf numFmtId="167" fontId="65" fillId="0" borderId="0" xfId="0" applyNumberFormat="1" applyFont="1"/>
    <xf numFmtId="1" fontId="4" fillId="0" borderId="0" xfId="0" applyNumberFormat="1" applyFont="1"/>
    <xf numFmtId="187" fontId="4" fillId="12" borderId="0" xfId="0" applyNumberFormat="1" applyFont="1" applyFill="1"/>
    <xf numFmtId="187" fontId="3" fillId="4" borderId="0" xfId="0" applyNumberFormat="1" applyFont="1" applyFill="1"/>
    <xf numFmtId="187" fontId="31" fillId="4" borderId="0" xfId="0" applyNumberFormat="1" applyFont="1" applyFill="1"/>
    <xf numFmtId="187" fontId="0" fillId="12" borderId="0" xfId="0" applyNumberFormat="1" applyFill="1"/>
    <xf numFmtId="187" fontId="0" fillId="4" borderId="31" xfId="0" applyNumberFormat="1" applyFill="1" applyBorder="1"/>
    <xf numFmtId="0" fontId="3" fillId="0" borderId="8" xfId="3" applyBorder="1" applyAlignment="1">
      <alignment horizontal="left"/>
    </xf>
    <xf numFmtId="2" fontId="3" fillId="0" borderId="59" xfId="3" applyNumberFormat="1" applyBorder="1" applyAlignment="1">
      <alignment horizontal="center"/>
    </xf>
    <xf numFmtId="1" fontId="3" fillId="0" borderId="0" xfId="3" applyNumberFormat="1" applyAlignment="1">
      <alignment horizontal="right"/>
    </xf>
    <xf numFmtId="167" fontId="3" fillId="8" borderId="11" xfId="3" applyNumberFormat="1" applyFill="1" applyBorder="1"/>
    <xf numFmtId="0" fontId="3" fillId="9" borderId="76" xfId="0" applyFont="1" applyFill="1" applyBorder="1" applyAlignment="1">
      <alignment horizontal="left"/>
    </xf>
    <xf numFmtId="168" fontId="3" fillId="9" borderId="28" xfId="0" applyNumberFormat="1" applyFont="1" applyFill="1" applyBorder="1" applyAlignment="1">
      <alignment horizontal="right"/>
    </xf>
    <xf numFmtId="0" fontId="3" fillId="9" borderId="29" xfId="0" applyFont="1" applyFill="1" applyBorder="1" applyAlignment="1">
      <alignment horizontal="left"/>
    </xf>
    <xf numFmtId="0" fontId="3" fillId="9" borderId="46" xfId="0" applyFont="1" applyFill="1" applyBorder="1" applyAlignment="1">
      <alignment horizontal="left"/>
    </xf>
    <xf numFmtId="187" fontId="3" fillId="23" borderId="0" xfId="0" applyNumberFormat="1" applyFont="1" applyFill="1"/>
    <xf numFmtId="166" fontId="64" fillId="0" borderId="0" xfId="0" applyNumberFormat="1" applyFont="1"/>
    <xf numFmtId="168" fontId="3" fillId="22" borderId="0" xfId="0" applyNumberFormat="1" applyFont="1" applyFill="1"/>
    <xf numFmtId="1" fontId="4" fillId="22" borderId="0" xfId="0" applyNumberFormat="1" applyFont="1" applyFill="1"/>
    <xf numFmtId="1" fontId="3" fillId="9" borderId="44" xfId="0" applyNumberFormat="1" applyFont="1" applyFill="1" applyBorder="1" applyAlignment="1">
      <alignment horizontal="right"/>
    </xf>
    <xf numFmtId="0" fontId="3" fillId="16" borderId="0" xfId="3" applyFill="1" applyAlignment="1">
      <alignment vertical="center"/>
    </xf>
    <xf numFmtId="49" fontId="3" fillId="16" borderId="0" xfId="3" applyNumberFormat="1" applyFill="1" applyAlignment="1">
      <alignment vertical="center"/>
    </xf>
    <xf numFmtId="189" fontId="3" fillId="21" borderId="11" xfId="3" applyNumberFormat="1" applyFill="1" applyBorder="1" applyAlignment="1">
      <alignment horizontal="center" vertical="center"/>
    </xf>
    <xf numFmtId="172" fontId="3" fillId="21" borderId="11" xfId="3" applyNumberFormat="1" applyFill="1" applyBorder="1" applyAlignment="1">
      <alignment horizontal="center" vertical="center"/>
    </xf>
    <xf numFmtId="0" fontId="3" fillId="21" borderId="15" xfId="3" applyFill="1" applyBorder="1" applyAlignment="1">
      <alignment horizontal="left" vertical="center"/>
    </xf>
    <xf numFmtId="0" fontId="3" fillId="0" borderId="11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72" fillId="0" borderId="11" xfId="0" applyFont="1" applyBorder="1"/>
    <xf numFmtId="0" fontId="3" fillId="0" borderId="13" xfId="0" applyFont="1" applyBorder="1"/>
    <xf numFmtId="0" fontId="3" fillId="4" borderId="11" xfId="0" applyFont="1" applyFill="1" applyBorder="1"/>
    <xf numFmtId="2" fontId="0" fillId="2" borderId="0" xfId="0" applyNumberFormat="1" applyFill="1"/>
    <xf numFmtId="0" fontId="3" fillId="6" borderId="11" xfId="0" applyFont="1" applyFill="1" applyBorder="1"/>
    <xf numFmtId="166" fontId="16" fillId="7" borderId="0" xfId="0" applyNumberFormat="1" applyFont="1" applyFill="1"/>
    <xf numFmtId="2" fontId="16" fillId="7" borderId="0" xfId="0" applyNumberFormat="1" applyFont="1" applyFill="1"/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169" fontId="4" fillId="2" borderId="6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7" borderId="22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7" borderId="27" xfId="0" applyFont="1" applyFill="1" applyBorder="1" applyAlignment="1">
      <alignment horizontal="center" vertical="center" wrapText="1"/>
    </xf>
    <xf numFmtId="0" fontId="4" fillId="14" borderId="5" xfId="0" applyFont="1" applyFill="1" applyBorder="1" applyAlignment="1">
      <alignment horizontal="center" vertical="center" wrapText="1"/>
    </xf>
    <xf numFmtId="2" fontId="4" fillId="14" borderId="6" xfId="0" applyNumberFormat="1" applyFont="1" applyFill="1" applyBorder="1" applyAlignment="1">
      <alignment horizontal="center" vertical="center" wrapText="1"/>
    </xf>
    <xf numFmtId="167" fontId="4" fillId="2" borderId="6" xfId="0" applyNumberFormat="1" applyFont="1" applyFill="1" applyBorder="1" applyAlignment="1">
      <alignment horizontal="center" vertical="center" wrapText="1"/>
    </xf>
    <xf numFmtId="166" fontId="4" fillId="2" borderId="5" xfId="0" applyNumberFormat="1" applyFont="1" applyFill="1" applyBorder="1" applyAlignment="1">
      <alignment horizontal="center" vertical="center" wrapText="1"/>
    </xf>
    <xf numFmtId="166" fontId="4" fillId="2" borderId="6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166" fontId="4" fillId="4" borderId="80" xfId="0" applyNumberFormat="1" applyFont="1" applyFill="1" applyBorder="1" applyAlignment="1">
      <alignment horizontal="center"/>
    </xf>
    <xf numFmtId="166" fontId="4" fillId="4" borderId="2" xfId="0" applyNumberFormat="1" applyFont="1" applyFill="1" applyBorder="1" applyAlignment="1">
      <alignment horizontal="center"/>
    </xf>
    <xf numFmtId="166" fontId="4" fillId="7" borderId="23" xfId="0" applyNumberFormat="1" applyFont="1" applyFill="1" applyBorder="1" applyAlignment="1">
      <alignment horizontal="center" vertical="center" wrapText="1"/>
    </xf>
    <xf numFmtId="0" fontId="62" fillId="19" borderId="23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0" fontId="4" fillId="9" borderId="77" xfId="0" applyFont="1" applyFill="1" applyBorder="1"/>
    <xf numFmtId="0" fontId="3" fillId="9" borderId="77" xfId="0" applyFont="1" applyFill="1" applyBorder="1"/>
    <xf numFmtId="0" fontId="3" fillId="9" borderId="76" xfId="0" applyFont="1" applyFill="1" applyBorder="1"/>
    <xf numFmtId="0" fontId="80" fillId="9" borderId="28" xfId="0" applyFont="1" applyFill="1" applyBorder="1"/>
    <xf numFmtId="0" fontId="16" fillId="0" borderId="39" xfId="0" applyFont="1" applyBorder="1"/>
    <xf numFmtId="2" fontId="16" fillId="4" borderId="0" xfId="0" applyNumberFormat="1" applyFont="1" applyFill="1" applyAlignment="1">
      <alignment horizontal="right"/>
    </xf>
    <xf numFmtId="2" fontId="31" fillId="22" borderId="0" xfId="0" applyNumberFormat="1" applyFont="1" applyFill="1" applyAlignment="1">
      <alignment horizontal="right"/>
    </xf>
    <xf numFmtId="166" fontId="4" fillId="12" borderId="0" xfId="0" applyNumberFormat="1" applyFont="1" applyFill="1"/>
    <xf numFmtId="167" fontId="9" fillId="0" borderId="0" xfId="0" applyNumberFormat="1" applyFont="1"/>
    <xf numFmtId="167" fontId="0" fillId="13" borderId="0" xfId="0" applyNumberFormat="1" applyFill="1"/>
    <xf numFmtId="0" fontId="83" fillId="0" borderId="0" xfId="0" applyFont="1"/>
    <xf numFmtId="2" fontId="4" fillId="0" borderId="0" xfId="0" applyNumberFormat="1" applyFont="1"/>
    <xf numFmtId="0" fontId="18" fillId="16" borderId="28" xfId="0" applyFont="1" applyFill="1" applyBorder="1"/>
    <xf numFmtId="0" fontId="3" fillId="9" borderId="0" xfId="0" applyFont="1" applyFill="1" applyAlignment="1">
      <alignment horizontal="right" vertical="top"/>
    </xf>
    <xf numFmtId="168" fontId="3" fillId="9" borderId="0" xfId="0" applyNumberFormat="1" applyFont="1" applyFill="1" applyAlignment="1">
      <alignment horizontal="left" vertical="center"/>
    </xf>
    <xf numFmtId="0" fontId="67" fillId="9" borderId="77" xfId="0" applyFont="1" applyFill="1" applyBorder="1" applyAlignment="1">
      <alignment horizontal="left"/>
    </xf>
    <xf numFmtId="0" fontId="4" fillId="4" borderId="0" xfId="0" applyFont="1" applyFill="1"/>
    <xf numFmtId="0" fontId="73" fillId="3" borderId="49" xfId="3" applyFont="1" applyFill="1" applyBorder="1" applyAlignment="1">
      <alignment horizontal="center" vertical="center"/>
    </xf>
    <xf numFmtId="0" fontId="73" fillId="3" borderId="50" xfId="3" applyFont="1" applyFill="1" applyBorder="1" applyAlignment="1">
      <alignment horizontal="center" vertical="center"/>
    </xf>
    <xf numFmtId="0" fontId="73" fillId="3" borderId="50" xfId="3" applyFont="1" applyFill="1" applyBorder="1" applyAlignment="1">
      <alignment horizontal="left" vertical="center"/>
    </xf>
    <xf numFmtId="0" fontId="3" fillId="9" borderId="77" xfId="0" applyFont="1" applyFill="1" applyBorder="1" applyAlignment="1">
      <alignment horizontal="right" vertical="center"/>
    </xf>
    <xf numFmtId="0" fontId="3" fillId="9" borderId="41" xfId="0" applyFont="1" applyFill="1" applyBorder="1" applyAlignment="1">
      <alignment horizontal="left" vertical="center"/>
    </xf>
    <xf numFmtId="0" fontId="3" fillId="9" borderId="0" xfId="0" applyFont="1" applyFill="1" applyAlignment="1">
      <alignment horizontal="left" vertical="top"/>
    </xf>
    <xf numFmtId="1" fontId="3" fillId="9" borderId="31" xfId="0" applyNumberFormat="1" applyFont="1" applyFill="1" applyBorder="1" applyAlignment="1">
      <alignment horizontal="right"/>
    </xf>
    <xf numFmtId="0" fontId="3" fillId="9" borderId="0" xfId="0" applyFont="1" applyFill="1" applyAlignment="1">
      <alignment horizontal="right" vertical="top" readingOrder="1"/>
    </xf>
    <xf numFmtId="168" fontId="0" fillId="0" borderId="0" xfId="0" applyNumberFormat="1" applyAlignment="1">
      <alignment horizontal="left"/>
    </xf>
    <xf numFmtId="187" fontId="64" fillId="0" borderId="0" xfId="0" applyNumberFormat="1" applyFont="1"/>
    <xf numFmtId="11" fontId="64" fillId="0" borderId="0" xfId="0" applyNumberFormat="1" applyFont="1"/>
    <xf numFmtId="167" fontId="67" fillId="0" borderId="0" xfId="0" applyNumberFormat="1" applyFont="1"/>
    <xf numFmtId="0" fontId="67" fillId="0" borderId="0" xfId="0" applyFont="1"/>
    <xf numFmtId="167" fontId="4" fillId="9" borderId="0" xfId="0" applyNumberFormat="1" applyFont="1" applyFill="1" applyAlignment="1">
      <alignment horizontal="center"/>
    </xf>
    <xf numFmtId="0" fontId="85" fillId="0" borderId="0" xfId="0" applyFont="1"/>
    <xf numFmtId="0" fontId="4" fillId="5" borderId="69" xfId="0" applyFont="1" applyFill="1" applyBorder="1"/>
    <xf numFmtId="0" fontId="21" fillId="25" borderId="43" xfId="0" applyFont="1" applyFill="1" applyBorder="1"/>
    <xf numFmtId="0" fontId="21" fillId="25" borderId="41" xfId="0" applyFont="1" applyFill="1" applyBorder="1"/>
    <xf numFmtId="0" fontId="18" fillId="25" borderId="41" xfId="0" applyFont="1" applyFill="1" applyBorder="1"/>
    <xf numFmtId="171" fontId="18" fillId="25" borderId="0" xfId="0" applyNumberFormat="1" applyFont="1" applyFill="1" applyAlignment="1">
      <alignment horizontal="center"/>
    </xf>
    <xf numFmtId="0" fontId="18" fillId="25" borderId="0" xfId="0" applyFont="1" applyFill="1"/>
    <xf numFmtId="171" fontId="69" fillId="25" borderId="0" xfId="0" applyNumberFormat="1" applyFont="1" applyFill="1" applyAlignment="1">
      <alignment horizontal="center"/>
    </xf>
    <xf numFmtId="171" fontId="26" fillId="25" borderId="0" xfId="0" applyNumberFormat="1" applyFont="1" applyFill="1" applyAlignment="1">
      <alignment horizontal="center"/>
    </xf>
    <xf numFmtId="0" fontId="27" fillId="25" borderId="28" xfId="0" applyFont="1" applyFill="1" applyBorder="1" applyAlignment="1">
      <alignment horizontal="left"/>
    </xf>
    <xf numFmtId="0" fontId="27" fillId="25" borderId="0" xfId="0" applyFont="1" applyFill="1" applyAlignment="1">
      <alignment horizontal="left"/>
    </xf>
    <xf numFmtId="0" fontId="25" fillId="25" borderId="28" xfId="0" applyFont="1" applyFill="1" applyBorder="1" applyAlignment="1">
      <alignment horizontal="left" vertical="center"/>
    </xf>
    <xf numFmtId="0" fontId="25" fillId="25" borderId="0" xfId="0" applyFont="1" applyFill="1" applyAlignment="1">
      <alignment horizontal="left" vertical="center"/>
    </xf>
    <xf numFmtId="0" fontId="71" fillId="25" borderId="0" xfId="0" applyFont="1" applyFill="1" applyAlignment="1">
      <alignment horizontal="left" vertical="center"/>
    </xf>
    <xf numFmtId="0" fontId="32" fillId="25" borderId="30" xfId="0" applyFont="1" applyFill="1" applyBorder="1"/>
    <xf numFmtId="0" fontId="32" fillId="25" borderId="31" xfId="0" applyFont="1" applyFill="1" applyBorder="1"/>
    <xf numFmtId="0" fontId="21" fillId="25" borderId="31" xfId="0" applyFont="1" applyFill="1" applyBorder="1"/>
    <xf numFmtId="0" fontId="25" fillId="25" borderId="0" xfId="0" quotePrefix="1" applyFont="1" applyFill="1" applyAlignment="1">
      <alignment vertical="center"/>
    </xf>
    <xf numFmtId="0" fontId="21" fillId="25" borderId="0" xfId="0" applyFont="1" applyFill="1" applyAlignment="1">
      <alignment vertical="center"/>
    </xf>
    <xf numFmtId="0" fontId="30" fillId="25" borderId="0" xfId="0" applyFont="1" applyFill="1" applyAlignment="1">
      <alignment vertical="center"/>
    </xf>
    <xf numFmtId="0" fontId="30" fillId="25" borderId="0" xfId="0" applyFont="1" applyFill="1"/>
    <xf numFmtId="0" fontId="28" fillId="25" borderId="31" xfId="0" applyFont="1" applyFill="1" applyBorder="1"/>
    <xf numFmtId="0" fontId="28" fillId="25" borderId="45" xfId="0" applyFont="1" applyFill="1" applyBorder="1"/>
    <xf numFmtId="0" fontId="86" fillId="25" borderId="0" xfId="2" applyFont="1" applyFill="1" applyBorder="1" applyAlignment="1" applyProtection="1">
      <alignment horizontal="left" vertical="center"/>
    </xf>
    <xf numFmtId="167" fontId="4" fillId="24" borderId="0" xfId="0" applyNumberFormat="1" applyFont="1" applyFill="1" applyAlignment="1">
      <alignment horizontal="right"/>
    </xf>
    <xf numFmtId="1" fontId="3" fillId="9" borderId="75" xfId="0" applyNumberFormat="1" applyFont="1" applyFill="1" applyBorder="1" applyAlignment="1">
      <alignment horizontal="right"/>
    </xf>
    <xf numFmtId="0" fontId="88" fillId="0" borderId="28" xfId="0" applyFont="1" applyBorder="1"/>
    <xf numFmtId="168" fontId="4" fillId="22" borderId="0" xfId="0" applyNumberFormat="1" applyFont="1" applyFill="1"/>
    <xf numFmtId="168" fontId="4" fillId="0" borderId="0" xfId="0" applyNumberFormat="1" applyFont="1"/>
    <xf numFmtId="167" fontId="0" fillId="22" borderId="0" xfId="0" applyNumberFormat="1" applyFill="1"/>
    <xf numFmtId="2" fontId="9" fillId="12" borderId="0" xfId="0" applyNumberFormat="1" applyFont="1" applyFill="1"/>
    <xf numFmtId="168" fontId="16" fillId="4" borderId="0" xfId="0" applyNumberFormat="1" applyFont="1" applyFill="1" applyAlignment="1">
      <alignment horizontal="right"/>
    </xf>
    <xf numFmtId="187" fontId="4" fillId="0" borderId="0" xfId="0" applyNumberFormat="1" applyFont="1"/>
    <xf numFmtId="2" fontId="31" fillId="0" borderId="0" xfId="0" applyNumberFormat="1" applyFont="1"/>
    <xf numFmtId="0" fontId="74" fillId="0" borderId="0" xfId="0" applyFont="1"/>
    <xf numFmtId="168" fontId="3" fillId="9" borderId="0" xfId="0" applyNumberFormat="1" applyFont="1" applyFill="1" applyAlignment="1">
      <alignment horizontal="right"/>
    </xf>
    <xf numFmtId="168" fontId="3" fillId="9" borderId="0" xfId="0" applyNumberFormat="1" applyFont="1" applyFill="1" applyAlignment="1">
      <alignment horizontal="right" vertical="center"/>
    </xf>
    <xf numFmtId="11" fontId="64" fillId="22" borderId="0" xfId="0" applyNumberFormat="1" applyFont="1" applyFill="1"/>
    <xf numFmtId="187" fontId="0" fillId="0" borderId="0" xfId="0" applyNumberFormat="1"/>
    <xf numFmtId="2" fontId="0" fillId="4" borderId="0" xfId="0" applyNumberFormat="1" applyFill="1"/>
    <xf numFmtId="1" fontId="0" fillId="0" borderId="0" xfId="0" applyNumberFormat="1" applyAlignment="1">
      <alignment horizontal="left"/>
    </xf>
    <xf numFmtId="2" fontId="4" fillId="0" borderId="0" xfId="0" applyNumberFormat="1" applyFont="1" applyAlignment="1">
      <alignment horizontal="left"/>
    </xf>
    <xf numFmtId="0" fontId="0" fillId="0" borderId="31" xfId="0" applyBorder="1" applyAlignment="1">
      <alignment horizontal="left"/>
    </xf>
    <xf numFmtId="2" fontId="89" fillId="0" borderId="0" xfId="0" applyNumberFormat="1" applyFont="1" applyAlignment="1">
      <alignment horizontal="left"/>
    </xf>
    <xf numFmtId="0" fontId="89" fillId="0" borderId="0" xfId="0" applyFont="1" applyAlignment="1">
      <alignment horizontal="left"/>
    </xf>
    <xf numFmtId="0" fontId="64" fillId="9" borderId="0" xfId="0" applyFont="1" applyFill="1" applyAlignment="1">
      <alignment horizontal="right"/>
    </xf>
    <xf numFmtId="2" fontId="3" fillId="16" borderId="0" xfId="0" applyNumberFormat="1" applyFont="1" applyFill="1"/>
    <xf numFmtId="11" fontId="31" fillId="22" borderId="0" xfId="0" applyNumberFormat="1" applyFont="1" applyFill="1" applyAlignment="1">
      <alignment horizontal="right"/>
    </xf>
    <xf numFmtId="11" fontId="0" fillId="22" borderId="0" xfId="0" applyNumberFormat="1" applyFill="1"/>
    <xf numFmtId="167" fontId="31" fillId="0" borderId="0" xfId="0" applyNumberFormat="1" applyFont="1"/>
    <xf numFmtId="0" fontId="74" fillId="0" borderId="0" xfId="0" applyFont="1" applyAlignment="1">
      <alignment horizontal="left"/>
    </xf>
    <xf numFmtId="0" fontId="62" fillId="0" borderId="0" xfId="0" applyFont="1" applyAlignment="1">
      <alignment horizontal="right"/>
    </xf>
    <xf numFmtId="0" fontId="62" fillId="0" borderId="0" xfId="0" applyFont="1" applyAlignment="1">
      <alignment horizontal="left"/>
    </xf>
    <xf numFmtId="0" fontId="0" fillId="16" borderId="0" xfId="0" applyFill="1"/>
    <xf numFmtId="0" fontId="4" fillId="2" borderId="23" xfId="0" applyFont="1" applyFill="1" applyBorder="1" applyAlignment="1">
      <alignment horizontal="center" vertical="center" wrapText="1"/>
    </xf>
    <xf numFmtId="2" fontId="4" fillId="2" borderId="5" xfId="0" applyNumberFormat="1" applyFont="1" applyFill="1" applyBorder="1" applyAlignment="1">
      <alignment horizontal="center" vertical="center" wrapText="1"/>
    </xf>
    <xf numFmtId="2" fontId="4" fillId="2" borderId="7" xfId="0" applyNumberFormat="1" applyFont="1" applyFill="1" applyBorder="1" applyAlignment="1">
      <alignment horizontal="center" vertical="center" wrapText="1"/>
    </xf>
    <xf numFmtId="167" fontId="0" fillId="0" borderId="0" xfId="0" applyNumberFormat="1" applyAlignment="1">
      <alignment horizontal="right"/>
    </xf>
    <xf numFmtId="186" fontId="0" fillId="0" borderId="0" xfId="0" applyNumberFormat="1"/>
    <xf numFmtId="0" fontId="4" fillId="0" borderId="28" xfId="0" applyFont="1" applyBorder="1" applyAlignment="1">
      <alignment horizontal="center"/>
    </xf>
    <xf numFmtId="167" fontId="83" fillId="26" borderId="0" xfId="0" applyNumberFormat="1" applyFont="1" applyFill="1" applyAlignment="1">
      <alignment horizontal="center" vertical="center"/>
    </xf>
    <xf numFmtId="166" fontId="4" fillId="26" borderId="0" xfId="0" applyNumberFormat="1" applyFont="1" applyFill="1" applyAlignment="1">
      <alignment horizontal="center" vertical="center" wrapText="1"/>
    </xf>
    <xf numFmtId="0" fontId="4" fillId="2" borderId="23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7" fontId="4" fillId="2" borderId="21" xfId="0" applyNumberFormat="1" applyFont="1" applyFill="1" applyBorder="1" applyAlignment="1">
      <alignment horizontal="center" vertical="center" wrapText="1"/>
    </xf>
    <xf numFmtId="1" fontId="4" fillId="16" borderId="0" xfId="0" applyNumberFormat="1" applyFont="1" applyFill="1" applyAlignment="1" applyProtection="1">
      <alignment horizontal="right" vertical="center"/>
      <protection hidden="1"/>
    </xf>
    <xf numFmtId="0" fontId="62" fillId="2" borderId="6" xfId="0" applyFont="1" applyFill="1" applyBorder="1" applyAlignment="1">
      <alignment horizontal="center" vertical="center" wrapText="1"/>
    </xf>
    <xf numFmtId="168" fontId="81" fillId="0" borderId="0" xfId="0" applyNumberFormat="1" applyFont="1"/>
    <xf numFmtId="10" fontId="81" fillId="0" borderId="0" xfId="0" applyNumberFormat="1" applyFont="1" applyAlignment="1">
      <alignment horizontal="center"/>
    </xf>
    <xf numFmtId="0" fontId="11" fillId="9" borderId="0" xfId="2" applyFill="1" applyAlignment="1" applyProtection="1"/>
    <xf numFmtId="168" fontId="3" fillId="16" borderId="0" xfId="0" applyNumberFormat="1" applyFont="1" applyFill="1"/>
    <xf numFmtId="0" fontId="4" fillId="9" borderId="45" xfId="0" applyFont="1" applyFill="1" applyBorder="1" applyAlignment="1">
      <alignment horizontal="left" vertical="center"/>
    </xf>
    <xf numFmtId="0" fontId="4" fillId="19" borderId="0" xfId="0" applyFont="1" applyFill="1" applyAlignment="1">
      <alignment horizontal="left"/>
    </xf>
    <xf numFmtId="0" fontId="0" fillId="19" borderId="0" xfId="0" applyFill="1"/>
    <xf numFmtId="0" fontId="3" fillId="19" borderId="0" xfId="0" applyFont="1" applyFill="1"/>
    <xf numFmtId="168" fontId="3" fillId="19" borderId="0" xfId="0" applyNumberFormat="1" applyFont="1" applyFill="1"/>
    <xf numFmtId="0" fontId="93" fillId="0" borderId="0" xfId="6" applyFont="1"/>
    <xf numFmtId="0" fontId="65" fillId="0" borderId="0" xfId="6" applyFont="1" applyAlignment="1">
      <alignment horizontal="center"/>
    </xf>
    <xf numFmtId="0" fontId="65" fillId="0" borderId="0" xfId="6" applyFont="1" applyAlignment="1">
      <alignment horizontal="left"/>
    </xf>
    <xf numFmtId="0" fontId="64" fillId="0" borderId="0" xfId="6" applyFont="1"/>
    <xf numFmtId="0" fontId="95" fillId="0" borderId="0" xfId="7" applyFont="1" applyFill="1" applyBorder="1" applyAlignment="1">
      <alignment vertical="center"/>
    </xf>
    <xf numFmtId="0" fontId="95" fillId="0" borderId="0" xfId="7" applyFont="1" applyFill="1" applyBorder="1" applyAlignment="1">
      <alignment horizontal="right" vertical="center"/>
    </xf>
    <xf numFmtId="0" fontId="93" fillId="0" borderId="0" xfId="6" applyFont="1" applyAlignment="1">
      <alignment horizontal="center"/>
    </xf>
    <xf numFmtId="0" fontId="93" fillId="0" borderId="0" xfId="6" applyFont="1" applyAlignment="1">
      <alignment horizontal="left"/>
    </xf>
    <xf numFmtId="0" fontId="64" fillId="0" borderId="0" xfId="6" applyFont="1" applyAlignment="1">
      <alignment horizontal="center"/>
    </xf>
    <xf numFmtId="0" fontId="3" fillId="0" borderId="0" xfId="6" applyFont="1"/>
    <xf numFmtId="0" fontId="96" fillId="18" borderId="0" xfId="6" applyFont="1" applyFill="1" applyAlignment="1">
      <alignment horizontal="center"/>
    </xf>
    <xf numFmtId="0" fontId="97" fillId="0" borderId="0" xfId="7" applyFont="1" applyFill="1" applyBorder="1" applyAlignment="1">
      <alignment vertical="center"/>
    </xf>
    <xf numFmtId="0" fontId="65" fillId="9" borderId="81" xfId="0" applyFont="1" applyFill="1" applyBorder="1" applyAlignment="1">
      <alignment horizontal="right" vertical="center"/>
    </xf>
    <xf numFmtId="0" fontId="4" fillId="19" borderId="82" xfId="0" applyFont="1" applyFill="1" applyBorder="1" applyAlignment="1">
      <alignment horizontal="left"/>
    </xf>
    <xf numFmtId="0" fontId="11" fillId="25" borderId="0" xfId="2" applyFill="1" applyAlignment="1" applyProtection="1">
      <protection locked="0" hidden="1"/>
    </xf>
    <xf numFmtId="0" fontId="18" fillId="9" borderId="0" xfId="0" applyFont="1" applyFill="1" applyAlignment="1">
      <alignment vertical="top"/>
    </xf>
    <xf numFmtId="0" fontId="18" fillId="9" borderId="0" xfId="0" applyFont="1" applyFill="1" applyAlignment="1">
      <alignment horizontal="center" vertical="top"/>
    </xf>
    <xf numFmtId="0" fontId="3" fillId="9" borderId="0" xfId="0" applyFont="1" applyFill="1" applyProtection="1">
      <protection locked="0" hidden="1"/>
    </xf>
    <xf numFmtId="0" fontId="67" fillId="9" borderId="0" xfId="0" applyFont="1" applyFill="1" applyAlignment="1">
      <alignment horizontal="left" vertical="center"/>
    </xf>
    <xf numFmtId="0" fontId="11" fillId="25" borderId="0" xfId="2" applyFill="1" applyBorder="1" applyAlignment="1" applyProtection="1">
      <alignment horizontal="left" vertical="center"/>
      <protection locked="0" hidden="1"/>
    </xf>
    <xf numFmtId="0" fontId="53" fillId="17" borderId="43" xfId="0" applyFont="1" applyFill="1" applyBorder="1" applyAlignment="1">
      <alignment horizontal="center" vertical="center"/>
    </xf>
    <xf numFmtId="0" fontId="53" fillId="17" borderId="41" xfId="0" applyFont="1" applyFill="1" applyBorder="1" applyAlignment="1">
      <alignment horizontal="center" vertical="center"/>
    </xf>
    <xf numFmtId="0" fontId="3" fillId="9" borderId="0" xfId="0" applyFont="1" applyFill="1" applyAlignment="1">
      <alignment horizontal="left" vertical="top"/>
    </xf>
    <xf numFmtId="0" fontId="3" fillId="9" borderId="29" xfId="0" applyFont="1" applyFill="1" applyBorder="1" applyAlignment="1">
      <alignment horizontal="left" vertical="top"/>
    </xf>
    <xf numFmtId="183" fontId="3" fillId="21" borderId="8" xfId="3" applyNumberFormat="1" applyFill="1" applyBorder="1" applyAlignment="1">
      <alignment horizontal="left" vertical="center"/>
    </xf>
    <xf numFmtId="183" fontId="3" fillId="21" borderId="9" xfId="3" applyNumberFormat="1" applyFill="1" applyBorder="1" applyAlignment="1">
      <alignment horizontal="left" vertical="center"/>
    </xf>
    <xf numFmtId="183" fontId="3" fillId="21" borderId="15" xfId="3" applyNumberFormat="1" applyFill="1" applyBorder="1" applyAlignment="1">
      <alignment horizontal="left" vertical="center"/>
    </xf>
    <xf numFmtId="184" fontId="3" fillId="16" borderId="8" xfId="3" applyNumberFormat="1" applyFill="1" applyBorder="1" applyAlignment="1">
      <alignment horizontal="left" vertical="center"/>
    </xf>
    <xf numFmtId="184" fontId="3" fillId="16" borderId="9" xfId="3" applyNumberFormat="1" applyFill="1" applyBorder="1" applyAlignment="1">
      <alignment horizontal="left" vertical="center"/>
    </xf>
    <xf numFmtId="184" fontId="3" fillId="16" borderId="15" xfId="3" applyNumberFormat="1" applyFill="1" applyBorder="1" applyAlignment="1">
      <alignment horizontal="left" vertical="center"/>
    </xf>
    <xf numFmtId="190" fontId="3" fillId="9" borderId="8" xfId="3" applyNumberFormat="1" applyFill="1" applyBorder="1" applyAlignment="1">
      <alignment horizontal="left" vertical="center"/>
    </xf>
    <xf numFmtId="190" fontId="3" fillId="9" borderId="9" xfId="3" applyNumberFormat="1" applyFill="1" applyBorder="1" applyAlignment="1">
      <alignment horizontal="left" vertical="center"/>
    </xf>
    <xf numFmtId="178" fontId="3" fillId="20" borderId="8" xfId="3" applyNumberFormat="1" applyFill="1" applyBorder="1" applyAlignment="1">
      <alignment horizontal="left" vertical="center"/>
    </xf>
    <xf numFmtId="178" fontId="3" fillId="20" borderId="9" xfId="3" applyNumberFormat="1" applyFill="1" applyBorder="1" applyAlignment="1">
      <alignment horizontal="left" vertical="center"/>
    </xf>
    <xf numFmtId="176" fontId="3" fillId="20" borderId="8" xfId="3" applyNumberFormat="1" applyFill="1" applyBorder="1" applyAlignment="1">
      <alignment horizontal="left" vertical="center"/>
    </xf>
    <xf numFmtId="176" fontId="3" fillId="20" borderId="9" xfId="3" applyNumberFormat="1" applyFill="1" applyBorder="1" applyAlignment="1">
      <alignment horizontal="left" vertical="center"/>
    </xf>
    <xf numFmtId="191" fontId="3" fillId="16" borderId="8" xfId="3" applyNumberFormat="1" applyFill="1" applyBorder="1" applyAlignment="1">
      <alignment horizontal="left" vertical="center"/>
    </xf>
    <xf numFmtId="191" fontId="3" fillId="16" borderId="9" xfId="3" applyNumberFormat="1" applyFill="1" applyBorder="1" applyAlignment="1">
      <alignment horizontal="left" vertical="center"/>
    </xf>
    <xf numFmtId="177" fontId="3" fillId="20" borderId="8" xfId="3" applyNumberFormat="1" applyFill="1" applyBorder="1" applyAlignment="1">
      <alignment horizontal="left" vertical="center"/>
    </xf>
    <xf numFmtId="177" fontId="3" fillId="20" borderId="9" xfId="3" applyNumberFormat="1" applyFill="1" applyBorder="1" applyAlignment="1">
      <alignment horizontal="left" vertical="center"/>
    </xf>
    <xf numFmtId="179" fontId="3" fillId="16" borderId="8" xfId="3" applyNumberFormat="1" applyFill="1" applyBorder="1" applyAlignment="1">
      <alignment horizontal="left" vertical="center"/>
    </xf>
    <xf numFmtId="179" fontId="3" fillId="16" borderId="9" xfId="3" applyNumberFormat="1" applyFill="1" applyBorder="1" applyAlignment="1">
      <alignment horizontal="left" vertical="center"/>
    </xf>
    <xf numFmtId="180" fontId="3" fillId="16" borderId="8" xfId="3" applyNumberFormat="1" applyFill="1" applyBorder="1" applyAlignment="1">
      <alignment horizontal="left" vertical="center"/>
    </xf>
    <xf numFmtId="180" fontId="3" fillId="16" borderId="9" xfId="3" applyNumberFormat="1" applyFill="1" applyBorder="1" applyAlignment="1">
      <alignment horizontal="left" vertical="center"/>
    </xf>
    <xf numFmtId="190" fontId="3" fillId="20" borderId="8" xfId="3" applyNumberFormat="1" applyFill="1" applyBorder="1" applyAlignment="1">
      <alignment horizontal="left" vertical="center"/>
    </xf>
    <xf numFmtId="190" fontId="3" fillId="20" borderId="9" xfId="3" applyNumberFormat="1" applyFill="1" applyBorder="1" applyAlignment="1">
      <alignment horizontal="left" vertical="center"/>
    </xf>
    <xf numFmtId="176" fontId="3" fillId="16" borderId="8" xfId="3" applyNumberFormat="1" applyFill="1" applyBorder="1" applyAlignment="1">
      <alignment horizontal="left" vertical="center"/>
    </xf>
    <xf numFmtId="0" fontId="0" fillId="0" borderId="9" xfId="0" applyBorder="1"/>
    <xf numFmtId="0" fontId="73" fillId="3" borderId="51" xfId="3" applyFont="1" applyFill="1" applyBorder="1" applyAlignment="1">
      <alignment horizontal="left" vertical="center"/>
    </xf>
    <xf numFmtId="0" fontId="73" fillId="3" borderId="52" xfId="3" applyFont="1" applyFill="1" applyBorder="1" applyAlignment="1">
      <alignment horizontal="left" vertical="center"/>
    </xf>
    <xf numFmtId="0" fontId="73" fillId="3" borderId="53" xfId="3" applyFont="1" applyFill="1" applyBorder="1" applyAlignment="1">
      <alignment horizontal="left" vertical="center"/>
    </xf>
    <xf numFmtId="178" fontId="3" fillId="21" borderId="8" xfId="3" applyNumberFormat="1" applyFill="1" applyBorder="1" applyAlignment="1">
      <alignment horizontal="left" vertical="center"/>
    </xf>
    <xf numFmtId="178" fontId="3" fillId="21" borderId="9" xfId="3" applyNumberFormat="1" applyFill="1" applyBorder="1" applyAlignment="1">
      <alignment horizontal="left" vertical="center"/>
    </xf>
    <xf numFmtId="183" fontId="3" fillId="16" borderId="8" xfId="3" applyNumberFormat="1" applyFill="1" applyBorder="1" applyAlignment="1">
      <alignment horizontal="left" vertical="center"/>
    </xf>
    <xf numFmtId="183" fontId="3" fillId="16" borderId="9" xfId="3" applyNumberFormat="1" applyFill="1" applyBorder="1" applyAlignment="1">
      <alignment horizontal="left" vertical="center"/>
    </xf>
    <xf numFmtId="183" fontId="3" fillId="16" borderId="15" xfId="3" applyNumberFormat="1" applyFill="1" applyBorder="1" applyAlignment="1">
      <alignment horizontal="left" vertical="center"/>
    </xf>
    <xf numFmtId="188" fontId="3" fillId="16" borderId="8" xfId="3" applyNumberFormat="1" applyFill="1" applyBorder="1" applyAlignment="1">
      <alignment horizontal="left" vertical="center"/>
    </xf>
    <xf numFmtId="188" fontId="3" fillId="16" borderId="9" xfId="3" applyNumberFormat="1" applyFill="1" applyBorder="1" applyAlignment="1">
      <alignment horizontal="left" vertical="center"/>
    </xf>
    <xf numFmtId="188" fontId="3" fillId="16" borderId="15" xfId="3" applyNumberFormat="1" applyFill="1" applyBorder="1" applyAlignment="1">
      <alignment horizontal="left" vertical="center"/>
    </xf>
    <xf numFmtId="192" fontId="3" fillId="21" borderId="8" xfId="3" applyNumberFormat="1" applyFill="1" applyBorder="1" applyAlignment="1">
      <alignment horizontal="left" vertical="center"/>
    </xf>
    <xf numFmtId="192" fontId="3" fillId="21" borderId="9" xfId="3" applyNumberFormat="1" applyFill="1" applyBorder="1" applyAlignment="1">
      <alignment horizontal="left" vertical="center"/>
    </xf>
    <xf numFmtId="192" fontId="3" fillId="21" borderId="15" xfId="3" applyNumberFormat="1" applyFill="1" applyBorder="1" applyAlignment="1">
      <alignment horizontal="left" vertical="center"/>
    </xf>
    <xf numFmtId="182" fontId="3" fillId="20" borderId="8" xfId="3" applyNumberFormat="1" applyFill="1" applyBorder="1" applyAlignment="1">
      <alignment horizontal="left" vertical="center"/>
    </xf>
    <xf numFmtId="182" fontId="3" fillId="20" borderId="9" xfId="3" applyNumberFormat="1" applyFill="1" applyBorder="1" applyAlignment="1">
      <alignment horizontal="left" vertical="center"/>
    </xf>
    <xf numFmtId="182" fontId="3" fillId="20" borderId="15" xfId="3" applyNumberFormat="1" applyFill="1" applyBorder="1" applyAlignment="1">
      <alignment horizontal="left" vertical="center"/>
    </xf>
    <xf numFmtId="0" fontId="4" fillId="9" borderId="79" xfId="3" applyFont="1" applyFill="1" applyBorder="1" applyAlignment="1">
      <alignment horizontal="center" vertical="center"/>
    </xf>
    <xf numFmtId="0" fontId="4" fillId="9" borderId="67" xfId="3" applyFont="1" applyFill="1" applyBorder="1" applyAlignment="1">
      <alignment horizontal="center" vertical="center"/>
    </xf>
    <xf numFmtId="0" fontId="4" fillId="9" borderId="14" xfId="3" applyFont="1" applyFill="1" applyBorder="1" applyAlignment="1">
      <alignment horizontal="left" vertical="center"/>
    </xf>
    <xf numFmtId="0" fontId="4" fillId="9" borderId="12" xfId="3" applyFont="1" applyFill="1" applyBorder="1" applyAlignment="1">
      <alignment horizontal="left" vertical="center"/>
    </xf>
    <xf numFmtId="0" fontId="4" fillId="9" borderId="78" xfId="3" applyFont="1" applyFill="1" applyBorder="1" applyAlignment="1">
      <alignment horizontal="left" vertical="center"/>
    </xf>
    <xf numFmtId="0" fontId="4" fillId="9" borderId="10" xfId="3" applyFont="1" applyFill="1" applyBorder="1" applyAlignment="1">
      <alignment horizontal="left" vertical="center"/>
    </xf>
    <xf numFmtId="0" fontId="4" fillId="9" borderId="16" xfId="3" applyFont="1" applyFill="1" applyBorder="1" applyAlignment="1">
      <alignment horizontal="left" vertical="center"/>
    </xf>
    <xf numFmtId="0" fontId="4" fillId="9" borderId="69" xfId="3" applyFont="1" applyFill="1" applyBorder="1" applyAlignment="1">
      <alignment horizontal="left" vertical="center"/>
    </xf>
    <xf numFmtId="0" fontId="4" fillId="9" borderId="4" xfId="3" applyFont="1" applyFill="1" applyBorder="1" applyAlignment="1">
      <alignment horizontal="left" vertical="center"/>
    </xf>
    <xf numFmtId="0" fontId="4" fillId="9" borderId="17" xfId="3" applyFont="1" applyFill="1" applyBorder="1" applyAlignment="1">
      <alignment horizontal="left" vertical="center"/>
    </xf>
    <xf numFmtId="0" fontId="62" fillId="9" borderId="14" xfId="3" applyFont="1" applyFill="1" applyBorder="1" applyAlignment="1">
      <alignment horizontal="center" vertical="center"/>
    </xf>
    <xf numFmtId="0" fontId="62" fillId="9" borderId="12" xfId="3" applyFont="1" applyFill="1" applyBorder="1" applyAlignment="1">
      <alignment horizontal="center" vertical="center"/>
    </xf>
    <xf numFmtId="0" fontId="4" fillId="9" borderId="14" xfId="3" applyFont="1" applyFill="1" applyBorder="1" applyAlignment="1">
      <alignment horizontal="left" vertical="center" wrapText="1"/>
    </xf>
    <xf numFmtId="0" fontId="4" fillId="9" borderId="12" xfId="3" applyFont="1" applyFill="1" applyBorder="1" applyAlignment="1">
      <alignment horizontal="left" vertical="center" wrapText="1"/>
    </xf>
    <xf numFmtId="0" fontId="64" fillId="0" borderId="0" xfId="6" applyFont="1" applyAlignment="1">
      <alignment wrapText="1"/>
    </xf>
    <xf numFmtId="0" fontId="93" fillId="0" borderId="0" xfId="6" applyFont="1" applyAlignment="1">
      <alignment horizontal="center"/>
    </xf>
    <xf numFmtId="0" fontId="93" fillId="27" borderId="0" xfId="6" applyFont="1" applyFill="1" applyAlignment="1">
      <alignment horizontal="center"/>
    </xf>
    <xf numFmtId="0" fontId="96" fillId="18" borderId="0" xfId="6" applyFont="1" applyFill="1" applyAlignment="1">
      <alignment horizontal="left"/>
    </xf>
    <xf numFmtId="0" fontId="64" fillId="0" borderId="0" xfId="6" applyFont="1" applyAlignment="1">
      <alignment horizontal="left"/>
    </xf>
    <xf numFmtId="0" fontId="52" fillId="16" borderId="28" xfId="0" applyFont="1" applyFill="1" applyBorder="1" applyAlignment="1">
      <alignment horizontal="left" vertical="center"/>
    </xf>
    <xf numFmtId="0" fontId="52" fillId="16" borderId="0" xfId="0" applyFont="1" applyFill="1" applyAlignment="1">
      <alignment horizontal="left" vertical="center"/>
    </xf>
    <xf numFmtId="0" fontId="4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4" fillId="4" borderId="55" xfId="0" applyFont="1" applyFill="1" applyBorder="1" applyAlignment="1">
      <alignment horizontal="center"/>
    </xf>
    <xf numFmtId="0" fontId="4" fillId="4" borderId="56" xfId="0" applyFont="1" applyFill="1" applyBorder="1" applyAlignment="1">
      <alignment horizontal="center"/>
    </xf>
    <xf numFmtId="0" fontId="4" fillId="4" borderId="57" xfId="0" applyFont="1" applyFill="1" applyBorder="1" applyAlignment="1">
      <alignment horizontal="center"/>
    </xf>
    <xf numFmtId="0" fontId="14" fillId="3" borderId="0" xfId="0" applyFont="1" applyFill="1" applyAlignment="1">
      <alignment horizontal="left"/>
    </xf>
    <xf numFmtId="0" fontId="4" fillId="0" borderId="0" xfId="0" applyFont="1" applyAlignment="1">
      <alignment horizontal="left" wrapText="1"/>
    </xf>
    <xf numFmtId="169" fontId="4" fillId="4" borderId="55" xfId="0" applyNumberFormat="1" applyFont="1" applyFill="1" applyBorder="1" applyAlignment="1">
      <alignment horizontal="center"/>
    </xf>
    <xf numFmtId="169" fontId="4" fillId="4" borderId="56" xfId="0" applyNumberFormat="1" applyFont="1" applyFill="1" applyBorder="1" applyAlignment="1">
      <alignment horizontal="center"/>
    </xf>
    <xf numFmtId="169" fontId="4" fillId="4" borderId="57" xfId="0" applyNumberFormat="1" applyFont="1" applyFill="1" applyBorder="1" applyAlignment="1">
      <alignment horizontal="center"/>
    </xf>
    <xf numFmtId="0" fontId="4" fillId="4" borderId="47" xfId="0" applyFont="1" applyFill="1" applyBorder="1" applyAlignment="1">
      <alignment horizontal="center"/>
    </xf>
    <xf numFmtId="0" fontId="4" fillId="4" borderId="48" xfId="0" applyFont="1" applyFill="1" applyBorder="1" applyAlignment="1">
      <alignment horizontal="center"/>
    </xf>
    <xf numFmtId="0" fontId="4" fillId="4" borderId="20" xfId="0" applyFont="1" applyFill="1" applyBorder="1" applyAlignment="1">
      <alignment horizontal="center"/>
    </xf>
    <xf numFmtId="0" fontId="4" fillId="24" borderId="0" xfId="0" applyFont="1" applyFill="1" applyAlignment="1">
      <alignment horizontal="center"/>
    </xf>
    <xf numFmtId="0" fontId="80" fillId="4" borderId="74" xfId="3" applyFont="1" applyFill="1" applyBorder="1" applyAlignment="1">
      <alignment horizontal="center" vertical="center"/>
    </xf>
    <xf numFmtId="0" fontId="80" fillId="4" borderId="66" xfId="3" applyFont="1" applyFill="1" applyBorder="1" applyAlignment="1">
      <alignment horizontal="center" vertical="center"/>
    </xf>
    <xf numFmtId="0" fontId="4" fillId="0" borderId="55" xfId="3" applyFont="1" applyBorder="1" applyAlignment="1">
      <alignment horizontal="center"/>
    </xf>
    <xf numFmtId="0" fontId="4" fillId="0" borderId="56" xfId="3" applyFont="1" applyBorder="1" applyAlignment="1">
      <alignment horizontal="center"/>
    </xf>
    <xf numFmtId="0" fontId="3" fillId="0" borderId="56" xfId="3" applyBorder="1" applyAlignment="1">
      <alignment horizontal="center"/>
    </xf>
    <xf numFmtId="0" fontId="3" fillId="0" borderId="57" xfId="3" applyBorder="1" applyAlignment="1">
      <alignment horizontal="center"/>
    </xf>
    <xf numFmtId="0" fontId="80" fillId="4" borderId="74" xfId="3" applyFont="1" applyFill="1" applyBorder="1" applyAlignment="1">
      <alignment horizontal="center" vertical="top" shrinkToFit="1"/>
    </xf>
    <xf numFmtId="0" fontId="3" fillId="4" borderId="73" xfId="3" applyFill="1" applyBorder="1" applyAlignment="1">
      <alignment horizontal="center" vertical="top" shrinkToFit="1"/>
    </xf>
    <xf numFmtId="0" fontId="3" fillId="4" borderId="72" xfId="3" applyFill="1" applyBorder="1" applyAlignment="1">
      <alignment horizontal="center" vertical="top" shrinkToFit="1"/>
    </xf>
    <xf numFmtId="0" fontId="80" fillId="4" borderId="60" xfId="3" applyFont="1" applyFill="1" applyBorder="1" applyAlignment="1">
      <alignment horizontal="center"/>
    </xf>
    <xf numFmtId="0" fontId="80" fillId="4" borderId="62" xfId="3" applyFont="1" applyFill="1" applyBorder="1" applyAlignment="1">
      <alignment horizontal="center"/>
    </xf>
    <xf numFmtId="0" fontId="4" fillId="0" borderId="57" xfId="3" applyFont="1" applyBorder="1" applyAlignment="1">
      <alignment horizontal="center"/>
    </xf>
    <xf numFmtId="0" fontId="4" fillId="0" borderId="64" xfId="3" applyFont="1" applyBorder="1" applyAlignment="1">
      <alignment horizontal="center"/>
    </xf>
    <xf numFmtId="0" fontId="4" fillId="0" borderId="65" xfId="3" applyFont="1" applyBorder="1" applyAlignment="1">
      <alignment horizontal="center"/>
    </xf>
    <xf numFmtId="0" fontId="80" fillId="4" borderId="55" xfId="3" applyFont="1" applyFill="1" applyBorder="1" applyAlignment="1">
      <alignment horizontal="center"/>
    </xf>
    <xf numFmtId="0" fontId="80" fillId="4" borderId="56" xfId="3" applyFont="1" applyFill="1" applyBorder="1" applyAlignment="1">
      <alignment horizontal="center"/>
    </xf>
    <xf numFmtId="0" fontId="80" fillId="4" borderId="57" xfId="3" applyFont="1" applyFill="1" applyBorder="1" applyAlignment="1">
      <alignment horizontal="center"/>
    </xf>
    <xf numFmtId="0" fontId="3" fillId="4" borderId="61" xfId="3" applyFill="1" applyBorder="1" applyAlignment="1">
      <alignment horizontal="center"/>
    </xf>
    <xf numFmtId="0" fontId="3" fillId="4" borderId="62" xfId="3" applyFill="1" applyBorder="1" applyAlignment="1">
      <alignment horizontal="center"/>
    </xf>
    <xf numFmtId="0" fontId="4" fillId="4" borderId="60" xfId="3" applyFont="1" applyFill="1" applyBorder="1"/>
    <xf numFmtId="0" fontId="4" fillId="4" borderId="62" xfId="3" applyFont="1" applyFill="1" applyBorder="1"/>
    <xf numFmtId="0" fontId="4" fillId="0" borderId="18" xfId="3" applyFont="1" applyBorder="1" applyAlignment="1">
      <alignment horizontal="center"/>
    </xf>
    <xf numFmtId="0" fontId="4" fillId="0" borderId="11" xfId="3" applyFont="1" applyBorder="1" applyAlignment="1">
      <alignment horizontal="center"/>
    </xf>
    <xf numFmtId="0" fontId="4" fillId="0" borderId="58" xfId="3" applyFont="1" applyBorder="1" applyAlignment="1">
      <alignment horizontal="center"/>
    </xf>
  </cellXfs>
  <cellStyles count="8">
    <cellStyle name="Comma" xfId="1" builtinId="3"/>
    <cellStyle name="Comma 2" xfId="5" xr:uid="{00000000-0005-0000-0000-000001000000}"/>
    <cellStyle name="Hyperlink" xfId="2" builtinId="8"/>
    <cellStyle name="Hyperlink 2" xfId="7" xr:uid="{7897ACC2-7C15-4806-AE69-F5805461D676}"/>
    <cellStyle name="Normal" xfId="0" builtinId="0"/>
    <cellStyle name="Normal 2" xfId="3" xr:uid="{00000000-0005-0000-0000-000004000000}"/>
    <cellStyle name="Normal 3" xfId="4" xr:uid="{00000000-0005-0000-0000-000005000000}"/>
    <cellStyle name="Normal 4" xfId="6" xr:uid="{500057F8-7E71-45E8-A9DE-D4316585D26A}"/>
  </cellStyles>
  <dxfs count="16">
    <dxf>
      <font>
        <color theme="0"/>
      </font>
    </dxf>
    <dxf>
      <font>
        <b/>
        <i val="0"/>
        <color rgb="FFC00000"/>
      </font>
    </dxf>
    <dxf>
      <font>
        <color theme="0"/>
      </font>
      <fill>
        <patternFill>
          <bgColor theme="0"/>
        </patternFill>
      </fill>
    </dxf>
    <dxf>
      <font>
        <color rgb="FFFF0000"/>
      </font>
    </dxf>
    <dxf>
      <font>
        <b/>
        <i val="0"/>
        <condense val="0"/>
        <extend val="0"/>
        <color indexed="1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colors>
    <mruColors>
      <color rgb="FFCCFFFF"/>
      <color rgb="FF0000FF"/>
      <color rgb="FFC00000"/>
      <color rgb="FFCC00FF"/>
      <color rgb="FFC0C0C0"/>
      <color rgb="FFFFFFCC"/>
      <color rgb="FFFF9900"/>
      <color rgb="FFFF00FF"/>
      <color rgb="FF99CC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00000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r>
              <a:rPr lang="en-US" sz="2000" u="none">
                <a:latin typeface="Arial" pitchFamily="34" charset="0"/>
                <a:cs typeface="Arial" pitchFamily="34" charset="0"/>
              </a:rPr>
              <a:t>Bode Plot, V</a:t>
            </a:r>
            <a:r>
              <a:rPr lang="en-US" sz="2000" u="none" baseline="-25000">
                <a:latin typeface="Arial" pitchFamily="34" charset="0"/>
                <a:cs typeface="Arial" pitchFamily="34" charset="0"/>
              </a:rPr>
              <a:t>IN</a:t>
            </a:r>
            <a:r>
              <a:rPr lang="en-US" sz="2000" u="none" baseline="0">
                <a:latin typeface="Arial" pitchFamily="34" charset="0"/>
                <a:cs typeface="Arial" pitchFamily="34" charset="0"/>
              </a:rPr>
              <a:t> = </a:t>
            </a:r>
            <a:r>
              <a:rPr lang="en-US" sz="2000" u="none">
                <a:latin typeface="Arial" pitchFamily="34" charset="0"/>
                <a:cs typeface="Arial" pitchFamily="34" charset="0"/>
              </a:rPr>
              <a:t>V</a:t>
            </a:r>
            <a:r>
              <a:rPr lang="en-US" sz="2000" u="none" baseline="-25000">
                <a:latin typeface="Arial" pitchFamily="34" charset="0"/>
                <a:cs typeface="Arial" pitchFamily="34" charset="0"/>
              </a:rPr>
              <a:t>IN(nom)</a:t>
            </a:r>
            <a:endParaRPr lang="en-US" sz="2000" u="none">
              <a:latin typeface="Arial" pitchFamily="34" charset="0"/>
              <a:cs typeface="Arial" pitchFamily="34" charset="0"/>
            </a:endParaRPr>
          </a:p>
        </c:rich>
      </c:tx>
      <c:layout>
        <c:manualLayout>
          <c:xMode val="edge"/>
          <c:yMode val="edge"/>
          <c:x val="8.0358613068103324E-2"/>
          <c:y val="2.062992125984251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865550467700392E-2"/>
          <c:y val="0.11264619116931211"/>
          <c:w val="0.82929752780099952"/>
          <c:h val="0.762051843542218"/>
        </c:manualLayout>
      </c:layout>
      <c:scatterChart>
        <c:scatterStyle val="smoothMarker"/>
        <c:varyColors val="0"/>
        <c:ser>
          <c:idx val="2"/>
          <c:order val="0"/>
          <c:tx>
            <c:v>Loop Gain</c:v>
          </c:tx>
          <c:spPr>
            <a:ln w="3175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'Stability Calculations'!$A$13:$A$613</c:f>
              <c:numCache>
                <c:formatCode>General</c:formatCode>
                <c:ptCount val="601"/>
                <c:pt idx="0">
                  <c:v>1</c:v>
                </c:pt>
                <c:pt idx="1">
                  <c:v>1.0965</c:v>
                </c:pt>
                <c:pt idx="2">
                  <c:v>1.2022999999999999</c:v>
                </c:pt>
                <c:pt idx="3">
                  <c:v>1.3183</c:v>
                </c:pt>
                <c:pt idx="4">
                  <c:v>1.4454</c:v>
                </c:pt>
                <c:pt idx="5">
                  <c:v>1.5849</c:v>
                </c:pt>
                <c:pt idx="6">
                  <c:v>1.7378</c:v>
                </c:pt>
                <c:pt idx="7">
                  <c:v>1.9055</c:v>
                </c:pt>
                <c:pt idx="8">
                  <c:v>2.0893000000000002</c:v>
                </c:pt>
                <c:pt idx="9">
                  <c:v>2.2909000000000002</c:v>
                </c:pt>
                <c:pt idx="10">
                  <c:v>2.5118999999999998</c:v>
                </c:pt>
                <c:pt idx="11">
                  <c:v>2.7542</c:v>
                </c:pt>
                <c:pt idx="12">
                  <c:v>3.02</c:v>
                </c:pt>
                <c:pt idx="13">
                  <c:v>3.3113000000000001</c:v>
                </c:pt>
                <c:pt idx="14">
                  <c:v>3.6307999999999998</c:v>
                </c:pt>
                <c:pt idx="15">
                  <c:v>3.9811000000000001</c:v>
                </c:pt>
                <c:pt idx="16">
                  <c:v>4.3651999999999997</c:v>
                </c:pt>
                <c:pt idx="17">
                  <c:v>4.7862999999999998</c:v>
                </c:pt>
                <c:pt idx="18">
                  <c:v>5.2481</c:v>
                </c:pt>
                <c:pt idx="19">
                  <c:v>5.7544000000000004</c:v>
                </c:pt>
                <c:pt idx="20">
                  <c:v>6.3095999999999997</c:v>
                </c:pt>
                <c:pt idx="21">
                  <c:v>6.9183000000000003</c:v>
                </c:pt>
                <c:pt idx="22">
                  <c:v>7.5857999999999999</c:v>
                </c:pt>
                <c:pt idx="23">
                  <c:v>8.3176000000000005</c:v>
                </c:pt>
                <c:pt idx="24">
                  <c:v>9.1201000000000008</c:v>
                </c:pt>
                <c:pt idx="25">
                  <c:v>10</c:v>
                </c:pt>
                <c:pt idx="26">
                  <c:v>10.965</c:v>
                </c:pt>
                <c:pt idx="27">
                  <c:v>12.023</c:v>
                </c:pt>
                <c:pt idx="28">
                  <c:v>13.183</c:v>
                </c:pt>
                <c:pt idx="29">
                  <c:v>14.454000000000001</c:v>
                </c:pt>
                <c:pt idx="30">
                  <c:v>15.849</c:v>
                </c:pt>
                <c:pt idx="31">
                  <c:v>17.378</c:v>
                </c:pt>
                <c:pt idx="32">
                  <c:v>19.055</c:v>
                </c:pt>
                <c:pt idx="33">
                  <c:v>20.893000000000001</c:v>
                </c:pt>
                <c:pt idx="34">
                  <c:v>22.909000000000002</c:v>
                </c:pt>
                <c:pt idx="35">
                  <c:v>25.119</c:v>
                </c:pt>
                <c:pt idx="36">
                  <c:v>27.542000000000002</c:v>
                </c:pt>
                <c:pt idx="37">
                  <c:v>30.2</c:v>
                </c:pt>
                <c:pt idx="38">
                  <c:v>33.113</c:v>
                </c:pt>
                <c:pt idx="39">
                  <c:v>36.308</c:v>
                </c:pt>
                <c:pt idx="40">
                  <c:v>39.811</c:v>
                </c:pt>
                <c:pt idx="41">
                  <c:v>43.652000000000001</c:v>
                </c:pt>
                <c:pt idx="42">
                  <c:v>47.863</c:v>
                </c:pt>
                <c:pt idx="43">
                  <c:v>52.481000000000002</c:v>
                </c:pt>
                <c:pt idx="44">
                  <c:v>57.544000000000004</c:v>
                </c:pt>
                <c:pt idx="45">
                  <c:v>63.095999999999997</c:v>
                </c:pt>
                <c:pt idx="46">
                  <c:v>69.183000000000007</c:v>
                </c:pt>
                <c:pt idx="47">
                  <c:v>75.858000000000004</c:v>
                </c:pt>
                <c:pt idx="48">
                  <c:v>83.176000000000002</c:v>
                </c:pt>
                <c:pt idx="49">
                  <c:v>91.201000000000008</c:v>
                </c:pt>
                <c:pt idx="50">
                  <c:v>100</c:v>
                </c:pt>
                <c:pt idx="51">
                  <c:v>109.65</c:v>
                </c:pt>
                <c:pt idx="52">
                  <c:v>120.23</c:v>
                </c:pt>
                <c:pt idx="53">
                  <c:v>131.83000000000001</c:v>
                </c:pt>
                <c:pt idx="54">
                  <c:v>144.54</c:v>
                </c:pt>
                <c:pt idx="55">
                  <c:v>158.49</c:v>
                </c:pt>
                <c:pt idx="56">
                  <c:v>173.78</c:v>
                </c:pt>
                <c:pt idx="57">
                  <c:v>190.55</c:v>
                </c:pt>
                <c:pt idx="58">
                  <c:v>208.93</c:v>
                </c:pt>
                <c:pt idx="59">
                  <c:v>229.09</c:v>
                </c:pt>
                <c:pt idx="60">
                  <c:v>251.19</c:v>
                </c:pt>
                <c:pt idx="61">
                  <c:v>275.42</c:v>
                </c:pt>
                <c:pt idx="62">
                  <c:v>302</c:v>
                </c:pt>
                <c:pt idx="63">
                  <c:v>331.13</c:v>
                </c:pt>
                <c:pt idx="64">
                  <c:v>363.08</c:v>
                </c:pt>
                <c:pt idx="65">
                  <c:v>398.11</c:v>
                </c:pt>
                <c:pt idx="66">
                  <c:v>436.52</c:v>
                </c:pt>
                <c:pt idx="67">
                  <c:v>478.63</c:v>
                </c:pt>
                <c:pt idx="68">
                  <c:v>524.80999999999995</c:v>
                </c:pt>
                <c:pt idx="69">
                  <c:v>575.44000000000005</c:v>
                </c:pt>
                <c:pt idx="70">
                  <c:v>630.96</c:v>
                </c:pt>
                <c:pt idx="71">
                  <c:v>691.83</c:v>
                </c:pt>
                <c:pt idx="72">
                  <c:v>758.58</c:v>
                </c:pt>
                <c:pt idx="73">
                  <c:v>831.76</c:v>
                </c:pt>
                <c:pt idx="74">
                  <c:v>912.01</c:v>
                </c:pt>
                <c:pt idx="75">
                  <c:v>1000</c:v>
                </c:pt>
                <c:pt idx="76">
                  <c:v>1096.5</c:v>
                </c:pt>
                <c:pt idx="77">
                  <c:v>1202.3</c:v>
                </c:pt>
                <c:pt idx="78">
                  <c:v>1318.3</c:v>
                </c:pt>
                <c:pt idx="79">
                  <c:v>1445.4</c:v>
                </c:pt>
                <c:pt idx="80">
                  <c:v>1584.9</c:v>
                </c:pt>
                <c:pt idx="81">
                  <c:v>1737.8</c:v>
                </c:pt>
                <c:pt idx="82">
                  <c:v>1905.5</c:v>
                </c:pt>
                <c:pt idx="83">
                  <c:v>2089.3000000000002</c:v>
                </c:pt>
                <c:pt idx="84">
                  <c:v>2290.9</c:v>
                </c:pt>
                <c:pt idx="85">
                  <c:v>2511.9</c:v>
                </c:pt>
                <c:pt idx="86">
                  <c:v>2754.2</c:v>
                </c:pt>
                <c:pt idx="87">
                  <c:v>3020</c:v>
                </c:pt>
                <c:pt idx="88">
                  <c:v>3311.3</c:v>
                </c:pt>
                <c:pt idx="89">
                  <c:v>3630.8</c:v>
                </c:pt>
                <c:pt idx="90">
                  <c:v>3981.1</c:v>
                </c:pt>
                <c:pt idx="91">
                  <c:v>4365.2</c:v>
                </c:pt>
                <c:pt idx="92">
                  <c:v>4786.3</c:v>
                </c:pt>
                <c:pt idx="93">
                  <c:v>5248.1</c:v>
                </c:pt>
                <c:pt idx="94">
                  <c:v>5370.3</c:v>
                </c:pt>
                <c:pt idx="95">
                  <c:v>5432.85</c:v>
                </c:pt>
                <c:pt idx="96">
                  <c:v>5495.4</c:v>
                </c:pt>
                <c:pt idx="97">
                  <c:v>5559.4</c:v>
                </c:pt>
                <c:pt idx="98">
                  <c:v>5623.4</c:v>
                </c:pt>
                <c:pt idx="99">
                  <c:v>5688.9</c:v>
                </c:pt>
                <c:pt idx="100">
                  <c:v>5754.4</c:v>
                </c:pt>
                <c:pt idx="101">
                  <c:v>5821.4</c:v>
                </c:pt>
                <c:pt idx="102">
                  <c:v>5888.4</c:v>
                </c:pt>
                <c:pt idx="103">
                  <c:v>5957</c:v>
                </c:pt>
                <c:pt idx="104">
                  <c:v>6025.6</c:v>
                </c:pt>
                <c:pt idx="105">
                  <c:v>6095.8</c:v>
                </c:pt>
                <c:pt idx="106">
                  <c:v>6166</c:v>
                </c:pt>
                <c:pt idx="107">
                  <c:v>6237.8</c:v>
                </c:pt>
                <c:pt idx="108">
                  <c:v>6309.6</c:v>
                </c:pt>
                <c:pt idx="109">
                  <c:v>6383.05</c:v>
                </c:pt>
                <c:pt idx="110">
                  <c:v>6456.5</c:v>
                </c:pt>
                <c:pt idx="111">
                  <c:v>6531.7</c:v>
                </c:pt>
                <c:pt idx="112">
                  <c:v>6606.9</c:v>
                </c:pt>
                <c:pt idx="113">
                  <c:v>6683.85</c:v>
                </c:pt>
                <c:pt idx="114">
                  <c:v>6760.8</c:v>
                </c:pt>
                <c:pt idx="115">
                  <c:v>6839.55</c:v>
                </c:pt>
                <c:pt idx="116">
                  <c:v>6918.3</c:v>
                </c:pt>
                <c:pt idx="117">
                  <c:v>6998.9</c:v>
                </c:pt>
                <c:pt idx="118">
                  <c:v>7079.5</c:v>
                </c:pt>
                <c:pt idx="119">
                  <c:v>7161.95</c:v>
                </c:pt>
                <c:pt idx="120">
                  <c:v>7244.4</c:v>
                </c:pt>
                <c:pt idx="121">
                  <c:v>7328.75</c:v>
                </c:pt>
                <c:pt idx="122">
                  <c:v>7413.1</c:v>
                </c:pt>
                <c:pt idx="123">
                  <c:v>7499.45</c:v>
                </c:pt>
                <c:pt idx="124">
                  <c:v>7585.8</c:v>
                </c:pt>
                <c:pt idx="125">
                  <c:v>7674.15</c:v>
                </c:pt>
                <c:pt idx="126">
                  <c:v>7762.5</c:v>
                </c:pt>
                <c:pt idx="127">
                  <c:v>7852.9</c:v>
                </c:pt>
                <c:pt idx="128">
                  <c:v>7943.3</c:v>
                </c:pt>
                <c:pt idx="129">
                  <c:v>8035.8</c:v>
                </c:pt>
                <c:pt idx="130">
                  <c:v>8128.3</c:v>
                </c:pt>
                <c:pt idx="131">
                  <c:v>8222.9500000000007</c:v>
                </c:pt>
                <c:pt idx="132">
                  <c:v>8270.2750000000015</c:v>
                </c:pt>
                <c:pt idx="133">
                  <c:v>8317.6</c:v>
                </c:pt>
                <c:pt idx="134">
                  <c:v>8366.0499999999993</c:v>
                </c:pt>
                <c:pt idx="135">
                  <c:v>8414.5</c:v>
                </c:pt>
                <c:pt idx="136">
                  <c:v>8462.9500000000007</c:v>
                </c:pt>
                <c:pt idx="137">
                  <c:v>8511.4</c:v>
                </c:pt>
                <c:pt idx="138">
                  <c:v>8560.9500000000007</c:v>
                </c:pt>
                <c:pt idx="139">
                  <c:v>8610.5</c:v>
                </c:pt>
                <c:pt idx="140">
                  <c:v>8660.0499999999993</c:v>
                </c:pt>
                <c:pt idx="141">
                  <c:v>8709.6</c:v>
                </c:pt>
                <c:pt idx="142">
                  <c:v>8760.3250000000007</c:v>
                </c:pt>
                <c:pt idx="143">
                  <c:v>8811.0499999999993</c:v>
                </c:pt>
                <c:pt idx="144">
                  <c:v>8861.7749999999996</c:v>
                </c:pt>
                <c:pt idx="145">
                  <c:v>8912.5</c:v>
                </c:pt>
                <c:pt idx="146">
                  <c:v>8964.4</c:v>
                </c:pt>
                <c:pt idx="147">
                  <c:v>9016.2999999999993</c:v>
                </c:pt>
                <c:pt idx="148">
                  <c:v>9068.2000000000007</c:v>
                </c:pt>
                <c:pt idx="149">
                  <c:v>9120.1</c:v>
                </c:pt>
                <c:pt idx="150">
                  <c:v>9173.2000000000007</c:v>
                </c:pt>
                <c:pt idx="151">
                  <c:v>9226.2999999999993</c:v>
                </c:pt>
                <c:pt idx="152">
                  <c:v>9279.4</c:v>
                </c:pt>
                <c:pt idx="153">
                  <c:v>9332.5</c:v>
                </c:pt>
                <c:pt idx="154">
                  <c:v>9386.85</c:v>
                </c:pt>
                <c:pt idx="155">
                  <c:v>9441.2000000000007</c:v>
                </c:pt>
                <c:pt idx="156">
                  <c:v>9495.5499999999993</c:v>
                </c:pt>
                <c:pt idx="157">
                  <c:v>9549.9</c:v>
                </c:pt>
                <c:pt idx="158">
                  <c:v>9605.5249999999996</c:v>
                </c:pt>
                <c:pt idx="159">
                  <c:v>9661.15</c:v>
                </c:pt>
                <c:pt idx="160">
                  <c:v>9716.7749999999996</c:v>
                </c:pt>
                <c:pt idx="161">
                  <c:v>9772.4</c:v>
                </c:pt>
                <c:pt idx="162">
                  <c:v>9829.2999999999993</c:v>
                </c:pt>
                <c:pt idx="163">
                  <c:v>9886.2000000000007</c:v>
                </c:pt>
                <c:pt idx="164">
                  <c:v>9943.1</c:v>
                </c:pt>
                <c:pt idx="165">
                  <c:v>10000</c:v>
                </c:pt>
                <c:pt idx="166">
                  <c:v>10058.25</c:v>
                </c:pt>
                <c:pt idx="167">
                  <c:v>10116.5</c:v>
                </c:pt>
                <c:pt idx="168">
                  <c:v>10174.75</c:v>
                </c:pt>
                <c:pt idx="169">
                  <c:v>10233</c:v>
                </c:pt>
                <c:pt idx="170">
                  <c:v>10292.5</c:v>
                </c:pt>
                <c:pt idx="171">
                  <c:v>10352</c:v>
                </c:pt>
                <c:pt idx="172">
                  <c:v>10411.5</c:v>
                </c:pt>
                <c:pt idx="173">
                  <c:v>10471</c:v>
                </c:pt>
                <c:pt idx="174">
                  <c:v>10532</c:v>
                </c:pt>
                <c:pt idx="175">
                  <c:v>10593</c:v>
                </c:pt>
                <c:pt idx="176">
                  <c:v>10654</c:v>
                </c:pt>
                <c:pt idx="177">
                  <c:v>10715</c:v>
                </c:pt>
                <c:pt idx="178">
                  <c:v>10777.5</c:v>
                </c:pt>
                <c:pt idx="179">
                  <c:v>10840</c:v>
                </c:pt>
                <c:pt idx="180">
                  <c:v>10902.5</c:v>
                </c:pt>
                <c:pt idx="181">
                  <c:v>10965</c:v>
                </c:pt>
                <c:pt idx="182">
                  <c:v>11028.75</c:v>
                </c:pt>
                <c:pt idx="183">
                  <c:v>11092.5</c:v>
                </c:pt>
                <c:pt idx="184">
                  <c:v>11156.25</c:v>
                </c:pt>
                <c:pt idx="185">
                  <c:v>11220</c:v>
                </c:pt>
                <c:pt idx="186">
                  <c:v>11285.5</c:v>
                </c:pt>
                <c:pt idx="187">
                  <c:v>11351</c:v>
                </c:pt>
                <c:pt idx="188">
                  <c:v>11416.5</c:v>
                </c:pt>
                <c:pt idx="189">
                  <c:v>11482</c:v>
                </c:pt>
                <c:pt idx="190">
                  <c:v>11548.75</c:v>
                </c:pt>
                <c:pt idx="191">
                  <c:v>11615.5</c:v>
                </c:pt>
                <c:pt idx="192">
                  <c:v>11682.25</c:v>
                </c:pt>
                <c:pt idx="193">
                  <c:v>11749</c:v>
                </c:pt>
                <c:pt idx="194">
                  <c:v>11817.5</c:v>
                </c:pt>
                <c:pt idx="195">
                  <c:v>11886</c:v>
                </c:pt>
                <c:pt idx="196">
                  <c:v>11954.5</c:v>
                </c:pt>
                <c:pt idx="197">
                  <c:v>12023</c:v>
                </c:pt>
                <c:pt idx="198">
                  <c:v>12093</c:v>
                </c:pt>
                <c:pt idx="199">
                  <c:v>12163</c:v>
                </c:pt>
                <c:pt idx="200">
                  <c:v>12233</c:v>
                </c:pt>
                <c:pt idx="201">
                  <c:v>12303</c:v>
                </c:pt>
                <c:pt idx="202">
                  <c:v>12374.5</c:v>
                </c:pt>
                <c:pt idx="203">
                  <c:v>12446</c:v>
                </c:pt>
                <c:pt idx="204">
                  <c:v>12517.5</c:v>
                </c:pt>
                <c:pt idx="205">
                  <c:v>12589</c:v>
                </c:pt>
                <c:pt idx="206">
                  <c:v>12662.25</c:v>
                </c:pt>
                <c:pt idx="207">
                  <c:v>12735.5</c:v>
                </c:pt>
                <c:pt idx="208">
                  <c:v>12808.75</c:v>
                </c:pt>
                <c:pt idx="209">
                  <c:v>12882</c:v>
                </c:pt>
                <c:pt idx="210">
                  <c:v>12957.25</c:v>
                </c:pt>
                <c:pt idx="211">
                  <c:v>13032.5</c:v>
                </c:pt>
                <c:pt idx="212">
                  <c:v>13107.75</c:v>
                </c:pt>
                <c:pt idx="213">
                  <c:v>13183</c:v>
                </c:pt>
                <c:pt idx="214">
                  <c:v>13259.75</c:v>
                </c:pt>
                <c:pt idx="215">
                  <c:v>13336.5</c:v>
                </c:pt>
                <c:pt idx="216">
                  <c:v>13413.25</c:v>
                </c:pt>
                <c:pt idx="217">
                  <c:v>13490</c:v>
                </c:pt>
                <c:pt idx="218">
                  <c:v>13568.5</c:v>
                </c:pt>
                <c:pt idx="219">
                  <c:v>13647</c:v>
                </c:pt>
                <c:pt idx="220">
                  <c:v>13725.5</c:v>
                </c:pt>
                <c:pt idx="221">
                  <c:v>13804</c:v>
                </c:pt>
                <c:pt idx="222">
                  <c:v>13884.25</c:v>
                </c:pt>
                <c:pt idx="223">
                  <c:v>13964.5</c:v>
                </c:pt>
                <c:pt idx="224">
                  <c:v>14044.75</c:v>
                </c:pt>
                <c:pt idx="225">
                  <c:v>14125</c:v>
                </c:pt>
                <c:pt idx="226">
                  <c:v>14207.25</c:v>
                </c:pt>
                <c:pt idx="227">
                  <c:v>14289.5</c:v>
                </c:pt>
                <c:pt idx="228">
                  <c:v>14371.75</c:v>
                </c:pt>
                <c:pt idx="229">
                  <c:v>14454</c:v>
                </c:pt>
                <c:pt idx="230">
                  <c:v>14622.5</c:v>
                </c:pt>
                <c:pt idx="231">
                  <c:v>14706.75</c:v>
                </c:pt>
                <c:pt idx="232">
                  <c:v>14791</c:v>
                </c:pt>
                <c:pt idx="233">
                  <c:v>14877.25</c:v>
                </c:pt>
                <c:pt idx="234">
                  <c:v>14963.5</c:v>
                </c:pt>
                <c:pt idx="235">
                  <c:v>15049.75</c:v>
                </c:pt>
                <c:pt idx="236">
                  <c:v>15136</c:v>
                </c:pt>
                <c:pt idx="237">
                  <c:v>15224</c:v>
                </c:pt>
                <c:pt idx="238">
                  <c:v>15312</c:v>
                </c:pt>
                <c:pt idx="239">
                  <c:v>15400</c:v>
                </c:pt>
                <c:pt idx="240">
                  <c:v>15488</c:v>
                </c:pt>
                <c:pt idx="241">
                  <c:v>15578.25</c:v>
                </c:pt>
                <c:pt idx="242">
                  <c:v>15668.5</c:v>
                </c:pt>
                <c:pt idx="243">
                  <c:v>15758.75</c:v>
                </c:pt>
                <c:pt idx="244">
                  <c:v>15849</c:v>
                </c:pt>
                <c:pt idx="245">
                  <c:v>15941.25</c:v>
                </c:pt>
                <c:pt idx="246">
                  <c:v>16033.5</c:v>
                </c:pt>
                <c:pt idx="247">
                  <c:v>16125.75</c:v>
                </c:pt>
                <c:pt idx="248">
                  <c:v>16218</c:v>
                </c:pt>
                <c:pt idx="249">
                  <c:v>16312.5</c:v>
                </c:pt>
                <c:pt idx="250">
                  <c:v>16407</c:v>
                </c:pt>
                <c:pt idx="251">
                  <c:v>16501.5</c:v>
                </c:pt>
                <c:pt idx="252">
                  <c:v>16596</c:v>
                </c:pt>
                <c:pt idx="253">
                  <c:v>16692.5</c:v>
                </c:pt>
                <c:pt idx="254">
                  <c:v>16789</c:v>
                </c:pt>
                <c:pt idx="255">
                  <c:v>16885.5</c:v>
                </c:pt>
                <c:pt idx="256">
                  <c:v>16982</c:v>
                </c:pt>
                <c:pt idx="257">
                  <c:v>17081</c:v>
                </c:pt>
                <c:pt idx="258">
                  <c:v>17180</c:v>
                </c:pt>
                <c:pt idx="259">
                  <c:v>17279</c:v>
                </c:pt>
                <c:pt idx="260">
                  <c:v>17378</c:v>
                </c:pt>
                <c:pt idx="261">
                  <c:v>17479.25</c:v>
                </c:pt>
                <c:pt idx="262">
                  <c:v>17580.5</c:v>
                </c:pt>
                <c:pt idx="263">
                  <c:v>17681.75</c:v>
                </c:pt>
                <c:pt idx="264">
                  <c:v>17783</c:v>
                </c:pt>
                <c:pt idx="265">
                  <c:v>17886.5</c:v>
                </c:pt>
                <c:pt idx="266">
                  <c:v>17990</c:v>
                </c:pt>
                <c:pt idx="267">
                  <c:v>18093.5</c:v>
                </c:pt>
                <c:pt idx="268">
                  <c:v>18197</c:v>
                </c:pt>
                <c:pt idx="269">
                  <c:v>18303</c:v>
                </c:pt>
                <c:pt idx="270">
                  <c:v>18409</c:v>
                </c:pt>
                <c:pt idx="271">
                  <c:v>18515</c:v>
                </c:pt>
                <c:pt idx="272">
                  <c:v>18621</c:v>
                </c:pt>
                <c:pt idx="273">
                  <c:v>18729.5</c:v>
                </c:pt>
                <c:pt idx="274">
                  <c:v>18838</c:v>
                </c:pt>
                <c:pt idx="275">
                  <c:v>18946.5</c:v>
                </c:pt>
                <c:pt idx="276">
                  <c:v>19055</c:v>
                </c:pt>
                <c:pt idx="277">
                  <c:v>19165.75</c:v>
                </c:pt>
                <c:pt idx="278">
                  <c:v>19276.5</c:v>
                </c:pt>
                <c:pt idx="279">
                  <c:v>19387.25</c:v>
                </c:pt>
                <c:pt idx="280">
                  <c:v>19498</c:v>
                </c:pt>
                <c:pt idx="281">
                  <c:v>19611.75</c:v>
                </c:pt>
                <c:pt idx="282">
                  <c:v>19725.5</c:v>
                </c:pt>
                <c:pt idx="283">
                  <c:v>19839.25</c:v>
                </c:pt>
                <c:pt idx="284">
                  <c:v>19953</c:v>
                </c:pt>
                <c:pt idx="285">
                  <c:v>20069</c:v>
                </c:pt>
                <c:pt idx="286">
                  <c:v>20185</c:v>
                </c:pt>
                <c:pt idx="287">
                  <c:v>20301</c:v>
                </c:pt>
                <c:pt idx="288">
                  <c:v>20417</c:v>
                </c:pt>
                <c:pt idx="289">
                  <c:v>20536</c:v>
                </c:pt>
                <c:pt idx="290">
                  <c:v>20655</c:v>
                </c:pt>
                <c:pt idx="291">
                  <c:v>20774</c:v>
                </c:pt>
                <c:pt idx="292">
                  <c:v>20893</c:v>
                </c:pt>
                <c:pt idx="293">
                  <c:v>21014.75</c:v>
                </c:pt>
                <c:pt idx="294">
                  <c:v>21136.5</c:v>
                </c:pt>
                <c:pt idx="295">
                  <c:v>21258.25</c:v>
                </c:pt>
                <c:pt idx="296">
                  <c:v>21380</c:v>
                </c:pt>
                <c:pt idx="297">
                  <c:v>21504.5</c:v>
                </c:pt>
                <c:pt idx="298">
                  <c:v>21629</c:v>
                </c:pt>
                <c:pt idx="299">
                  <c:v>21753.5</c:v>
                </c:pt>
                <c:pt idx="300">
                  <c:v>21878</c:v>
                </c:pt>
                <c:pt idx="301">
                  <c:v>22005.25</c:v>
                </c:pt>
                <c:pt idx="302">
                  <c:v>22132.5</c:v>
                </c:pt>
                <c:pt idx="303">
                  <c:v>22259.75</c:v>
                </c:pt>
                <c:pt idx="304">
                  <c:v>22387</c:v>
                </c:pt>
                <c:pt idx="305">
                  <c:v>22517.5</c:v>
                </c:pt>
                <c:pt idx="306">
                  <c:v>22648</c:v>
                </c:pt>
                <c:pt idx="307">
                  <c:v>22778.5</c:v>
                </c:pt>
                <c:pt idx="308">
                  <c:v>22909</c:v>
                </c:pt>
                <c:pt idx="309">
                  <c:v>23042.25</c:v>
                </c:pt>
                <c:pt idx="310">
                  <c:v>23175.5</c:v>
                </c:pt>
                <c:pt idx="311">
                  <c:v>23308.75</c:v>
                </c:pt>
                <c:pt idx="312">
                  <c:v>23442</c:v>
                </c:pt>
                <c:pt idx="313">
                  <c:v>23578.5</c:v>
                </c:pt>
                <c:pt idx="314">
                  <c:v>23715</c:v>
                </c:pt>
                <c:pt idx="315">
                  <c:v>23851.5</c:v>
                </c:pt>
                <c:pt idx="316">
                  <c:v>23988</c:v>
                </c:pt>
                <c:pt idx="317">
                  <c:v>24127.75</c:v>
                </c:pt>
                <c:pt idx="318">
                  <c:v>24267.5</c:v>
                </c:pt>
                <c:pt idx="319">
                  <c:v>24407.25</c:v>
                </c:pt>
                <c:pt idx="320">
                  <c:v>24547</c:v>
                </c:pt>
                <c:pt idx="321">
                  <c:v>24690</c:v>
                </c:pt>
                <c:pt idx="322">
                  <c:v>24833</c:v>
                </c:pt>
                <c:pt idx="323">
                  <c:v>24976</c:v>
                </c:pt>
                <c:pt idx="324">
                  <c:v>25119</c:v>
                </c:pt>
                <c:pt idx="325">
                  <c:v>25265.25</c:v>
                </c:pt>
                <c:pt idx="326">
                  <c:v>25411.5</c:v>
                </c:pt>
                <c:pt idx="327">
                  <c:v>25557.75</c:v>
                </c:pt>
                <c:pt idx="328">
                  <c:v>25704</c:v>
                </c:pt>
                <c:pt idx="329">
                  <c:v>25853.75</c:v>
                </c:pt>
                <c:pt idx="330">
                  <c:v>26003.5</c:v>
                </c:pt>
                <c:pt idx="331">
                  <c:v>26153.25</c:v>
                </c:pt>
                <c:pt idx="332">
                  <c:v>26303</c:v>
                </c:pt>
                <c:pt idx="333">
                  <c:v>26456</c:v>
                </c:pt>
                <c:pt idx="334">
                  <c:v>26609</c:v>
                </c:pt>
                <c:pt idx="335">
                  <c:v>26762</c:v>
                </c:pt>
                <c:pt idx="336">
                  <c:v>26915</c:v>
                </c:pt>
                <c:pt idx="337">
                  <c:v>27071.75</c:v>
                </c:pt>
                <c:pt idx="338">
                  <c:v>27228.5</c:v>
                </c:pt>
                <c:pt idx="339">
                  <c:v>27385.25</c:v>
                </c:pt>
                <c:pt idx="340">
                  <c:v>27542</c:v>
                </c:pt>
                <c:pt idx="341">
                  <c:v>27702.5</c:v>
                </c:pt>
                <c:pt idx="342">
                  <c:v>27863</c:v>
                </c:pt>
                <c:pt idx="343">
                  <c:v>28023.5</c:v>
                </c:pt>
                <c:pt idx="344">
                  <c:v>28184</c:v>
                </c:pt>
                <c:pt idx="345">
                  <c:v>28348</c:v>
                </c:pt>
                <c:pt idx="346">
                  <c:v>28512</c:v>
                </c:pt>
                <c:pt idx="347">
                  <c:v>28676</c:v>
                </c:pt>
                <c:pt idx="348">
                  <c:v>28840</c:v>
                </c:pt>
                <c:pt idx="349">
                  <c:v>29008</c:v>
                </c:pt>
                <c:pt idx="350">
                  <c:v>29176</c:v>
                </c:pt>
                <c:pt idx="351">
                  <c:v>29344</c:v>
                </c:pt>
                <c:pt idx="352">
                  <c:v>29512</c:v>
                </c:pt>
                <c:pt idx="353">
                  <c:v>29684</c:v>
                </c:pt>
                <c:pt idx="354">
                  <c:v>29856</c:v>
                </c:pt>
                <c:pt idx="355">
                  <c:v>30028</c:v>
                </c:pt>
                <c:pt idx="356">
                  <c:v>30200</c:v>
                </c:pt>
                <c:pt idx="357">
                  <c:v>30375.75</c:v>
                </c:pt>
                <c:pt idx="358">
                  <c:v>30551.5</c:v>
                </c:pt>
                <c:pt idx="359">
                  <c:v>30727.25</c:v>
                </c:pt>
                <c:pt idx="360">
                  <c:v>30903</c:v>
                </c:pt>
                <c:pt idx="361">
                  <c:v>31083</c:v>
                </c:pt>
                <c:pt idx="362">
                  <c:v>31263</c:v>
                </c:pt>
                <c:pt idx="363">
                  <c:v>31443</c:v>
                </c:pt>
                <c:pt idx="364">
                  <c:v>31623</c:v>
                </c:pt>
                <c:pt idx="365">
                  <c:v>31807</c:v>
                </c:pt>
                <c:pt idx="366">
                  <c:v>31991</c:v>
                </c:pt>
                <c:pt idx="367">
                  <c:v>32175</c:v>
                </c:pt>
                <c:pt idx="368">
                  <c:v>32359</c:v>
                </c:pt>
                <c:pt idx="369">
                  <c:v>32547.5</c:v>
                </c:pt>
                <c:pt idx="370">
                  <c:v>32736</c:v>
                </c:pt>
                <c:pt idx="371">
                  <c:v>32924.5</c:v>
                </c:pt>
                <c:pt idx="372">
                  <c:v>33113</c:v>
                </c:pt>
                <c:pt idx="373">
                  <c:v>33305.75</c:v>
                </c:pt>
                <c:pt idx="374">
                  <c:v>33498.5</c:v>
                </c:pt>
                <c:pt idx="375">
                  <c:v>33691.25</c:v>
                </c:pt>
                <c:pt idx="376">
                  <c:v>33884</c:v>
                </c:pt>
                <c:pt idx="377">
                  <c:v>34081.5</c:v>
                </c:pt>
                <c:pt idx="378">
                  <c:v>34279</c:v>
                </c:pt>
                <c:pt idx="379">
                  <c:v>34476.5</c:v>
                </c:pt>
                <c:pt idx="380">
                  <c:v>34674</c:v>
                </c:pt>
                <c:pt idx="381">
                  <c:v>34875.75</c:v>
                </c:pt>
                <c:pt idx="382">
                  <c:v>35077.5</c:v>
                </c:pt>
                <c:pt idx="383">
                  <c:v>35279.25</c:v>
                </c:pt>
                <c:pt idx="384">
                  <c:v>35481</c:v>
                </c:pt>
                <c:pt idx="385">
                  <c:v>35687.75</c:v>
                </c:pt>
                <c:pt idx="386">
                  <c:v>35894.5</c:v>
                </c:pt>
                <c:pt idx="387">
                  <c:v>36101.25</c:v>
                </c:pt>
                <c:pt idx="388">
                  <c:v>36308</c:v>
                </c:pt>
                <c:pt idx="389">
                  <c:v>36519.5</c:v>
                </c:pt>
                <c:pt idx="390">
                  <c:v>36731</c:v>
                </c:pt>
                <c:pt idx="391">
                  <c:v>36942.5</c:v>
                </c:pt>
                <c:pt idx="392">
                  <c:v>37154</c:v>
                </c:pt>
                <c:pt idx="393">
                  <c:v>37370.25</c:v>
                </c:pt>
                <c:pt idx="394">
                  <c:v>37586.5</c:v>
                </c:pt>
                <c:pt idx="395">
                  <c:v>37802.75</c:v>
                </c:pt>
                <c:pt idx="396">
                  <c:v>38019</c:v>
                </c:pt>
                <c:pt idx="397">
                  <c:v>38240.5</c:v>
                </c:pt>
                <c:pt idx="398">
                  <c:v>38462</c:v>
                </c:pt>
                <c:pt idx="399">
                  <c:v>38683.5</c:v>
                </c:pt>
                <c:pt idx="400">
                  <c:v>38905</c:v>
                </c:pt>
                <c:pt idx="401">
                  <c:v>39131.5</c:v>
                </c:pt>
                <c:pt idx="402">
                  <c:v>39358</c:v>
                </c:pt>
                <c:pt idx="403">
                  <c:v>39584.5</c:v>
                </c:pt>
                <c:pt idx="404">
                  <c:v>39811</c:v>
                </c:pt>
                <c:pt idx="405">
                  <c:v>40042.75</c:v>
                </c:pt>
                <c:pt idx="406">
                  <c:v>40274.5</c:v>
                </c:pt>
                <c:pt idx="407">
                  <c:v>40506.25</c:v>
                </c:pt>
                <c:pt idx="408">
                  <c:v>40738</c:v>
                </c:pt>
                <c:pt idx="409">
                  <c:v>40975.25</c:v>
                </c:pt>
                <c:pt idx="410">
                  <c:v>41212.5</c:v>
                </c:pt>
                <c:pt idx="411">
                  <c:v>41449.75</c:v>
                </c:pt>
                <c:pt idx="412">
                  <c:v>41687</c:v>
                </c:pt>
                <c:pt idx="413">
                  <c:v>41929.75</c:v>
                </c:pt>
                <c:pt idx="414">
                  <c:v>42172.5</c:v>
                </c:pt>
                <c:pt idx="415">
                  <c:v>42415.25</c:v>
                </c:pt>
                <c:pt idx="416">
                  <c:v>42658</c:v>
                </c:pt>
                <c:pt idx="417">
                  <c:v>42906.5</c:v>
                </c:pt>
                <c:pt idx="418">
                  <c:v>43155</c:v>
                </c:pt>
                <c:pt idx="419">
                  <c:v>43403.5</c:v>
                </c:pt>
                <c:pt idx="420">
                  <c:v>43652</c:v>
                </c:pt>
                <c:pt idx="421">
                  <c:v>43906</c:v>
                </c:pt>
                <c:pt idx="422">
                  <c:v>44160</c:v>
                </c:pt>
                <c:pt idx="423">
                  <c:v>44414</c:v>
                </c:pt>
                <c:pt idx="424">
                  <c:v>44668</c:v>
                </c:pt>
                <c:pt idx="425">
                  <c:v>44928.25</c:v>
                </c:pt>
                <c:pt idx="426">
                  <c:v>45188.5</c:v>
                </c:pt>
                <c:pt idx="427">
                  <c:v>45448.75</c:v>
                </c:pt>
                <c:pt idx="428">
                  <c:v>45709</c:v>
                </c:pt>
                <c:pt idx="429">
                  <c:v>45975.25</c:v>
                </c:pt>
                <c:pt idx="430">
                  <c:v>46241.5</c:v>
                </c:pt>
                <c:pt idx="431">
                  <c:v>46507.75</c:v>
                </c:pt>
                <c:pt idx="432">
                  <c:v>46774</c:v>
                </c:pt>
                <c:pt idx="433">
                  <c:v>47046.25</c:v>
                </c:pt>
                <c:pt idx="434">
                  <c:v>47318.5</c:v>
                </c:pt>
                <c:pt idx="435">
                  <c:v>47590.75</c:v>
                </c:pt>
                <c:pt idx="436">
                  <c:v>47863</c:v>
                </c:pt>
                <c:pt idx="437">
                  <c:v>48141.75</c:v>
                </c:pt>
                <c:pt idx="438">
                  <c:v>48420.5</c:v>
                </c:pt>
                <c:pt idx="439">
                  <c:v>48699.25</c:v>
                </c:pt>
                <c:pt idx="440">
                  <c:v>48978</c:v>
                </c:pt>
                <c:pt idx="441">
                  <c:v>49263.25</c:v>
                </c:pt>
                <c:pt idx="442">
                  <c:v>49548.5</c:v>
                </c:pt>
                <c:pt idx="443">
                  <c:v>49833.75</c:v>
                </c:pt>
                <c:pt idx="444">
                  <c:v>50119</c:v>
                </c:pt>
                <c:pt idx="445">
                  <c:v>50410.75</c:v>
                </c:pt>
                <c:pt idx="446">
                  <c:v>50702.5</c:v>
                </c:pt>
                <c:pt idx="447">
                  <c:v>50994.25</c:v>
                </c:pt>
                <c:pt idx="448">
                  <c:v>51286</c:v>
                </c:pt>
                <c:pt idx="449">
                  <c:v>51584.75</c:v>
                </c:pt>
                <c:pt idx="450">
                  <c:v>51883.5</c:v>
                </c:pt>
                <c:pt idx="451">
                  <c:v>52182.25</c:v>
                </c:pt>
                <c:pt idx="452">
                  <c:v>52481</c:v>
                </c:pt>
                <c:pt idx="453">
                  <c:v>52786.5</c:v>
                </c:pt>
                <c:pt idx="454">
                  <c:v>53092</c:v>
                </c:pt>
                <c:pt idx="455">
                  <c:v>53397.5</c:v>
                </c:pt>
                <c:pt idx="456">
                  <c:v>53703</c:v>
                </c:pt>
                <c:pt idx="457">
                  <c:v>54015.75</c:v>
                </c:pt>
                <c:pt idx="458">
                  <c:v>54328.5</c:v>
                </c:pt>
                <c:pt idx="459">
                  <c:v>54641.25</c:v>
                </c:pt>
                <c:pt idx="460">
                  <c:v>54954</c:v>
                </c:pt>
                <c:pt idx="461">
                  <c:v>55274</c:v>
                </c:pt>
                <c:pt idx="462">
                  <c:v>55594</c:v>
                </c:pt>
                <c:pt idx="463">
                  <c:v>55914</c:v>
                </c:pt>
                <c:pt idx="464">
                  <c:v>56234</c:v>
                </c:pt>
                <c:pt idx="465">
                  <c:v>56561.5</c:v>
                </c:pt>
                <c:pt idx="466">
                  <c:v>56889</c:v>
                </c:pt>
                <c:pt idx="467">
                  <c:v>57216.5</c:v>
                </c:pt>
                <c:pt idx="468">
                  <c:v>57544</c:v>
                </c:pt>
                <c:pt idx="469">
                  <c:v>57879</c:v>
                </c:pt>
                <c:pt idx="470">
                  <c:v>58214</c:v>
                </c:pt>
                <c:pt idx="471">
                  <c:v>58549</c:v>
                </c:pt>
                <c:pt idx="472">
                  <c:v>58884</c:v>
                </c:pt>
                <c:pt idx="473">
                  <c:v>59227</c:v>
                </c:pt>
                <c:pt idx="474">
                  <c:v>59570</c:v>
                </c:pt>
                <c:pt idx="475">
                  <c:v>59913</c:v>
                </c:pt>
                <c:pt idx="476">
                  <c:v>60256</c:v>
                </c:pt>
                <c:pt idx="477">
                  <c:v>60607</c:v>
                </c:pt>
                <c:pt idx="478">
                  <c:v>60958</c:v>
                </c:pt>
                <c:pt idx="479">
                  <c:v>61309</c:v>
                </c:pt>
                <c:pt idx="480">
                  <c:v>61660</c:v>
                </c:pt>
                <c:pt idx="481">
                  <c:v>62019</c:v>
                </c:pt>
                <c:pt idx="482">
                  <c:v>62378</c:v>
                </c:pt>
                <c:pt idx="483">
                  <c:v>62737</c:v>
                </c:pt>
                <c:pt idx="484">
                  <c:v>63096</c:v>
                </c:pt>
                <c:pt idx="485">
                  <c:v>63463.25</c:v>
                </c:pt>
                <c:pt idx="486">
                  <c:v>63830.5</c:v>
                </c:pt>
                <c:pt idx="487">
                  <c:v>64197.75</c:v>
                </c:pt>
                <c:pt idx="488">
                  <c:v>64565</c:v>
                </c:pt>
                <c:pt idx="489">
                  <c:v>64941</c:v>
                </c:pt>
                <c:pt idx="490">
                  <c:v>65317</c:v>
                </c:pt>
                <c:pt idx="491">
                  <c:v>65693</c:v>
                </c:pt>
                <c:pt idx="492">
                  <c:v>66069</c:v>
                </c:pt>
                <c:pt idx="493">
                  <c:v>66453.75</c:v>
                </c:pt>
                <c:pt idx="494">
                  <c:v>66838.5</c:v>
                </c:pt>
                <c:pt idx="495">
                  <c:v>67223.25</c:v>
                </c:pt>
                <c:pt idx="496">
                  <c:v>67608</c:v>
                </c:pt>
                <c:pt idx="497">
                  <c:v>68001.75</c:v>
                </c:pt>
                <c:pt idx="498">
                  <c:v>68395.5</c:v>
                </c:pt>
                <c:pt idx="499">
                  <c:v>68789.25</c:v>
                </c:pt>
                <c:pt idx="500">
                  <c:v>69183</c:v>
                </c:pt>
                <c:pt idx="501">
                  <c:v>69586</c:v>
                </c:pt>
                <c:pt idx="502">
                  <c:v>69989</c:v>
                </c:pt>
                <c:pt idx="503">
                  <c:v>70392</c:v>
                </c:pt>
                <c:pt idx="504">
                  <c:v>70795</c:v>
                </c:pt>
                <c:pt idx="505">
                  <c:v>71207.25</c:v>
                </c:pt>
                <c:pt idx="506">
                  <c:v>71619.5</c:v>
                </c:pt>
                <c:pt idx="507">
                  <c:v>72031.75</c:v>
                </c:pt>
                <c:pt idx="508">
                  <c:v>72444</c:v>
                </c:pt>
                <c:pt idx="509">
                  <c:v>72865.75</c:v>
                </c:pt>
                <c:pt idx="510">
                  <c:v>73287.5</c:v>
                </c:pt>
                <c:pt idx="511">
                  <c:v>73709.25</c:v>
                </c:pt>
                <c:pt idx="512">
                  <c:v>74131</c:v>
                </c:pt>
                <c:pt idx="513">
                  <c:v>74562.75</c:v>
                </c:pt>
                <c:pt idx="514">
                  <c:v>74994.5</c:v>
                </c:pt>
                <c:pt idx="515">
                  <c:v>75426.25</c:v>
                </c:pt>
                <c:pt idx="516">
                  <c:v>75858</c:v>
                </c:pt>
                <c:pt idx="517">
                  <c:v>76299.75</c:v>
                </c:pt>
                <c:pt idx="518">
                  <c:v>76741.5</c:v>
                </c:pt>
                <c:pt idx="519">
                  <c:v>77183.25</c:v>
                </c:pt>
                <c:pt idx="520">
                  <c:v>77625</c:v>
                </c:pt>
                <c:pt idx="521">
                  <c:v>78077</c:v>
                </c:pt>
                <c:pt idx="522">
                  <c:v>78529</c:v>
                </c:pt>
                <c:pt idx="523">
                  <c:v>78981</c:v>
                </c:pt>
                <c:pt idx="524">
                  <c:v>79433</c:v>
                </c:pt>
                <c:pt idx="525">
                  <c:v>79895.5</c:v>
                </c:pt>
                <c:pt idx="526">
                  <c:v>80358</c:v>
                </c:pt>
                <c:pt idx="527">
                  <c:v>80820.5</c:v>
                </c:pt>
                <c:pt idx="528">
                  <c:v>81283</c:v>
                </c:pt>
                <c:pt idx="529">
                  <c:v>81756.25</c:v>
                </c:pt>
                <c:pt idx="530">
                  <c:v>82229.5</c:v>
                </c:pt>
                <c:pt idx="531">
                  <c:v>82702.75</c:v>
                </c:pt>
                <c:pt idx="532">
                  <c:v>83176</c:v>
                </c:pt>
                <c:pt idx="533">
                  <c:v>83660.5</c:v>
                </c:pt>
                <c:pt idx="534">
                  <c:v>84145</c:v>
                </c:pt>
                <c:pt idx="535">
                  <c:v>84629.5</c:v>
                </c:pt>
                <c:pt idx="536">
                  <c:v>85114</c:v>
                </c:pt>
                <c:pt idx="537">
                  <c:v>85609.5</c:v>
                </c:pt>
                <c:pt idx="538">
                  <c:v>86105</c:v>
                </c:pt>
                <c:pt idx="539">
                  <c:v>86600.5</c:v>
                </c:pt>
                <c:pt idx="540">
                  <c:v>87096</c:v>
                </c:pt>
                <c:pt idx="541">
                  <c:v>87603.25</c:v>
                </c:pt>
                <c:pt idx="542">
                  <c:v>88110.5</c:v>
                </c:pt>
                <c:pt idx="543">
                  <c:v>88617.75</c:v>
                </c:pt>
                <c:pt idx="544">
                  <c:v>89125</c:v>
                </c:pt>
                <c:pt idx="545">
                  <c:v>89644</c:v>
                </c:pt>
                <c:pt idx="546">
                  <c:v>90163</c:v>
                </c:pt>
                <c:pt idx="547">
                  <c:v>90682</c:v>
                </c:pt>
                <c:pt idx="548">
                  <c:v>91201</c:v>
                </c:pt>
                <c:pt idx="549">
                  <c:v>91732</c:v>
                </c:pt>
                <c:pt idx="550">
                  <c:v>92263</c:v>
                </c:pt>
                <c:pt idx="551">
                  <c:v>92794</c:v>
                </c:pt>
                <c:pt idx="552">
                  <c:v>93325</c:v>
                </c:pt>
                <c:pt idx="553">
                  <c:v>93868.5</c:v>
                </c:pt>
                <c:pt idx="554">
                  <c:v>94412</c:v>
                </c:pt>
                <c:pt idx="555">
                  <c:v>94955.5</c:v>
                </c:pt>
                <c:pt idx="556">
                  <c:v>95499</c:v>
                </c:pt>
                <c:pt idx="557">
                  <c:v>96611.5</c:v>
                </c:pt>
                <c:pt idx="558">
                  <c:v>97724</c:v>
                </c:pt>
                <c:pt idx="559">
                  <c:v>98862</c:v>
                </c:pt>
                <c:pt idx="560">
                  <c:v>100000</c:v>
                </c:pt>
                <c:pt idx="561">
                  <c:v>101165</c:v>
                </c:pt>
                <c:pt idx="562">
                  <c:v>102330</c:v>
                </c:pt>
                <c:pt idx="563">
                  <c:v>103520</c:v>
                </c:pt>
                <c:pt idx="564">
                  <c:v>104710</c:v>
                </c:pt>
                <c:pt idx="565">
                  <c:v>105930</c:v>
                </c:pt>
                <c:pt idx="566">
                  <c:v>107150</c:v>
                </c:pt>
                <c:pt idx="567">
                  <c:v>108400</c:v>
                </c:pt>
                <c:pt idx="568">
                  <c:v>109650</c:v>
                </c:pt>
                <c:pt idx="569">
                  <c:v>110925</c:v>
                </c:pt>
                <c:pt idx="570">
                  <c:v>112200</c:v>
                </c:pt>
                <c:pt idx="571">
                  <c:v>113510</c:v>
                </c:pt>
                <c:pt idx="572">
                  <c:v>114820</c:v>
                </c:pt>
                <c:pt idx="573">
                  <c:v>116155</c:v>
                </c:pt>
                <c:pt idx="574">
                  <c:v>117490</c:v>
                </c:pt>
                <c:pt idx="575">
                  <c:v>118860</c:v>
                </c:pt>
                <c:pt idx="576">
                  <c:v>120230</c:v>
                </c:pt>
                <c:pt idx="577">
                  <c:v>126030</c:v>
                </c:pt>
                <c:pt idx="578">
                  <c:v>131830</c:v>
                </c:pt>
                <c:pt idx="579">
                  <c:v>144540</c:v>
                </c:pt>
                <c:pt idx="580">
                  <c:v>158490</c:v>
                </c:pt>
                <c:pt idx="581">
                  <c:v>173780</c:v>
                </c:pt>
                <c:pt idx="582">
                  <c:v>190550</c:v>
                </c:pt>
                <c:pt idx="583">
                  <c:v>208930</c:v>
                </c:pt>
                <c:pt idx="584">
                  <c:v>229090</c:v>
                </c:pt>
                <c:pt idx="585">
                  <c:v>251190</c:v>
                </c:pt>
                <c:pt idx="586">
                  <c:v>275420</c:v>
                </c:pt>
                <c:pt idx="587">
                  <c:v>302000</c:v>
                </c:pt>
                <c:pt idx="588">
                  <c:v>331130</c:v>
                </c:pt>
                <c:pt idx="589">
                  <c:v>363080</c:v>
                </c:pt>
                <c:pt idx="590">
                  <c:v>398110</c:v>
                </c:pt>
                <c:pt idx="591">
                  <c:v>436520</c:v>
                </c:pt>
                <c:pt idx="592">
                  <c:v>478630</c:v>
                </c:pt>
                <c:pt idx="593">
                  <c:v>524810</c:v>
                </c:pt>
                <c:pt idx="594">
                  <c:v>575440</c:v>
                </c:pt>
                <c:pt idx="595">
                  <c:v>630960</c:v>
                </c:pt>
                <c:pt idx="596">
                  <c:v>691830</c:v>
                </c:pt>
                <c:pt idx="597">
                  <c:v>758580</c:v>
                </c:pt>
                <c:pt idx="598">
                  <c:v>831760</c:v>
                </c:pt>
                <c:pt idx="599">
                  <c:v>912010</c:v>
                </c:pt>
                <c:pt idx="600">
                  <c:v>1000000</c:v>
                </c:pt>
              </c:numCache>
            </c:numRef>
          </c:xVal>
          <c:yVal>
            <c:numRef>
              <c:f>'Stability Calculations'!$Q$13:$Q$613</c:f>
              <c:numCache>
                <c:formatCode>0.00</c:formatCode>
                <c:ptCount val="601"/>
                <c:pt idx="0">
                  <c:v>74.381489850140269</c:v>
                </c:pt>
                <c:pt idx="1">
                  <c:v>73.621640522232624</c:v>
                </c:pt>
                <c:pt idx="2">
                  <c:v>72.855378521434744</c:v>
                </c:pt>
                <c:pt idx="3">
                  <c:v>72.083682052846342</c:v>
                </c:pt>
                <c:pt idx="4">
                  <c:v>71.307897644369021</c:v>
                </c:pt>
                <c:pt idx="5">
                  <c:v>70.52744632312293</c:v>
                </c:pt>
                <c:pt idx="6">
                  <c:v>69.74403936373588</c:v>
                </c:pt>
                <c:pt idx="7">
                  <c:v>68.957674726921866</c:v>
                </c:pt>
                <c:pt idx="8">
                  <c:v>68.169359640269732</c:v>
                </c:pt>
                <c:pt idx="9">
                  <c:v>67.378862779097375</c:v>
                </c:pt>
                <c:pt idx="10">
                  <c:v>66.586945289624325</c:v>
                </c:pt>
                <c:pt idx="11">
                  <c:v>65.793752689670796</c:v>
                </c:pt>
                <c:pt idx="12">
                  <c:v>64.999080605598436</c:v>
                </c:pt>
                <c:pt idx="13">
                  <c:v>64.203873303566056</c:v>
                </c:pt>
                <c:pt idx="14">
                  <c:v>63.40764752432932</c:v>
                </c:pt>
                <c:pt idx="15">
                  <c:v>62.610835610122955</c:v>
                </c:pt>
                <c:pt idx="16">
                  <c:v>61.813478820190426</c:v>
                </c:pt>
                <c:pt idx="17">
                  <c:v>61.0157784159084</c:v>
                </c:pt>
                <c:pt idx="18">
                  <c:v>60.217575650523273</c:v>
                </c:pt>
                <c:pt idx="19">
                  <c:v>59.419145310615747</c:v>
                </c:pt>
                <c:pt idx="20">
                  <c:v>58.620377926605876</c:v>
                </c:pt>
                <c:pt idx="21">
                  <c:v>57.821477240513943</c:v>
                </c:pt>
                <c:pt idx="22">
                  <c:v>57.022306025332909</c:v>
                </c:pt>
                <c:pt idx="23">
                  <c:v>56.223089335718029</c:v>
                </c:pt>
                <c:pt idx="24">
                  <c:v>55.423646023325226</c:v>
                </c:pt>
                <c:pt idx="25">
                  <c:v>54.624117870004902</c:v>
                </c:pt>
                <c:pt idx="26">
                  <c:v>53.824333142686179</c:v>
                </c:pt>
                <c:pt idx="27">
                  <c:v>53.024558113079394</c:v>
                </c:pt>
                <c:pt idx="28">
                  <c:v>52.22477094777237</c:v>
                </c:pt>
                <c:pt idx="29">
                  <c:v>51.425475767295467</c:v>
                </c:pt>
                <c:pt idx="30">
                  <c:v>50.625326534813681</c:v>
                </c:pt>
                <c:pt idx="31">
                  <c:v>49.825445432415265</c:v>
                </c:pt>
                <c:pt idx="32">
                  <c:v>49.025292757974263</c:v>
                </c:pt>
                <c:pt idx="33">
                  <c:v>48.225440385798805</c:v>
                </c:pt>
                <c:pt idx="34">
                  <c:v>47.425272088278014</c:v>
                </c:pt>
                <c:pt idx="35">
                  <c:v>46.625237640448525</c:v>
                </c:pt>
                <c:pt idx="36">
                  <c:v>45.825212767453287</c:v>
                </c:pt>
                <c:pt idx="37">
                  <c:v>45.024763350742418</c:v>
                </c:pt>
                <c:pt idx="38">
                  <c:v>44.224646679949785</c:v>
                </c:pt>
                <c:pt idx="39">
                  <c:v>43.42421108015224</c:v>
                </c:pt>
                <c:pt idx="40">
                  <c:v>42.623749585595199</c:v>
                </c:pt>
                <c:pt idx="41">
                  <c:v>41.823180475237784</c:v>
                </c:pt>
                <c:pt idx="42">
                  <c:v>41.02259737261268</c:v>
                </c:pt>
                <c:pt idx="43">
                  <c:v>40.221743757939585</c:v>
                </c:pt>
                <c:pt idx="44">
                  <c:v>39.42080614924874</c:v>
                </c:pt>
                <c:pt idx="45">
                  <c:v>38.61959063585374</c:v>
                </c:pt>
                <c:pt idx="46">
                  <c:v>37.818219935552456</c:v>
                </c:pt>
                <c:pt idx="47">
                  <c:v>37.016474625475567</c:v>
                </c:pt>
                <c:pt idx="48">
                  <c:v>36.214496153355348</c:v>
                </c:pt>
                <c:pt idx="49">
                  <c:v>35.412013385324158</c:v>
                </c:pt>
                <c:pt idx="50">
                  <c:v>34.609071794824082</c:v>
                </c:pt>
                <c:pt idx="51">
                  <c:v>33.805392082706788</c:v>
                </c:pt>
                <c:pt idx="52">
                  <c:v>33.001122703098929</c:v>
                </c:pt>
                <c:pt idx="53">
                  <c:v>32.196108153062319</c:v>
                </c:pt>
                <c:pt idx="54">
                  <c:v>31.390706292654563</c:v>
                </c:pt>
                <c:pt idx="55">
                  <c:v>30.583391040919391</c:v>
                </c:pt>
                <c:pt idx="56">
                  <c:v>29.775104251429966</c:v>
                </c:pt>
                <c:pt idx="57">
                  <c:v>28.965090694824632</c:v>
                </c:pt>
                <c:pt idx="58">
                  <c:v>28.153700051475361</c:v>
                </c:pt>
                <c:pt idx="59">
                  <c:v>27.340060910377211</c:v>
                </c:pt>
                <c:pt idx="60">
                  <c:v>26.524372236702014</c:v>
                </c:pt>
                <c:pt idx="61">
                  <c:v>25.706247170537932</c:v>
                </c:pt>
                <c:pt idx="62">
                  <c:v>24.884988130448029</c:v>
                </c:pt>
                <c:pt idx="63">
                  <c:v>24.061145617815303</c:v>
                </c:pt>
                <c:pt idx="64">
                  <c:v>23.233868709548076</c:v>
                </c:pt>
                <c:pt idx="65">
                  <c:v>22.403348114946461</c:v>
                </c:pt>
                <c:pt idx="66">
                  <c:v>21.569483261509255</c:v>
                </c:pt>
                <c:pt idx="67">
                  <c:v>20.732475211027914</c:v>
                </c:pt>
                <c:pt idx="68">
                  <c:v>19.892296895468647</c:v>
                </c:pt>
                <c:pt idx="69">
                  <c:v>19.049533512491092</c:v>
                </c:pt>
                <c:pt idx="70">
                  <c:v>18.204516987307692</c:v>
                </c:pt>
                <c:pt idx="71">
                  <c:v>17.358041323249104</c:v>
                </c:pt>
                <c:pt idx="72">
                  <c:v>16.510635868628675</c:v>
                </c:pt>
                <c:pt idx="73">
                  <c:v>15.66326348409012</c:v>
                </c:pt>
                <c:pt idx="74">
                  <c:v>14.816452993524006</c:v>
                </c:pt>
                <c:pt idx="75">
                  <c:v>13.971019738921555</c:v>
                </c:pt>
                <c:pt idx="76">
                  <c:v>13.127346877335807</c:v>
                </c:pt>
                <c:pt idx="77">
                  <c:v>12.286146388501651</c:v>
                </c:pt>
                <c:pt idx="78">
                  <c:v>11.447674245172308</c:v>
                </c:pt>
                <c:pt idx="79">
                  <c:v>10.612581113319914</c:v>
                </c:pt>
                <c:pt idx="80">
                  <c:v>9.7794422291821732</c:v>
                </c:pt>
                <c:pt idx="81">
                  <c:v>8.9492806056151082</c:v>
                </c:pt>
                <c:pt idx="82">
                  <c:v>8.1212800894158104</c:v>
                </c:pt>
                <c:pt idx="83">
                  <c:v>7.2956902099330856</c:v>
                </c:pt>
                <c:pt idx="84">
                  <c:v>6.471465096877095</c:v>
                </c:pt>
                <c:pt idx="85">
                  <c:v>5.648605788851019</c:v>
                </c:pt>
                <c:pt idx="86">
                  <c:v>4.8264780521351831</c:v>
                </c:pt>
                <c:pt idx="87">
                  <c:v>4.004091341336248</c:v>
                </c:pt>
                <c:pt idx="88">
                  <c:v>3.1816408236385589</c:v>
                </c:pt>
                <c:pt idx="89">
                  <c:v>2.3578317720288586</c:v>
                </c:pt>
                <c:pt idx="90">
                  <c:v>1.5322917871556352</c:v>
                </c:pt>
                <c:pt idx="91">
                  <c:v>0.70420531002888465</c:v>
                </c:pt>
                <c:pt idx="92">
                  <c:v>-0.12712995247175082</c:v>
                </c:pt>
                <c:pt idx="93">
                  <c:v>-0.96285965067561552</c:v>
                </c:pt>
                <c:pt idx="94">
                  <c:v>-1.1724864669238684</c:v>
                </c:pt>
                <c:pt idx="95">
                  <c:v>-1.2780779545387408</c:v>
                </c:pt>
                <c:pt idx="96">
                  <c:v>-1.3825484463387028</c:v>
                </c:pt>
                <c:pt idx="97">
                  <c:v>-1.4883080239181554</c:v>
                </c:pt>
                <c:pt idx="98">
                  <c:v>-1.5929490667175576</c:v>
                </c:pt>
                <c:pt idx="99">
                  <c:v>-1.6989120073269783</c:v>
                </c:pt>
                <c:pt idx="100">
                  <c:v>-1.8037583214836075</c:v>
                </c:pt>
                <c:pt idx="101">
                  <c:v>-1.909877893674655</c:v>
                </c:pt>
                <c:pt idx="102">
                  <c:v>-2.0148839160971059</c:v>
                </c:pt>
                <c:pt idx="103">
                  <c:v>-2.1212712297449885</c:v>
                </c:pt>
                <c:pt idx="104">
                  <c:v>-2.22654594626822</c:v>
                </c:pt>
                <c:pt idx="105">
                  <c:v>-2.3331516334264233</c:v>
                </c:pt>
                <c:pt idx="106">
                  <c:v>-2.4386469058726066</c:v>
                </c:pt>
                <c:pt idx="107">
                  <c:v>-2.5454252937708692</c:v>
                </c:pt>
                <c:pt idx="108">
                  <c:v>-2.6510965868542598</c:v>
                </c:pt>
                <c:pt idx="109">
                  <c:v>-2.7580779554324719</c:v>
                </c:pt>
                <c:pt idx="110">
                  <c:v>-2.8639551117378974</c:v>
                </c:pt>
                <c:pt idx="111">
                  <c:v>-2.9712380870666255</c:v>
                </c:pt>
                <c:pt idx="112">
                  <c:v>-3.0774179075908981</c:v>
                </c:pt>
                <c:pt idx="113">
                  <c:v>-3.184953871800519</c:v>
                </c:pt>
                <c:pt idx="114">
                  <c:v>-3.2913889373631289</c:v>
                </c:pt>
                <c:pt idx="115">
                  <c:v>-3.3992009937296119</c:v>
                </c:pt>
                <c:pt idx="116">
                  <c:v>-3.5059141347706428</c:v>
                </c:pt>
                <c:pt idx="117">
                  <c:v>-3.6140233059290199</c:v>
                </c:pt>
                <c:pt idx="118">
                  <c:v>-3.721035317773179</c:v>
                </c:pt>
                <c:pt idx="119">
                  <c:v>-3.8293953236975491</c:v>
                </c:pt>
                <c:pt idx="120">
                  <c:v>-3.9366610515483744</c:v>
                </c:pt>
                <c:pt idx="121">
                  <c:v>-4.0452931428158116</c:v>
                </c:pt>
                <c:pt idx="122">
                  <c:v>-4.152833591366722</c:v>
                </c:pt>
                <c:pt idx="123">
                  <c:v>-4.2618199683988047</c:v>
                </c:pt>
                <c:pt idx="124">
                  <c:v>-4.3697158817780295</c:v>
                </c:pt>
                <c:pt idx="125">
                  <c:v>-4.4790089663388164</c:v>
                </c:pt>
                <c:pt idx="126">
                  <c:v>-4.587213897829753</c:v>
                </c:pt>
                <c:pt idx="127">
                  <c:v>-4.6968299005368417</c:v>
                </c:pt>
                <c:pt idx="128">
                  <c:v>-4.8053599106747988</c:v>
                </c:pt>
                <c:pt idx="129">
                  <c:v>-4.9153135647990851</c:v>
                </c:pt>
                <c:pt idx="130">
                  <c:v>-5.0241832613920598</c:v>
                </c:pt>
                <c:pt idx="131">
                  <c:v>-5.1344879247380177</c:v>
                </c:pt>
                <c:pt idx="132">
                  <c:v>-5.1892328906448837</c:v>
                </c:pt>
                <c:pt idx="133">
                  <c:v>-5.2437105609654386</c:v>
                </c:pt>
                <c:pt idx="134">
                  <c:v>-5.2992096387418721</c:v>
                </c:pt>
                <c:pt idx="135">
                  <c:v>-5.3544351606821134</c:v>
                </c:pt>
                <c:pt idx="136">
                  <c:v>-5.4093903755848523</c:v>
                </c:pt>
                <c:pt idx="137">
                  <c:v>-5.4640784739125561</c:v>
                </c:pt>
                <c:pt idx="138">
                  <c:v>-5.5197351838085105</c:v>
                </c:pt>
                <c:pt idx="139">
                  <c:v>-5.5751190789988678</c:v>
                </c:pt>
                <c:pt idx="140">
                  <c:v>-5.6302333915256009</c:v>
                </c:pt>
                <c:pt idx="141">
                  <c:v>-5.6850812953035099</c:v>
                </c:pt>
                <c:pt idx="142">
                  <c:v>-5.7409571247118105</c:v>
                </c:pt>
                <c:pt idx="143">
                  <c:v>-5.7965603110764174</c:v>
                </c:pt>
                <c:pt idx="144">
                  <c:v>-5.8518940788321796</c:v>
                </c:pt>
                <c:pt idx="145">
                  <c:v>-5.906961594270058</c:v>
                </c:pt>
                <c:pt idx="146">
                  <c:v>-5.9630323681339501</c:v>
                </c:pt>
                <c:pt idx="147">
                  <c:v>-6.0188309372947622</c:v>
                </c:pt>
                <c:pt idx="148">
                  <c:v>-6.0743605128400091</c:v>
                </c:pt>
                <c:pt idx="149">
                  <c:v>-6.129624247827242</c:v>
                </c:pt>
                <c:pt idx="150">
                  <c:v>-6.185893854458099</c:v>
                </c:pt>
                <c:pt idx="151">
                  <c:v>-6.2418916823432111</c:v>
                </c:pt>
                <c:pt idx="152">
                  <c:v>-6.2976209283602769</c:v>
                </c:pt>
                <c:pt idx="153">
                  <c:v>-6.3530847314857652</c:v>
                </c:pt>
                <c:pt idx="154">
                  <c:v>-6.4095825070865224</c:v>
                </c:pt>
                <c:pt idx="155">
                  <c:v>-6.4658086697211914</c:v>
                </c:pt>
                <c:pt idx="156">
                  <c:v>-6.5217664054716185</c:v>
                </c:pt>
                <c:pt idx="157">
                  <c:v>-6.5774588425593485</c:v>
                </c:pt>
                <c:pt idx="158">
                  <c:v>-6.6341862699772509</c:v>
                </c:pt>
                <c:pt idx="159">
                  <c:v>-6.6906422558055088</c:v>
                </c:pt>
                <c:pt idx="160">
                  <c:v>-6.7468299739840401</c:v>
                </c:pt>
                <c:pt idx="161">
                  <c:v>-6.8027525406608556</c:v>
                </c:pt>
                <c:pt idx="162">
                  <c:v>-6.8596857799205582</c:v>
                </c:pt>
                <c:pt idx="163">
                  <c:v>-6.9163479897146063</c:v>
                </c:pt>
                <c:pt idx="164">
                  <c:v>-6.9727423263327104</c:v>
                </c:pt>
                <c:pt idx="165">
                  <c:v>-7.0288718884706869</c:v>
                </c:pt>
                <c:pt idx="166">
                  <c:v>-7.0860620754847243</c:v>
                </c:pt>
                <c:pt idx="167">
                  <c:v>-7.1429811677934376</c:v>
                </c:pt>
                <c:pt idx="168">
                  <c:v>-7.1996323109740619</c:v>
                </c:pt>
                <c:pt idx="169">
                  <c:v>-7.2560185930368117</c:v>
                </c:pt>
                <c:pt idx="170">
                  <c:v>-7.3133445856294923</c:v>
                </c:pt>
                <c:pt idx="171">
                  <c:v>-7.3704005628231517</c:v>
                </c:pt>
                <c:pt idx="172">
                  <c:v>-7.427189638253906</c:v>
                </c:pt>
                <c:pt idx="173">
                  <c:v>-7.4837148685331201</c:v>
                </c:pt>
                <c:pt idx="174">
                  <c:v>-7.5413943394510774</c:v>
                </c:pt>
                <c:pt idx="175">
                  <c:v>-7.5988028225915691</c:v>
                </c:pt>
                <c:pt idx="176">
                  <c:v>-7.6559434335605383</c:v>
                </c:pt>
                <c:pt idx="177">
                  <c:v>-7.7128192306548646</c:v>
                </c:pt>
                <c:pt idx="178">
                  <c:v>-7.7708220904084593</c:v>
                </c:pt>
                <c:pt idx="179">
                  <c:v>-7.828553273881135</c:v>
                </c:pt>
                <c:pt idx="180">
                  <c:v>-7.8860158920465846</c:v>
                </c:pt>
                <c:pt idx="181">
                  <c:v>-7.9432129984452455</c:v>
                </c:pt>
                <c:pt idx="182">
                  <c:v>-8.0012836250285293</c:v>
                </c:pt>
                <c:pt idx="183">
                  <c:v>-8.0590842537550103</c:v>
                </c:pt>
                <c:pt idx="184">
                  <c:v>-8.1166179489622596</c:v>
                </c:pt>
                <c:pt idx="185">
                  <c:v>-8.1738877184641634</c:v>
                </c:pt>
                <c:pt idx="186">
                  <c:v>-8.232457809665874</c:v>
                </c:pt>
                <c:pt idx="187">
                  <c:v>-8.2907555461741005</c:v>
                </c:pt>
                <c:pt idx="188">
                  <c:v>-8.3487840125961181</c:v>
                </c:pt>
                <c:pt idx="189">
                  <c:v>-8.406546236286184</c:v>
                </c:pt>
                <c:pt idx="190">
                  <c:v>-8.4651399560541076</c:v>
                </c:pt>
                <c:pt idx="191">
                  <c:v>-8.5234633464887963</c:v>
                </c:pt>
                <c:pt idx="192">
                  <c:v>-8.5815194366507477</c:v>
                </c:pt>
                <c:pt idx="193">
                  <c:v>-8.6393111994919387</c:v>
                </c:pt>
                <c:pt idx="194">
                  <c:v>-8.6983463492001754</c:v>
                </c:pt>
                <c:pt idx="195">
                  <c:v>-8.7571092981819021</c:v>
                </c:pt>
                <c:pt idx="196">
                  <c:v>-8.8156030837284565</c:v>
                </c:pt>
                <c:pt idx="197">
                  <c:v>-8.8738306866041778</c:v>
                </c:pt>
                <c:pt idx="198">
                  <c:v>-8.93306140089088</c:v>
                </c:pt>
                <c:pt idx="199">
                  <c:v>-8.9920202660357482</c:v>
                </c:pt>
                <c:pt idx="200">
                  <c:v>-9.0507102885945088</c:v>
                </c:pt>
                <c:pt idx="201">
                  <c:v>-9.1091344191513013</c:v>
                </c:pt>
                <c:pt idx="202">
                  <c:v>-9.1685390065364487</c:v>
                </c:pt>
                <c:pt idx="203">
                  <c:v>-9.227672234331326</c:v>
                </c:pt>
                <c:pt idx="204">
                  <c:v>-9.286537074560016</c:v>
                </c:pt>
                <c:pt idx="205">
                  <c:v>-9.3451364439395448</c:v>
                </c:pt>
                <c:pt idx="206">
                  <c:v>-9.404897759515892</c:v>
                </c:pt>
                <c:pt idx="207">
                  <c:v>-9.464386475257422</c:v>
                </c:pt>
                <c:pt idx="208">
                  <c:v>-9.5236055552849823</c:v>
                </c:pt>
                <c:pt idx="209">
                  <c:v>-9.5825579084351027</c:v>
                </c:pt>
                <c:pt idx="210">
                  <c:v>-9.6428451314261139</c:v>
                </c:pt>
                <c:pt idx="211">
                  <c:v>-9.7028569133620017</c:v>
                </c:pt>
                <c:pt idx="212">
                  <c:v>-9.7625962343223183</c:v>
                </c:pt>
                <c:pt idx="213">
                  <c:v>-9.822066018550446</c:v>
                </c:pt>
                <c:pt idx="214">
                  <c:v>-9.882446572964291</c:v>
                </c:pt>
                <c:pt idx="215">
                  <c:v>-9.942552710870272</c:v>
                </c:pt>
                <c:pt idx="216">
                  <c:v>-10.002387363987534</c:v>
                </c:pt>
                <c:pt idx="217">
                  <c:v>-10.061953409269304</c:v>
                </c:pt>
                <c:pt idx="218">
                  <c:v>-10.122602716127751</c:v>
                </c:pt>
                <c:pt idx="219">
                  <c:v>-10.182976944490321</c:v>
                </c:pt>
                <c:pt idx="220">
                  <c:v>-10.243079003361784</c:v>
                </c:pt>
                <c:pt idx="221">
                  <c:v>-10.302911747440035</c:v>
                </c:pt>
                <c:pt idx="222">
                  <c:v>-10.363802872353345</c:v>
                </c:pt>
                <c:pt idx="223">
                  <c:v>-10.424418406245294</c:v>
                </c:pt>
                <c:pt idx="224">
                  <c:v>-10.484761231502981</c:v>
                </c:pt>
                <c:pt idx="225">
                  <c:v>-10.544834176791838</c:v>
                </c:pt>
                <c:pt idx="226">
                  <c:v>-10.606127118884721</c:v>
                </c:pt>
                <c:pt idx="227">
                  <c:v>-10.667142410881667</c:v>
                </c:pt>
                <c:pt idx="228">
                  <c:v>-10.727882931083631</c:v>
                </c:pt>
                <c:pt idx="229">
                  <c:v>-10.788351504129469</c:v>
                </c:pt>
                <c:pt idx="230">
                  <c:v>-10.911391771472116</c:v>
                </c:pt>
                <c:pt idx="231">
                  <c:v>-10.972495523044765</c:v>
                </c:pt>
                <c:pt idx="232">
                  <c:v>-11.03332545865876</c:v>
                </c:pt>
                <c:pt idx="233">
                  <c:v>-11.09531867024449</c:v>
                </c:pt>
                <c:pt idx="234">
                  <c:v>-11.157030717517856</c:v>
                </c:pt>
                <c:pt idx="235">
                  <c:v>-11.218464456007073</c:v>
                </c:pt>
                <c:pt idx="236">
                  <c:v>-11.279622688172745</c:v>
                </c:pt>
                <c:pt idx="237">
                  <c:v>-11.341740717902724</c:v>
                </c:pt>
                <c:pt idx="238">
                  <c:v>-11.403577678657788</c:v>
                </c:pt>
                <c:pt idx="239">
                  <c:v>-11.465136384575832</c:v>
                </c:pt>
                <c:pt idx="240">
                  <c:v>-11.526419597825925</c:v>
                </c:pt>
                <c:pt idx="241">
                  <c:v>-11.58898640297507</c:v>
                </c:pt>
                <c:pt idx="242">
                  <c:v>-11.65126917025013</c:v>
                </c:pt>
                <c:pt idx="243">
                  <c:v>-11.713270717259984</c:v>
                </c:pt>
                <c:pt idx="244">
                  <c:v>-11.774993809686059</c:v>
                </c:pt>
                <c:pt idx="245">
                  <c:v>-11.837799774229483</c:v>
                </c:pt>
                <c:pt idx="246">
                  <c:v>-11.900320488817771</c:v>
                </c:pt>
                <c:pt idx="247">
                  <c:v>-11.962558747266407</c:v>
                </c:pt>
                <c:pt idx="248">
                  <c:v>-12.024517292221725</c:v>
                </c:pt>
                <c:pt idx="249">
                  <c:v>-12.087699805563517</c:v>
                </c:pt>
                <c:pt idx="250">
                  <c:v>-12.150594461730133</c:v>
                </c:pt>
                <c:pt idx="251">
                  <c:v>-12.213204050312347</c:v>
                </c:pt>
                <c:pt idx="252">
                  <c:v>-12.275531310064785</c:v>
                </c:pt>
                <c:pt idx="253">
                  <c:v>-12.338889104878195</c:v>
                </c:pt>
                <c:pt idx="254">
                  <c:v>-12.40195810968256</c:v>
                </c:pt>
                <c:pt idx="255">
                  <c:v>-12.464741084960846</c:v>
                </c:pt>
                <c:pt idx="256">
                  <c:v>-12.527240741346974</c:v>
                </c:pt>
                <c:pt idx="257">
                  <c:v>-12.59106792600919</c:v>
                </c:pt>
                <c:pt idx="258">
                  <c:v>-12.654602546037633</c:v>
                </c:pt>
                <c:pt idx="259">
                  <c:v>-12.717847372936015</c:v>
                </c:pt>
                <c:pt idx="260">
                  <c:v>-12.780805128438233</c:v>
                </c:pt>
                <c:pt idx="261">
                  <c:v>-12.844899595690279</c:v>
                </c:pt>
                <c:pt idx="262">
                  <c:v>-12.908699399083613</c:v>
                </c:pt>
                <c:pt idx="263">
                  <c:v>-12.972207296838526</c:v>
                </c:pt>
                <c:pt idx="264">
                  <c:v>-13.03542599812509</c:v>
                </c:pt>
                <c:pt idx="265">
                  <c:v>-13.099753422541623</c:v>
                </c:pt>
                <c:pt idx="266">
                  <c:v>-13.163784227807067</c:v>
                </c:pt>
                <c:pt idx="267">
                  <c:v>-13.227521156914047</c:v>
                </c:pt>
                <c:pt idx="268">
                  <c:v>-13.290966904625199</c:v>
                </c:pt>
                <c:pt idx="269">
                  <c:v>-13.355646108220821</c:v>
                </c:pt>
                <c:pt idx="270">
                  <c:v>-13.420025465402283</c:v>
                </c:pt>
                <c:pt idx="271">
                  <c:v>-13.484107721689689</c:v>
                </c:pt>
                <c:pt idx="272">
                  <c:v>-13.547895574836378</c:v>
                </c:pt>
                <c:pt idx="273">
                  <c:v>-13.612885725316378</c:v>
                </c:pt>
                <c:pt idx="274">
                  <c:v>-13.677572993622704</c:v>
                </c:pt>
                <c:pt idx="275">
                  <c:v>-13.741960125403436</c:v>
                </c:pt>
                <c:pt idx="276">
                  <c:v>-13.806049819120132</c:v>
                </c:pt>
                <c:pt idx="277">
                  <c:v>-13.871164561908</c:v>
                </c:pt>
                <c:pt idx="278">
                  <c:v>-13.93597493893993</c:v>
                </c:pt>
                <c:pt idx="279">
                  <c:v>-14.00048367575555</c:v>
                </c:pt>
                <c:pt idx="280">
                  <c:v>-14.064693451801713</c:v>
                </c:pt>
                <c:pt idx="281">
                  <c:v>-14.130334093753056</c:v>
                </c:pt>
                <c:pt idx="282">
                  <c:v>-14.195664944534037</c:v>
                </c:pt>
                <c:pt idx="283">
                  <c:v>-14.260688763238257</c:v>
                </c:pt>
                <c:pt idx="284">
                  <c:v>-14.325408262812099</c:v>
                </c:pt>
                <c:pt idx="285">
                  <c:v>-14.391097285974201</c:v>
                </c:pt>
                <c:pt idx="286">
                  <c:v>-14.456475388980795</c:v>
                </c:pt>
                <c:pt idx="287">
                  <c:v>-14.521545308326669</c:v>
                </c:pt>
                <c:pt idx="288">
                  <c:v>-14.586309735606573</c:v>
                </c:pt>
                <c:pt idx="289">
                  <c:v>-14.652434434650308</c:v>
                </c:pt>
                <c:pt idx="290">
                  <c:v>-14.71824323446069</c:v>
                </c:pt>
                <c:pt idx="291">
                  <c:v>-14.783738901171148</c:v>
                </c:pt>
                <c:pt idx="292">
                  <c:v>-14.848924156169872</c:v>
                </c:pt>
                <c:pt idx="293">
                  <c:v>-14.915297330878747</c:v>
                </c:pt>
                <c:pt idx="294">
                  <c:v>-14.981351205964152</c:v>
                </c:pt>
                <c:pt idx="295">
                  <c:v>-15.047088557918686</c:v>
                </c:pt>
                <c:pt idx="296">
                  <c:v>-15.112512119115102</c:v>
                </c:pt>
                <c:pt idx="297">
                  <c:v>-15.179091719461331</c:v>
                </c:pt>
                <c:pt idx="298">
                  <c:v>-15.245348836212518</c:v>
                </c:pt>
                <c:pt idx="299">
                  <c:v>-15.311286255292707</c:v>
                </c:pt>
                <c:pt idx="300">
                  <c:v>-15.3769067191923</c:v>
                </c:pt>
                <c:pt idx="301">
                  <c:v>-15.443651907665437</c:v>
                </c:pt>
                <c:pt idx="302">
                  <c:v>-15.510071643482659</c:v>
                </c:pt>
                <c:pt idx="303">
                  <c:v>-15.576168721397154</c:v>
                </c:pt>
                <c:pt idx="304">
                  <c:v>-15.641945893459804</c:v>
                </c:pt>
                <c:pt idx="305">
                  <c:v>-15.70907360553022</c:v>
                </c:pt>
                <c:pt idx="306">
                  <c:v>-15.775870591760391</c:v>
                </c:pt>
                <c:pt idx="307">
                  <c:v>-15.842339687628739</c:v>
                </c:pt>
                <c:pt idx="308">
                  <c:v>-15.908483686032183</c:v>
                </c:pt>
                <c:pt idx="309">
                  <c:v>-15.975688936463847</c:v>
                </c:pt>
                <c:pt idx="310">
                  <c:v>-16.042560997592247</c:v>
                </c:pt>
                <c:pt idx="311">
                  <c:v>-16.109102712090458</c:v>
                </c:pt>
                <c:pt idx="312">
                  <c:v>-16.175316880868248</c:v>
                </c:pt>
                <c:pt idx="313">
                  <c:v>-16.24280928785954</c:v>
                </c:pt>
                <c:pt idx="314">
                  <c:v>-16.309963796692632</c:v>
                </c:pt>
                <c:pt idx="315">
                  <c:v>-16.37678328870026</c:v>
                </c:pt>
                <c:pt idx="316">
                  <c:v>-16.44327060367263</c:v>
                </c:pt>
                <c:pt idx="317">
                  <c:v>-16.510999738116233</c:v>
                </c:pt>
                <c:pt idx="318">
                  <c:v>-16.57838658439541</c:v>
                </c:pt>
                <c:pt idx="319">
                  <c:v>-16.645434061317712</c:v>
                </c:pt>
                <c:pt idx="320">
                  <c:v>-16.712145046412729</c:v>
                </c:pt>
                <c:pt idx="321">
                  <c:v>-16.780062088392825</c:v>
                </c:pt>
                <c:pt idx="322">
                  <c:v>-16.847632773664454</c:v>
                </c:pt>
                <c:pt idx="323">
                  <c:v>-16.91486005750194</c:v>
                </c:pt>
                <c:pt idx="324">
                  <c:v>-16.981746854195151</c:v>
                </c:pt>
                <c:pt idx="325">
                  <c:v>-17.049804618078241</c:v>
                </c:pt>
                <c:pt idx="326">
                  <c:v>-17.117512281065515</c:v>
                </c:pt>
                <c:pt idx="327">
                  <c:v>-17.184872834016538</c:v>
                </c:pt>
                <c:pt idx="328">
                  <c:v>-17.251889227114717</c:v>
                </c:pt>
                <c:pt idx="329">
                  <c:v>-17.320155858065061</c:v>
                </c:pt>
                <c:pt idx="330">
                  <c:v>-17.38806779307982</c:v>
                </c:pt>
                <c:pt idx="331">
                  <c:v>-17.455628072900549</c:v>
                </c:pt>
                <c:pt idx="332">
                  <c:v>-17.522839697635803</c:v>
                </c:pt>
                <c:pt idx="333">
                  <c:v>-17.591152997367367</c:v>
                </c:pt>
                <c:pt idx="334">
                  <c:v>-17.659108549942534</c:v>
                </c:pt>
                <c:pt idx="335">
                  <c:v>-17.726709429686988</c:v>
                </c:pt>
                <c:pt idx="336">
                  <c:v>-17.793958670608919</c:v>
                </c:pt>
                <c:pt idx="337">
                  <c:v>-17.862494635627364</c:v>
                </c:pt>
                <c:pt idx="338">
                  <c:v>-17.930667834749471</c:v>
                </c:pt>
                <c:pt idx="339">
                  <c:v>-17.998481404840227</c:v>
                </c:pt>
                <c:pt idx="340">
                  <c:v>-18.065938442234184</c:v>
                </c:pt>
                <c:pt idx="341">
                  <c:v>-18.13464304767637</c:v>
                </c:pt>
                <c:pt idx="342">
                  <c:v>-18.202980301217391</c:v>
                </c:pt>
                <c:pt idx="343">
                  <c:v>-18.270953400490054</c:v>
                </c:pt>
                <c:pt idx="344">
                  <c:v>-18.33856550239037</c:v>
                </c:pt>
                <c:pt idx="345">
                  <c:v>-18.407282362892282</c:v>
                </c:pt>
                <c:pt idx="346">
                  <c:v>-18.475628847637338</c:v>
                </c:pt>
                <c:pt idx="347">
                  <c:v>-18.543608198429983</c:v>
                </c:pt>
                <c:pt idx="348">
                  <c:v>-18.611223616374236</c:v>
                </c:pt>
                <c:pt idx="349">
                  <c:v>-18.680114139399596</c:v>
                </c:pt>
                <c:pt idx="350">
                  <c:v>-18.748629433270104</c:v>
                </c:pt>
                <c:pt idx="351">
                  <c:v>-18.816772811765745</c:v>
                </c:pt>
                <c:pt idx="352">
                  <c:v>-18.884547547493653</c:v>
                </c:pt>
                <c:pt idx="353">
                  <c:v>-18.953557429300652</c:v>
                </c:pt>
                <c:pt idx="354">
                  <c:v>-19.02218771861742</c:v>
                </c:pt>
                <c:pt idx="355">
                  <c:v>-19.090441798740823</c:v>
                </c:pt>
                <c:pt idx="356">
                  <c:v>-19.158323011316728</c:v>
                </c:pt>
                <c:pt idx="357">
                  <c:v>-19.227302476066303</c:v>
                </c:pt>
                <c:pt idx="358">
                  <c:v>-19.295899561772156</c:v>
                </c:pt>
                <c:pt idx="359">
                  <c:v>-19.364117704015204</c:v>
                </c:pt>
                <c:pt idx="360">
                  <c:v>-19.431960296471974</c:v>
                </c:pt>
                <c:pt idx="361">
                  <c:v>-19.501057684690412</c:v>
                </c:pt>
                <c:pt idx="362">
                  <c:v>-19.569768214805944</c:v>
                </c:pt>
                <c:pt idx="363">
                  <c:v>-19.63809540125731</c:v>
                </c:pt>
                <c:pt idx="364">
                  <c:v>-19.706042715831899</c:v>
                </c:pt>
                <c:pt idx="365">
                  <c:v>-19.775110913804404</c:v>
                </c:pt>
                <c:pt idx="366">
                  <c:v>-19.843789372414477</c:v>
                </c:pt>
                <c:pt idx="367">
                  <c:v>-19.9120816670513</c:v>
                </c:pt>
                <c:pt idx="368">
                  <c:v>-19.979991329928581</c:v>
                </c:pt>
                <c:pt idx="369">
                  <c:v>-20.049168692133023</c:v>
                </c:pt>
                <c:pt idx="370">
                  <c:v>-20.117951847381722</c:v>
                </c:pt>
                <c:pt idx="371">
                  <c:v>-20.186344457589811</c:v>
                </c:pt>
                <c:pt idx="372">
                  <c:v>-20.254350140491034</c:v>
                </c:pt>
                <c:pt idx="373">
                  <c:v>-20.32349272029094</c:v>
                </c:pt>
                <c:pt idx="374">
                  <c:v>-20.392238241133228</c:v>
                </c:pt>
                <c:pt idx="375">
                  <c:v>-20.460590432772342</c:v>
                </c:pt>
                <c:pt idx="376">
                  <c:v>-20.528552980001038</c:v>
                </c:pt>
                <c:pt idx="377">
                  <c:v>-20.597789991165673</c:v>
                </c:pt>
                <c:pt idx="378">
                  <c:v>-20.666625608276053</c:v>
                </c:pt>
                <c:pt idx="379">
                  <c:v>-20.735063653487011</c:v>
                </c:pt>
                <c:pt idx="380">
                  <c:v>-20.803107902739157</c:v>
                </c:pt>
                <c:pt idx="381">
                  <c:v>-20.872213676229197</c:v>
                </c:pt>
                <c:pt idx="382">
                  <c:v>-20.940916344303751</c:v>
                </c:pt>
                <c:pt idx="383">
                  <c:v>-21.00921978760908</c:v>
                </c:pt>
                <c:pt idx="384">
                  <c:v>-21.077127839789611</c:v>
                </c:pt>
                <c:pt idx="385">
                  <c:v>-21.146312617685101</c:v>
                </c:pt>
                <c:pt idx="386">
                  <c:v>-21.215090167344819</c:v>
                </c:pt>
                <c:pt idx="387">
                  <c:v>-21.283464466001995</c:v>
                </c:pt>
                <c:pt idx="388">
                  <c:v>-21.351439442403283</c:v>
                </c:pt>
                <c:pt idx="389">
                  <c:v>-21.420566974419724</c:v>
                </c:pt>
                <c:pt idx="390">
                  <c:v>-21.489284790044742</c:v>
                </c:pt>
                <c:pt idx="391">
                  <c:v>-21.557596942675072</c:v>
                </c:pt>
                <c:pt idx="392">
                  <c:v>-21.625507435981856</c:v>
                </c:pt>
                <c:pt idx="393">
                  <c:v>-21.694531933452815</c:v>
                </c:pt>
                <c:pt idx="394">
                  <c:v>-21.763144836949117</c:v>
                </c:pt>
                <c:pt idx="395">
                  <c:v>-21.831350269889018</c:v>
                </c:pt>
                <c:pt idx="396">
                  <c:v>-21.899152304743001</c:v>
                </c:pt>
                <c:pt idx="397">
                  <c:v>-21.968186396796874</c:v>
                </c:pt>
                <c:pt idx="398">
                  <c:v>-22.036805754619607</c:v>
                </c:pt>
                <c:pt idx="399">
                  <c:v>-22.105014593534325</c:v>
                </c:pt>
                <c:pt idx="400">
                  <c:v>-22.172817076248531</c:v>
                </c:pt>
                <c:pt idx="401">
                  <c:v>-22.241734152922312</c:v>
                </c:pt>
                <c:pt idx="402">
                  <c:v>-22.310234959600095</c:v>
                </c:pt>
                <c:pt idx="403">
                  <c:v>-22.378323781928415</c:v>
                </c:pt>
                <c:pt idx="404">
                  <c:v>-22.446004851543005</c:v>
                </c:pt>
                <c:pt idx="405">
                  <c:v>-22.514837006552966</c:v>
                </c:pt>
                <c:pt idx="406">
                  <c:v>-22.583251080624457</c:v>
                </c:pt>
                <c:pt idx="407">
                  <c:v>-22.651251436367858</c:v>
                </c:pt>
                <c:pt idx="408">
                  <c:v>-22.718842380793703</c:v>
                </c:pt>
                <c:pt idx="409">
                  <c:v>-22.78761776352993</c:v>
                </c:pt>
                <c:pt idx="410">
                  <c:v>-22.855973031701904</c:v>
                </c:pt>
                <c:pt idx="411">
                  <c:v>-22.923912630789491</c:v>
                </c:pt>
                <c:pt idx="412">
                  <c:v>-22.991440948899541</c:v>
                </c:pt>
                <c:pt idx="413">
                  <c:v>-23.060113553113233</c:v>
                </c:pt>
                <c:pt idx="414">
                  <c:v>-23.128364700643765</c:v>
                </c:pt>
                <c:pt idx="415">
                  <c:v>-23.196198911128086</c:v>
                </c:pt>
                <c:pt idx="416">
                  <c:v>-23.263620645124028</c:v>
                </c:pt>
                <c:pt idx="417">
                  <c:v>-23.332216740430894</c:v>
                </c:pt>
                <c:pt idx="418">
                  <c:v>-23.400389860943474</c:v>
                </c:pt>
                <c:pt idx="419">
                  <c:v>-23.468144605287744</c:v>
                </c:pt>
                <c:pt idx="420">
                  <c:v>-23.535485511140063</c:v>
                </c:pt>
                <c:pt idx="421">
                  <c:v>-23.603893841838666</c:v>
                </c:pt>
                <c:pt idx="422">
                  <c:v>-23.671879208188038</c:v>
                </c:pt>
                <c:pt idx="423">
                  <c:v>-23.739446264544121</c:v>
                </c:pt>
                <c:pt idx="424">
                  <c:v>-23.806599602778583</c:v>
                </c:pt>
                <c:pt idx="425">
                  <c:v>-23.874980959764592</c:v>
                </c:pt>
                <c:pt idx="426">
                  <c:v>-23.942937550932406</c:v>
                </c:pt>
                <c:pt idx="427">
                  <c:v>-24.010474117745233</c:v>
                </c:pt>
                <c:pt idx="428">
                  <c:v>-24.077595337011783</c:v>
                </c:pt>
                <c:pt idx="429">
                  <c:v>-24.145839008250782</c:v>
                </c:pt>
                <c:pt idx="430">
                  <c:v>-24.213657659589877</c:v>
                </c:pt>
                <c:pt idx="431">
                  <c:v>-24.281056095305075</c:v>
                </c:pt>
                <c:pt idx="432">
                  <c:v>-24.348039053213096</c:v>
                </c:pt>
                <c:pt idx="433">
                  <c:v>-24.416106726054917</c:v>
                </c:pt>
                <c:pt idx="434">
                  <c:v>-24.483749795322176</c:v>
                </c:pt>
                <c:pt idx="435">
                  <c:v>-24.550973117642826</c:v>
                </c:pt>
                <c:pt idx="436">
                  <c:v>-24.617781481509795</c:v>
                </c:pt>
                <c:pt idx="437">
                  <c:v>-24.685759895639702</c:v>
                </c:pt>
                <c:pt idx="438">
                  <c:v>-24.753313245842605</c:v>
                </c:pt>
                <c:pt idx="439">
                  <c:v>-24.820446456904619</c:v>
                </c:pt>
                <c:pt idx="440">
                  <c:v>-24.887164383442904</c:v>
                </c:pt>
                <c:pt idx="441">
                  <c:v>-24.955013133614035</c:v>
                </c:pt>
                <c:pt idx="442">
                  <c:v>-25.022437071625482</c:v>
                </c:pt>
                <c:pt idx="443">
                  <c:v>-25.089441178838872</c:v>
                </c:pt>
                <c:pt idx="444">
                  <c:v>-25.156030364569798</c:v>
                </c:pt>
                <c:pt idx="445">
                  <c:v>-25.223712751244285</c:v>
                </c:pt>
                <c:pt idx="446">
                  <c:v>-25.290971253918038</c:v>
                </c:pt>
                <c:pt idx="447">
                  <c:v>-25.357810898979736</c:v>
                </c:pt>
                <c:pt idx="448">
                  <c:v>-25.424236639063416</c:v>
                </c:pt>
                <c:pt idx="449">
                  <c:v>-25.491832318252001</c:v>
                </c:pt>
                <c:pt idx="450">
                  <c:v>-25.559004271598063</c:v>
                </c:pt>
                <c:pt idx="451">
                  <c:v>-25.625757584392623</c:v>
                </c:pt>
                <c:pt idx="452">
                  <c:v>-25.692097266139822</c:v>
                </c:pt>
                <c:pt idx="453">
                  <c:v>-25.75951322252358</c:v>
                </c:pt>
                <c:pt idx="454">
                  <c:v>-25.826507003572516</c:v>
                </c:pt>
                <c:pt idx="455">
                  <c:v>-25.893083728482349</c:v>
                </c:pt>
                <c:pt idx="456">
                  <c:v>-25.959248439077566</c:v>
                </c:pt>
                <c:pt idx="457">
                  <c:v>-26.026561730502227</c:v>
                </c:pt>
                <c:pt idx="458">
                  <c:v>-26.093453670659969</c:v>
                </c:pt>
                <c:pt idx="459">
                  <c:v>-26.159929425530951</c:v>
                </c:pt>
                <c:pt idx="460">
                  <c:v>-26.225994081838778</c:v>
                </c:pt>
                <c:pt idx="461">
                  <c:v>-26.29316993313499</c:v>
                </c:pt>
                <c:pt idx="462">
                  <c:v>-26.359925931094427</c:v>
                </c:pt>
                <c:pt idx="463">
                  <c:v>-26.426267275753172</c:v>
                </c:pt>
                <c:pt idx="464">
                  <c:v>-26.492199086224648</c:v>
                </c:pt>
                <c:pt idx="465">
                  <c:v>-26.559257387616494</c:v>
                </c:pt>
                <c:pt idx="466">
                  <c:v>-26.625897328908824</c:v>
                </c:pt>
                <c:pt idx="467">
                  <c:v>-26.692124143642868</c:v>
                </c:pt>
                <c:pt idx="468">
                  <c:v>-26.757942982747679</c:v>
                </c:pt>
                <c:pt idx="469">
                  <c:v>-26.824852311318985</c:v>
                </c:pt>
                <c:pt idx="470">
                  <c:v>-26.891345408650743</c:v>
                </c:pt>
                <c:pt idx="471">
                  <c:v>-26.957427529028884</c:v>
                </c:pt>
                <c:pt idx="472">
                  <c:v>-27.023103842676313</c:v>
                </c:pt>
                <c:pt idx="473">
                  <c:v>-27.089933399944577</c:v>
                </c:pt>
                <c:pt idx="474">
                  <c:v>-27.156348243460858</c:v>
                </c:pt>
                <c:pt idx="475">
                  <c:v>-27.222353658805396</c:v>
                </c:pt>
                <c:pt idx="476">
                  <c:v>-27.287954845792974</c:v>
                </c:pt>
                <c:pt idx="477">
                  <c:v>-27.354672945888808</c:v>
                </c:pt>
                <c:pt idx="478">
                  <c:v>-27.420978490765208</c:v>
                </c:pt>
                <c:pt idx="479">
                  <c:v>-27.486876783992102</c:v>
                </c:pt>
                <c:pt idx="480">
                  <c:v>-27.552373041933265</c:v>
                </c:pt>
                <c:pt idx="481">
                  <c:v>-27.618951554940882</c:v>
                </c:pt>
                <c:pt idx="482">
                  <c:v>-27.685120263283636</c:v>
                </c:pt>
                <c:pt idx="483">
                  <c:v>-27.750884475704179</c:v>
                </c:pt>
                <c:pt idx="484">
                  <c:v>-27.816249412562723</c:v>
                </c:pt>
                <c:pt idx="485">
                  <c:v>-27.88270867628826</c:v>
                </c:pt>
                <c:pt idx="486">
                  <c:v>-27.948760878197273</c:v>
                </c:pt>
                <c:pt idx="487">
                  <c:v>-28.014411330703773</c:v>
                </c:pt>
                <c:pt idx="488">
                  <c:v>-28.079665256685878</c:v>
                </c:pt>
                <c:pt idx="489">
                  <c:v>-28.146068456605779</c:v>
                </c:pt>
                <c:pt idx="490">
                  <c:v>-28.212066809624133</c:v>
                </c:pt>
                <c:pt idx="491">
                  <c:v>-28.277665640473401</c:v>
                </c:pt>
                <c:pt idx="492">
                  <c:v>-28.342870182991135</c:v>
                </c:pt>
                <c:pt idx="493">
                  <c:v>-28.409189326463075</c:v>
                </c:pt>
                <c:pt idx="494">
                  <c:v>-28.475106421175195</c:v>
                </c:pt>
                <c:pt idx="495">
                  <c:v>-28.540626790956374</c:v>
                </c:pt>
                <c:pt idx="496">
                  <c:v>-28.605755667671943</c:v>
                </c:pt>
                <c:pt idx="497">
                  <c:v>-28.672008054639846</c:v>
                </c:pt>
                <c:pt idx="498">
                  <c:v>-28.737861218918525</c:v>
                </c:pt>
                <c:pt idx="499">
                  <c:v>-28.80332048091697</c:v>
                </c:pt>
                <c:pt idx="500">
                  <c:v>-28.868391068065456</c:v>
                </c:pt>
                <c:pt idx="501">
                  <c:v>-28.934593179167901</c:v>
                </c:pt>
                <c:pt idx="502">
                  <c:v>-29.000398929612075</c:v>
                </c:pt>
                <c:pt idx="503">
                  <c:v>-29.065813633600214</c:v>
                </c:pt>
                <c:pt idx="504">
                  <c:v>-29.130842511403397</c:v>
                </c:pt>
                <c:pt idx="505">
                  <c:v>-29.196970122225281</c:v>
                </c:pt>
                <c:pt idx="506">
                  <c:v>-29.262704750023659</c:v>
                </c:pt>
                <c:pt idx="507">
                  <c:v>-29.328051690218608</c:v>
                </c:pt>
                <c:pt idx="508">
                  <c:v>-29.393016143644889</c:v>
                </c:pt>
                <c:pt idx="509">
                  <c:v>-29.459087172118522</c:v>
                </c:pt>
                <c:pt idx="510">
                  <c:v>-29.524768599819346</c:v>
                </c:pt>
                <c:pt idx="511">
                  <c:v>-29.590065700887202</c:v>
                </c:pt>
                <c:pt idx="512">
                  <c:v>-29.654983654289335</c:v>
                </c:pt>
                <c:pt idx="513">
                  <c:v>-29.721053429839973</c:v>
                </c:pt>
                <c:pt idx="514">
                  <c:v>-29.786736551528314</c:v>
                </c:pt>
                <c:pt idx="515">
                  <c:v>-29.852038278582931</c:v>
                </c:pt>
                <c:pt idx="516">
                  <c:v>-29.916963774326383</c:v>
                </c:pt>
                <c:pt idx="517">
                  <c:v>-29.98300892883104</c:v>
                </c:pt>
                <c:pt idx="518">
                  <c:v>-30.048670859079959</c:v>
                </c:pt>
                <c:pt idx="519">
                  <c:v>-30.113954797046773</c:v>
                </c:pt>
                <c:pt idx="520">
                  <c:v>-30.178865878373486</c:v>
                </c:pt>
                <c:pt idx="521">
                  <c:v>-30.244902426327403</c:v>
                </c:pt>
                <c:pt idx="522">
                  <c:v>-30.310559192306059</c:v>
                </c:pt>
                <c:pt idx="523">
                  <c:v>-30.37584137809673</c:v>
                </c:pt>
                <c:pt idx="524">
                  <c:v>-30.440754088814206</c:v>
                </c:pt>
                <c:pt idx="525">
                  <c:v>-30.506797504478079</c:v>
                </c:pt>
                <c:pt idx="526">
                  <c:v>-30.57246459319764</c:v>
                </c:pt>
                <c:pt idx="527">
                  <c:v>-30.637760523557631</c:v>
                </c:pt>
                <c:pt idx="528">
                  <c:v>-30.702690367218594</c:v>
                </c:pt>
                <c:pt idx="529">
                  <c:v>-30.768755632975537</c:v>
                </c:pt>
                <c:pt idx="530">
                  <c:v>-30.834448038347297</c:v>
                </c:pt>
                <c:pt idx="531">
                  <c:v>-30.89977271564463</c:v>
                </c:pt>
                <c:pt idx="532">
                  <c:v>-30.964734700095327</c:v>
                </c:pt>
                <c:pt idx="533">
                  <c:v>-31.030870376989569</c:v>
                </c:pt>
                <c:pt idx="534">
                  <c:v>-31.096636290327542</c:v>
                </c:pt>
                <c:pt idx="535">
                  <c:v>-31.162037540863668</c:v>
                </c:pt>
                <c:pt idx="536">
                  <c:v>-31.227079132008164</c:v>
                </c:pt>
                <c:pt idx="537">
                  <c:v>-31.293230529633508</c:v>
                </c:pt>
                <c:pt idx="538">
                  <c:v>-31.359016034150851</c:v>
                </c:pt>
                <c:pt idx="539">
                  <c:v>-31.424440695829841</c:v>
                </c:pt>
                <c:pt idx="540">
                  <c:v>-31.489509467834431</c:v>
                </c:pt>
                <c:pt idx="541">
                  <c:v>-31.555757665887235</c:v>
                </c:pt>
                <c:pt idx="542">
                  <c:v>-31.621643097983991</c:v>
                </c:pt>
                <c:pt idx="543">
                  <c:v>-31.687170776191142</c:v>
                </c:pt>
                <c:pt idx="544">
                  <c:v>-31.752345615415596</c:v>
                </c:pt>
                <c:pt idx="545">
                  <c:v>-31.818670005720971</c:v>
                </c:pt>
                <c:pt idx="546">
                  <c:v>-31.884635129129336</c:v>
                </c:pt>
                <c:pt idx="547">
                  <c:v>-31.950245948722142</c:v>
                </c:pt>
                <c:pt idx="548">
                  <c:v>-32.015507330666622</c:v>
                </c:pt>
                <c:pt idx="549">
                  <c:v>-32.081920971795419</c:v>
                </c:pt>
                <c:pt idx="550">
                  <c:v>-32.147978833900666</c:v>
                </c:pt>
                <c:pt idx="551">
                  <c:v>-32.213685828142971</c:v>
                </c:pt>
                <c:pt idx="552">
                  <c:v>-32.279046769115112</c:v>
                </c:pt>
                <c:pt idx="553">
                  <c:v>-32.345592896164838</c:v>
                </c:pt>
                <c:pt idx="554">
                  <c:v>-32.411786392104418</c:v>
                </c:pt>
                <c:pt idx="555">
                  <c:v>-32.477632119973308</c:v>
                </c:pt>
                <c:pt idx="556">
                  <c:v>-32.543134846515237</c:v>
                </c:pt>
                <c:pt idx="557">
                  <c:v>-32.67616350608786</c:v>
                </c:pt>
                <c:pt idx="558">
                  <c:v>-32.807813399775512</c:v>
                </c:pt>
                <c:pt idx="559">
                  <c:v>-32.941093289701662</c:v>
                </c:pt>
                <c:pt idx="560">
                  <c:v>-33.073007965464221</c:v>
                </c:pt>
                <c:pt idx="561">
                  <c:v>-33.206676734573975</c:v>
                </c:pt>
                <c:pt idx="562">
                  <c:v>-33.338991369012277</c:v>
                </c:pt>
                <c:pt idx="563">
                  <c:v>-33.472785253627684</c:v>
                </c:pt>
                <c:pt idx="564">
                  <c:v>-33.605241625159351</c:v>
                </c:pt>
                <c:pt idx="565">
                  <c:v>-33.739686204022355</c:v>
                </c:pt>
                <c:pt idx="566">
                  <c:v>-33.87279966684099</c:v>
                </c:pt>
                <c:pt idx="567">
                  <c:v>-34.007842957613697</c:v>
                </c:pt>
                <c:pt idx="568">
                  <c:v>-34.141562861987872</c:v>
                </c:pt>
                <c:pt idx="569">
                  <c:v>-34.276630306405394</c:v>
                </c:pt>
                <c:pt idx="570">
                  <c:v>-34.410393347809652</c:v>
                </c:pt>
                <c:pt idx="571">
                  <c:v>-34.546505833116363</c:v>
                </c:pt>
                <c:pt idx="572">
                  <c:v>-34.681313364808169</c:v>
                </c:pt>
                <c:pt idx="573">
                  <c:v>-34.817386515518557</c:v>
                </c:pt>
                <c:pt idx="574">
                  <c:v>-34.952174855344566</c:v>
                </c:pt>
                <c:pt idx="575">
                  <c:v>-35.089196195753736</c:v>
                </c:pt>
                <c:pt idx="576">
                  <c:v>-35.22493422185314</c:v>
                </c:pt>
                <c:pt idx="577">
                  <c:v>-35.786113424885365</c:v>
                </c:pt>
                <c:pt idx="578">
                  <c:v>-36.327120454367389</c:v>
                </c:pt>
                <c:pt idx="579">
                  <c:v>-37.451074450254708</c:v>
                </c:pt>
                <c:pt idx="580">
                  <c:v>-38.601930332789351</c:v>
                </c:pt>
                <c:pt idx="581">
                  <c:v>-39.780760892945047</c:v>
                </c:pt>
                <c:pt idx="582">
                  <c:v>-40.990358251739032</c:v>
                </c:pt>
                <c:pt idx="583">
                  <c:v>-42.231128921964157</c:v>
                </c:pt>
                <c:pt idx="584">
                  <c:v>-43.504562780489415</c:v>
                </c:pt>
                <c:pt idx="585">
                  <c:v>-44.809774206229946</c:v>
                </c:pt>
                <c:pt idx="586">
                  <c:v>-46.146129073991197</c:v>
                </c:pt>
                <c:pt idx="587">
                  <c:v>-47.512997333500387</c:v>
                </c:pt>
                <c:pt idx="588">
                  <c:v>-48.90727933153363</c:v>
                </c:pt>
                <c:pt idx="589">
                  <c:v>-50.327989518821809</c:v>
                </c:pt>
                <c:pt idx="590">
                  <c:v>-51.77231675110513</c:v>
                </c:pt>
                <c:pt idx="591">
                  <c:v>-53.238027149962342</c:v>
                </c:pt>
                <c:pt idx="592">
                  <c:v>-54.722577857941879</c:v>
                </c:pt>
                <c:pt idx="593">
                  <c:v>-56.224157135391337</c:v>
                </c:pt>
                <c:pt idx="594">
                  <c:v>-57.740256716374915</c:v>
                </c:pt>
                <c:pt idx="595">
                  <c:v>-59.269241181510317</c:v>
                </c:pt>
                <c:pt idx="596">
                  <c:v>-60.809046484053496</c:v>
                </c:pt>
                <c:pt idx="597">
                  <c:v>-62.358438850565925</c:v>
                </c:pt>
                <c:pt idx="598">
                  <c:v>-63.915657114480382</c:v>
                </c:pt>
                <c:pt idx="599">
                  <c:v>-65.479894591967991</c:v>
                </c:pt>
                <c:pt idx="600">
                  <c:v>-67.049868305647593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108-48B6-A860-793AEC41F97D}"/>
            </c:ext>
          </c:extLst>
        </c:ser>
        <c:ser>
          <c:idx val="6"/>
          <c:order val="2"/>
          <c:tx>
            <c:v>FZCOMP</c:v>
          </c:tx>
          <c:spPr>
            <a:ln w="28575">
              <a:noFill/>
            </a:ln>
          </c:spPr>
          <c:marker>
            <c:symbol val="circle"/>
            <c:size val="8"/>
            <c:spPr>
              <a:noFill/>
              <a:ln w="19050"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1.771840147036232E-2"/>
                  <c:y val="-3.791727068562853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F</a:t>
                    </a:r>
                    <a:r>
                      <a:rPr lang="en-US" baseline="-25000"/>
                      <a:t>ZCOMP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9108-48B6-A860-793AEC41F97D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'Stability Calculations'!$C$635</c:f>
              <c:numCache>
                <c:formatCode>0.00</c:formatCode>
                <c:ptCount val="1"/>
                <c:pt idx="0">
                  <c:v>798.48958094399131</c:v>
                </c:pt>
              </c:numCache>
            </c:numRef>
          </c:xVal>
          <c:yVal>
            <c:numRef>
              <c:f>'Stability Calculations'!$D$635</c:f>
              <c:numCache>
                <c:formatCode>0.00</c:formatCode>
                <c:ptCount val="1"/>
                <c:pt idx="0">
                  <c:v>16.038828201710157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108-48B6-A860-793AEC41F97D}"/>
            </c:ext>
          </c:extLst>
        </c:ser>
        <c:ser>
          <c:idx val="8"/>
          <c:order val="3"/>
          <c:tx>
            <c:v>FpEA</c:v>
          </c:tx>
          <c:spPr>
            <a:ln w="28575">
              <a:noFill/>
            </a:ln>
          </c:spPr>
          <c:marker>
            <c:symbol val="x"/>
            <c:size val="8"/>
            <c:spPr>
              <a:noFill/>
              <a:ln w="22225"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9316756823388307E-3"/>
                  <c:y val="-1.5965166604475167E-2"/>
                </c:manualLayout>
              </c:layout>
              <c:tx>
                <c:rich>
                  <a:bodyPr/>
                  <a:lstStyle/>
                  <a:p>
                    <a:r>
                      <a:rPr lang="en-US">
                        <a:solidFill>
                          <a:srgbClr val="0000FF"/>
                        </a:solidFill>
                      </a:rPr>
                      <a:t>F</a:t>
                    </a:r>
                    <a:r>
                      <a:rPr lang="en-US" baseline="-25000">
                        <a:solidFill>
                          <a:srgbClr val="0000FF"/>
                        </a:solidFill>
                      </a:rPr>
                      <a:t>PEA</a:t>
                    </a:r>
                    <a:endParaRPr lang="en-US" baseline="-25000"/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9108-48B6-A860-793AEC41F97D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'Stability Calculations'!$C$5</c:f>
              <c:numCache>
                <c:formatCode>0.0</c:formatCode>
                <c:ptCount val="1"/>
                <c:pt idx="0">
                  <c:v>0.24107104998798903</c:v>
                </c:pt>
              </c:numCache>
            </c:numRef>
          </c:xVal>
          <c:yVal>
            <c:numRef>
              <c:f>'Stability Calculations'!$Q$624</c:f>
              <c:numCache>
                <c:formatCode>0.00</c:formatCode>
                <c:ptCount val="1"/>
                <c:pt idx="0">
                  <c:v>83.973620144521561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108-48B6-A860-793AEC41F97D}"/>
            </c:ext>
          </c:extLst>
        </c:ser>
        <c:ser>
          <c:idx val="9"/>
          <c:order val="4"/>
          <c:tx>
            <c:v>FpLOAD</c:v>
          </c:tx>
          <c:spPr>
            <a:ln w="28575">
              <a:solidFill>
                <a:schemeClr val="tx1"/>
              </a:solidFill>
            </a:ln>
          </c:spPr>
          <c:marker>
            <c:symbol val="x"/>
            <c:size val="8"/>
            <c:spPr>
              <a:noFill/>
              <a:ln w="22225">
                <a:solidFill>
                  <a:schemeClr val="tx1"/>
                </a:solidFill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>
                        <a:solidFill>
                          <a:schemeClr val="tx1"/>
                        </a:solidFill>
                      </a:rPr>
                      <a:t>F</a:t>
                    </a:r>
                    <a:r>
                      <a:rPr lang="en-US" baseline="-25000">
                        <a:solidFill>
                          <a:schemeClr val="tx1"/>
                        </a:solidFill>
                      </a:rPr>
                      <a:t>PLOAD</a:t>
                    </a:r>
                  </a:p>
                </c:rich>
              </c:tx>
              <c:dLblPos val="t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9108-48B6-A860-793AEC41F97D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'Stability Calculations'!$K$4</c:f>
              <c:numCache>
                <c:formatCode>0</c:formatCode>
                <c:ptCount val="1"/>
                <c:pt idx="0">
                  <c:v>710.29730474096323</c:v>
                </c:pt>
              </c:numCache>
            </c:numRef>
          </c:xVal>
          <c:yVal>
            <c:numRef>
              <c:f>'Stability Calculations'!$D$632</c:f>
              <c:numCache>
                <c:formatCode>0.00</c:formatCode>
                <c:ptCount val="1"/>
                <c:pt idx="0">
                  <c:v>17.115731684771308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108-48B6-A860-793AEC41F97D}"/>
            </c:ext>
          </c:extLst>
        </c:ser>
        <c:ser>
          <c:idx val="4"/>
          <c:order val="6"/>
          <c:tx>
            <c:v>FZESR</c:v>
          </c:tx>
          <c:spPr>
            <a:ln w="28575">
              <a:noFill/>
            </a:ln>
          </c:spPr>
          <c:marker>
            <c:symbol val="circle"/>
            <c:size val="8"/>
            <c:spPr>
              <a:noFill/>
              <a:ln w="19050"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3.9306499421109475E-2"/>
                  <c:y val="3.9912923770191157E-2"/>
                </c:manualLayout>
              </c:layout>
              <c:tx>
                <c:rich>
                  <a:bodyPr/>
                  <a:lstStyle/>
                  <a:p>
                    <a:r>
                      <a:rPr lang="en-US" b="1"/>
                      <a:t>F</a:t>
                    </a:r>
                    <a:r>
                      <a:rPr lang="en-US" b="1" baseline="-25000"/>
                      <a:t>ZESR</a:t>
                    </a:r>
                    <a:endParaRPr lang="en-US" baseline="-25000"/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9108-48B6-A860-793AEC41F97D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'Stability Calculations'!$A$623</c:f>
              <c:numCache>
                <c:formatCode>0</c:formatCode>
                <c:ptCount val="1"/>
                <c:pt idx="0">
                  <c:v>80381.28448169514</c:v>
                </c:pt>
              </c:numCache>
            </c:numRef>
          </c:xVal>
          <c:yVal>
            <c:numRef>
              <c:f>'Stability Calculations'!$Q$623</c:f>
              <c:numCache>
                <c:formatCode>0.00</c:formatCode>
                <c:ptCount val="1"/>
                <c:pt idx="0">
                  <c:v>-30.575760735146474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108-48B6-A860-793AEC41F9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377280"/>
        <c:axId val="139720192"/>
      </c:scatterChart>
      <c:scatterChart>
        <c:scatterStyle val="lineMarker"/>
        <c:varyColors val="0"/>
        <c:ser>
          <c:idx val="10"/>
          <c:order val="5"/>
          <c:tx>
            <c:v>FPCOMP</c:v>
          </c:tx>
          <c:spPr>
            <a:ln>
              <a:solidFill>
                <a:schemeClr val="tx1"/>
              </a:solidFill>
            </a:ln>
          </c:spPr>
          <c:marker>
            <c:symbol val="x"/>
            <c:size val="8"/>
            <c:spPr>
              <a:noFill/>
              <a:ln w="22225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5.8718924670594424E-3"/>
                  <c:y val="-8.0265817928798291E-3"/>
                </c:manualLayout>
              </c:layout>
              <c:tx>
                <c:rich>
                  <a:bodyPr/>
                  <a:lstStyle/>
                  <a:p>
                    <a:r>
                      <a:rPr lang="en-US">
                        <a:solidFill>
                          <a:srgbClr val="0000FF"/>
                        </a:solidFill>
                        <a:latin typeface="Arial" pitchFamily="34" charset="0"/>
                        <a:cs typeface="Arial" pitchFamily="34" charset="0"/>
                      </a:rPr>
                      <a:t>F</a:t>
                    </a:r>
                    <a:r>
                      <a:rPr lang="en-US" baseline="-25000">
                        <a:solidFill>
                          <a:srgbClr val="0000FF"/>
                        </a:solidFill>
                        <a:latin typeface="Arial" pitchFamily="34" charset="0"/>
                        <a:cs typeface="Arial" pitchFamily="34" charset="0"/>
                      </a:rPr>
                      <a:t>PCOMP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9108-48B6-A860-793AEC41F97D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'Stability Calculations'!$A$627</c:f>
              <c:numCache>
                <c:formatCode>0</c:formatCode>
                <c:ptCount val="1"/>
                <c:pt idx="0">
                  <c:v>21505.664448581574</c:v>
                </c:pt>
              </c:numCache>
            </c:numRef>
          </c:xVal>
          <c:yVal>
            <c:numRef>
              <c:f>'Stability Calculations'!$Q$627</c:f>
              <c:numCache>
                <c:formatCode>0.00</c:formatCode>
                <c:ptCount val="1"/>
                <c:pt idx="0">
                  <c:v>-15.179712911930514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9108-48B6-A860-793AEC41F97D}"/>
            </c:ext>
          </c:extLst>
        </c:ser>
        <c:ser>
          <c:idx val="11"/>
          <c:order val="9"/>
          <c:tx>
            <c:v>FzRHP</c:v>
          </c:tx>
          <c:spPr>
            <a:ln>
              <a:solidFill>
                <a:srgbClr val="FF00FF"/>
              </a:solidFill>
            </a:ln>
          </c:spPr>
          <c:marker>
            <c:symbol val="circle"/>
            <c:size val="8"/>
            <c:spPr>
              <a:noFill/>
              <a:ln w="19050">
                <a:solidFill>
                  <a:srgbClr val="FF00FF"/>
                </a:solidFill>
              </a:ln>
            </c:spPr>
          </c:marker>
          <c:dLbls>
            <c:dLbl>
              <c:idx val="0"/>
              <c:layout>
                <c:manualLayout>
                  <c:x val="-2.3423587921912771E-2"/>
                  <c:y val="2.917186362268608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F</a:t>
                    </a:r>
                    <a:r>
                      <a:rPr lang="en-US" baseline="-25000"/>
                      <a:t>ZRHP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9108-48B6-A860-793AEC41F97D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'Stability Calculations'!$A$628</c:f>
              <c:numCache>
                <c:formatCode>0</c:formatCode>
                <c:ptCount val="1"/>
                <c:pt idx="0">
                  <c:v>44322.846065897655</c:v>
                </c:pt>
              </c:numCache>
            </c:numRef>
          </c:xVal>
          <c:yVal>
            <c:numRef>
              <c:f>'Stability Calculations'!$D$637</c:f>
              <c:numCache>
                <c:formatCode>0.00</c:formatCode>
                <c:ptCount val="1"/>
                <c:pt idx="0">
                  <c:v>-23.715246054012727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9108-48B6-A860-793AEC41F9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377280"/>
        <c:axId val="139720192"/>
      </c:scatterChart>
      <c:scatterChart>
        <c:scatterStyle val="lineMarker"/>
        <c:varyColors val="0"/>
        <c:ser>
          <c:idx val="3"/>
          <c:order val="1"/>
          <c:tx>
            <c:v>Loop Phase</c:v>
          </c:tx>
          <c:spPr>
            <a:ln w="34925">
              <a:solidFill>
                <a:srgbClr val="002060"/>
              </a:solidFill>
              <a:prstDash val="sysDash"/>
            </a:ln>
          </c:spPr>
          <c:marker>
            <c:symbol val="none"/>
          </c:marker>
          <c:xVal>
            <c:numRef>
              <c:f>'Stability Calculations'!$A$13:$A$613</c:f>
              <c:numCache>
                <c:formatCode>General</c:formatCode>
                <c:ptCount val="601"/>
                <c:pt idx="0">
                  <c:v>1</c:v>
                </c:pt>
                <c:pt idx="1">
                  <c:v>1.0965</c:v>
                </c:pt>
                <c:pt idx="2">
                  <c:v>1.2022999999999999</c:v>
                </c:pt>
                <c:pt idx="3">
                  <c:v>1.3183</c:v>
                </c:pt>
                <c:pt idx="4">
                  <c:v>1.4454</c:v>
                </c:pt>
                <c:pt idx="5">
                  <c:v>1.5849</c:v>
                </c:pt>
                <c:pt idx="6">
                  <c:v>1.7378</c:v>
                </c:pt>
                <c:pt idx="7">
                  <c:v>1.9055</c:v>
                </c:pt>
                <c:pt idx="8">
                  <c:v>2.0893000000000002</c:v>
                </c:pt>
                <c:pt idx="9">
                  <c:v>2.2909000000000002</c:v>
                </c:pt>
                <c:pt idx="10">
                  <c:v>2.5118999999999998</c:v>
                </c:pt>
                <c:pt idx="11">
                  <c:v>2.7542</c:v>
                </c:pt>
                <c:pt idx="12">
                  <c:v>3.02</c:v>
                </c:pt>
                <c:pt idx="13">
                  <c:v>3.3113000000000001</c:v>
                </c:pt>
                <c:pt idx="14">
                  <c:v>3.6307999999999998</c:v>
                </c:pt>
                <c:pt idx="15">
                  <c:v>3.9811000000000001</c:v>
                </c:pt>
                <c:pt idx="16">
                  <c:v>4.3651999999999997</c:v>
                </c:pt>
                <c:pt idx="17">
                  <c:v>4.7862999999999998</c:v>
                </c:pt>
                <c:pt idx="18">
                  <c:v>5.2481</c:v>
                </c:pt>
                <c:pt idx="19">
                  <c:v>5.7544000000000004</c:v>
                </c:pt>
                <c:pt idx="20">
                  <c:v>6.3095999999999997</c:v>
                </c:pt>
                <c:pt idx="21">
                  <c:v>6.9183000000000003</c:v>
                </c:pt>
                <c:pt idx="22">
                  <c:v>7.5857999999999999</c:v>
                </c:pt>
                <c:pt idx="23">
                  <c:v>8.3176000000000005</c:v>
                </c:pt>
                <c:pt idx="24">
                  <c:v>9.1201000000000008</c:v>
                </c:pt>
                <c:pt idx="25">
                  <c:v>10</c:v>
                </c:pt>
                <c:pt idx="26">
                  <c:v>10.965</c:v>
                </c:pt>
                <c:pt idx="27">
                  <c:v>12.023</c:v>
                </c:pt>
                <c:pt idx="28">
                  <c:v>13.183</c:v>
                </c:pt>
                <c:pt idx="29">
                  <c:v>14.454000000000001</c:v>
                </c:pt>
                <c:pt idx="30">
                  <c:v>15.849</c:v>
                </c:pt>
                <c:pt idx="31">
                  <c:v>17.378</c:v>
                </c:pt>
                <c:pt idx="32">
                  <c:v>19.055</c:v>
                </c:pt>
                <c:pt idx="33">
                  <c:v>20.893000000000001</c:v>
                </c:pt>
                <c:pt idx="34">
                  <c:v>22.909000000000002</c:v>
                </c:pt>
                <c:pt idx="35">
                  <c:v>25.119</c:v>
                </c:pt>
                <c:pt idx="36">
                  <c:v>27.542000000000002</c:v>
                </c:pt>
                <c:pt idx="37">
                  <c:v>30.2</c:v>
                </c:pt>
                <c:pt idx="38">
                  <c:v>33.113</c:v>
                </c:pt>
                <c:pt idx="39">
                  <c:v>36.308</c:v>
                </c:pt>
                <c:pt idx="40">
                  <c:v>39.811</c:v>
                </c:pt>
                <c:pt idx="41">
                  <c:v>43.652000000000001</c:v>
                </c:pt>
                <c:pt idx="42">
                  <c:v>47.863</c:v>
                </c:pt>
                <c:pt idx="43">
                  <c:v>52.481000000000002</c:v>
                </c:pt>
                <c:pt idx="44">
                  <c:v>57.544000000000004</c:v>
                </c:pt>
                <c:pt idx="45">
                  <c:v>63.095999999999997</c:v>
                </c:pt>
                <c:pt idx="46">
                  <c:v>69.183000000000007</c:v>
                </c:pt>
                <c:pt idx="47">
                  <c:v>75.858000000000004</c:v>
                </c:pt>
                <c:pt idx="48">
                  <c:v>83.176000000000002</c:v>
                </c:pt>
                <c:pt idx="49">
                  <c:v>91.201000000000008</c:v>
                </c:pt>
                <c:pt idx="50">
                  <c:v>100</c:v>
                </c:pt>
                <c:pt idx="51">
                  <c:v>109.65</c:v>
                </c:pt>
                <c:pt idx="52">
                  <c:v>120.23</c:v>
                </c:pt>
                <c:pt idx="53">
                  <c:v>131.83000000000001</c:v>
                </c:pt>
                <c:pt idx="54">
                  <c:v>144.54</c:v>
                </c:pt>
                <c:pt idx="55">
                  <c:v>158.49</c:v>
                </c:pt>
                <c:pt idx="56">
                  <c:v>173.78</c:v>
                </c:pt>
                <c:pt idx="57">
                  <c:v>190.55</c:v>
                </c:pt>
                <c:pt idx="58">
                  <c:v>208.93</c:v>
                </c:pt>
                <c:pt idx="59">
                  <c:v>229.09</c:v>
                </c:pt>
                <c:pt idx="60">
                  <c:v>251.19</c:v>
                </c:pt>
                <c:pt idx="61">
                  <c:v>275.42</c:v>
                </c:pt>
                <c:pt idx="62">
                  <c:v>302</c:v>
                </c:pt>
                <c:pt idx="63">
                  <c:v>331.13</c:v>
                </c:pt>
                <c:pt idx="64">
                  <c:v>363.08</c:v>
                </c:pt>
                <c:pt idx="65">
                  <c:v>398.11</c:v>
                </c:pt>
                <c:pt idx="66">
                  <c:v>436.52</c:v>
                </c:pt>
                <c:pt idx="67">
                  <c:v>478.63</c:v>
                </c:pt>
                <c:pt idx="68">
                  <c:v>524.80999999999995</c:v>
                </c:pt>
                <c:pt idx="69">
                  <c:v>575.44000000000005</c:v>
                </c:pt>
                <c:pt idx="70">
                  <c:v>630.96</c:v>
                </c:pt>
                <c:pt idx="71">
                  <c:v>691.83</c:v>
                </c:pt>
                <c:pt idx="72">
                  <c:v>758.58</c:v>
                </c:pt>
                <c:pt idx="73">
                  <c:v>831.76</c:v>
                </c:pt>
                <c:pt idx="74">
                  <c:v>912.01</c:v>
                </c:pt>
                <c:pt idx="75">
                  <c:v>1000</c:v>
                </c:pt>
                <c:pt idx="76">
                  <c:v>1096.5</c:v>
                </c:pt>
                <c:pt idx="77">
                  <c:v>1202.3</c:v>
                </c:pt>
                <c:pt idx="78">
                  <c:v>1318.3</c:v>
                </c:pt>
                <c:pt idx="79">
                  <c:v>1445.4</c:v>
                </c:pt>
                <c:pt idx="80">
                  <c:v>1584.9</c:v>
                </c:pt>
                <c:pt idx="81">
                  <c:v>1737.8</c:v>
                </c:pt>
                <c:pt idx="82">
                  <c:v>1905.5</c:v>
                </c:pt>
                <c:pt idx="83">
                  <c:v>2089.3000000000002</c:v>
                </c:pt>
                <c:pt idx="84">
                  <c:v>2290.9</c:v>
                </c:pt>
                <c:pt idx="85">
                  <c:v>2511.9</c:v>
                </c:pt>
                <c:pt idx="86">
                  <c:v>2754.2</c:v>
                </c:pt>
                <c:pt idx="87">
                  <c:v>3020</c:v>
                </c:pt>
                <c:pt idx="88">
                  <c:v>3311.3</c:v>
                </c:pt>
                <c:pt idx="89">
                  <c:v>3630.8</c:v>
                </c:pt>
                <c:pt idx="90">
                  <c:v>3981.1</c:v>
                </c:pt>
                <c:pt idx="91">
                  <c:v>4365.2</c:v>
                </c:pt>
                <c:pt idx="92">
                  <c:v>4786.3</c:v>
                </c:pt>
                <c:pt idx="93">
                  <c:v>5248.1</c:v>
                </c:pt>
                <c:pt idx="94">
                  <c:v>5370.3</c:v>
                </c:pt>
                <c:pt idx="95">
                  <c:v>5432.85</c:v>
                </c:pt>
                <c:pt idx="96">
                  <c:v>5495.4</c:v>
                </c:pt>
                <c:pt idx="97">
                  <c:v>5559.4</c:v>
                </c:pt>
                <c:pt idx="98">
                  <c:v>5623.4</c:v>
                </c:pt>
                <c:pt idx="99">
                  <c:v>5688.9</c:v>
                </c:pt>
                <c:pt idx="100">
                  <c:v>5754.4</c:v>
                </c:pt>
                <c:pt idx="101">
                  <c:v>5821.4</c:v>
                </c:pt>
                <c:pt idx="102">
                  <c:v>5888.4</c:v>
                </c:pt>
                <c:pt idx="103">
                  <c:v>5957</c:v>
                </c:pt>
                <c:pt idx="104">
                  <c:v>6025.6</c:v>
                </c:pt>
                <c:pt idx="105">
                  <c:v>6095.8</c:v>
                </c:pt>
                <c:pt idx="106">
                  <c:v>6166</c:v>
                </c:pt>
                <c:pt idx="107">
                  <c:v>6237.8</c:v>
                </c:pt>
                <c:pt idx="108">
                  <c:v>6309.6</c:v>
                </c:pt>
                <c:pt idx="109">
                  <c:v>6383.05</c:v>
                </c:pt>
                <c:pt idx="110">
                  <c:v>6456.5</c:v>
                </c:pt>
                <c:pt idx="111">
                  <c:v>6531.7</c:v>
                </c:pt>
                <c:pt idx="112">
                  <c:v>6606.9</c:v>
                </c:pt>
                <c:pt idx="113">
                  <c:v>6683.85</c:v>
                </c:pt>
                <c:pt idx="114">
                  <c:v>6760.8</c:v>
                </c:pt>
                <c:pt idx="115">
                  <c:v>6839.55</c:v>
                </c:pt>
                <c:pt idx="116">
                  <c:v>6918.3</c:v>
                </c:pt>
                <c:pt idx="117">
                  <c:v>6998.9</c:v>
                </c:pt>
                <c:pt idx="118">
                  <c:v>7079.5</c:v>
                </c:pt>
                <c:pt idx="119">
                  <c:v>7161.95</c:v>
                </c:pt>
                <c:pt idx="120">
                  <c:v>7244.4</c:v>
                </c:pt>
                <c:pt idx="121">
                  <c:v>7328.75</c:v>
                </c:pt>
                <c:pt idx="122">
                  <c:v>7413.1</c:v>
                </c:pt>
                <c:pt idx="123">
                  <c:v>7499.45</c:v>
                </c:pt>
                <c:pt idx="124">
                  <c:v>7585.8</c:v>
                </c:pt>
                <c:pt idx="125">
                  <c:v>7674.15</c:v>
                </c:pt>
                <c:pt idx="126">
                  <c:v>7762.5</c:v>
                </c:pt>
                <c:pt idx="127">
                  <c:v>7852.9</c:v>
                </c:pt>
                <c:pt idx="128">
                  <c:v>7943.3</c:v>
                </c:pt>
                <c:pt idx="129">
                  <c:v>8035.8</c:v>
                </c:pt>
                <c:pt idx="130">
                  <c:v>8128.3</c:v>
                </c:pt>
                <c:pt idx="131">
                  <c:v>8222.9500000000007</c:v>
                </c:pt>
                <c:pt idx="132">
                  <c:v>8270.2750000000015</c:v>
                </c:pt>
                <c:pt idx="133">
                  <c:v>8317.6</c:v>
                </c:pt>
                <c:pt idx="134">
                  <c:v>8366.0499999999993</c:v>
                </c:pt>
                <c:pt idx="135">
                  <c:v>8414.5</c:v>
                </c:pt>
                <c:pt idx="136">
                  <c:v>8462.9500000000007</c:v>
                </c:pt>
                <c:pt idx="137">
                  <c:v>8511.4</c:v>
                </c:pt>
                <c:pt idx="138">
                  <c:v>8560.9500000000007</c:v>
                </c:pt>
                <c:pt idx="139">
                  <c:v>8610.5</c:v>
                </c:pt>
                <c:pt idx="140">
                  <c:v>8660.0499999999993</c:v>
                </c:pt>
                <c:pt idx="141">
                  <c:v>8709.6</c:v>
                </c:pt>
                <c:pt idx="142">
                  <c:v>8760.3250000000007</c:v>
                </c:pt>
                <c:pt idx="143">
                  <c:v>8811.0499999999993</c:v>
                </c:pt>
                <c:pt idx="144">
                  <c:v>8861.7749999999996</c:v>
                </c:pt>
                <c:pt idx="145">
                  <c:v>8912.5</c:v>
                </c:pt>
                <c:pt idx="146">
                  <c:v>8964.4</c:v>
                </c:pt>
                <c:pt idx="147">
                  <c:v>9016.2999999999993</c:v>
                </c:pt>
                <c:pt idx="148">
                  <c:v>9068.2000000000007</c:v>
                </c:pt>
                <c:pt idx="149">
                  <c:v>9120.1</c:v>
                </c:pt>
                <c:pt idx="150">
                  <c:v>9173.2000000000007</c:v>
                </c:pt>
                <c:pt idx="151">
                  <c:v>9226.2999999999993</c:v>
                </c:pt>
                <c:pt idx="152">
                  <c:v>9279.4</c:v>
                </c:pt>
                <c:pt idx="153">
                  <c:v>9332.5</c:v>
                </c:pt>
                <c:pt idx="154">
                  <c:v>9386.85</c:v>
                </c:pt>
                <c:pt idx="155">
                  <c:v>9441.2000000000007</c:v>
                </c:pt>
                <c:pt idx="156">
                  <c:v>9495.5499999999993</c:v>
                </c:pt>
                <c:pt idx="157">
                  <c:v>9549.9</c:v>
                </c:pt>
                <c:pt idx="158">
                  <c:v>9605.5249999999996</c:v>
                </c:pt>
                <c:pt idx="159">
                  <c:v>9661.15</c:v>
                </c:pt>
                <c:pt idx="160">
                  <c:v>9716.7749999999996</c:v>
                </c:pt>
                <c:pt idx="161">
                  <c:v>9772.4</c:v>
                </c:pt>
                <c:pt idx="162">
                  <c:v>9829.2999999999993</c:v>
                </c:pt>
                <c:pt idx="163">
                  <c:v>9886.2000000000007</c:v>
                </c:pt>
                <c:pt idx="164">
                  <c:v>9943.1</c:v>
                </c:pt>
                <c:pt idx="165">
                  <c:v>10000</c:v>
                </c:pt>
                <c:pt idx="166">
                  <c:v>10058.25</c:v>
                </c:pt>
                <c:pt idx="167">
                  <c:v>10116.5</c:v>
                </c:pt>
                <c:pt idx="168">
                  <c:v>10174.75</c:v>
                </c:pt>
                <c:pt idx="169">
                  <c:v>10233</c:v>
                </c:pt>
                <c:pt idx="170">
                  <c:v>10292.5</c:v>
                </c:pt>
                <c:pt idx="171">
                  <c:v>10352</c:v>
                </c:pt>
                <c:pt idx="172">
                  <c:v>10411.5</c:v>
                </c:pt>
                <c:pt idx="173">
                  <c:v>10471</c:v>
                </c:pt>
                <c:pt idx="174">
                  <c:v>10532</c:v>
                </c:pt>
                <c:pt idx="175">
                  <c:v>10593</c:v>
                </c:pt>
                <c:pt idx="176">
                  <c:v>10654</c:v>
                </c:pt>
                <c:pt idx="177">
                  <c:v>10715</c:v>
                </c:pt>
                <c:pt idx="178">
                  <c:v>10777.5</c:v>
                </c:pt>
                <c:pt idx="179">
                  <c:v>10840</c:v>
                </c:pt>
                <c:pt idx="180">
                  <c:v>10902.5</c:v>
                </c:pt>
                <c:pt idx="181">
                  <c:v>10965</c:v>
                </c:pt>
                <c:pt idx="182">
                  <c:v>11028.75</c:v>
                </c:pt>
                <c:pt idx="183">
                  <c:v>11092.5</c:v>
                </c:pt>
                <c:pt idx="184">
                  <c:v>11156.25</c:v>
                </c:pt>
                <c:pt idx="185">
                  <c:v>11220</c:v>
                </c:pt>
                <c:pt idx="186">
                  <c:v>11285.5</c:v>
                </c:pt>
                <c:pt idx="187">
                  <c:v>11351</c:v>
                </c:pt>
                <c:pt idx="188">
                  <c:v>11416.5</c:v>
                </c:pt>
                <c:pt idx="189">
                  <c:v>11482</c:v>
                </c:pt>
                <c:pt idx="190">
                  <c:v>11548.75</c:v>
                </c:pt>
                <c:pt idx="191">
                  <c:v>11615.5</c:v>
                </c:pt>
                <c:pt idx="192">
                  <c:v>11682.25</c:v>
                </c:pt>
                <c:pt idx="193">
                  <c:v>11749</c:v>
                </c:pt>
                <c:pt idx="194">
                  <c:v>11817.5</c:v>
                </c:pt>
                <c:pt idx="195">
                  <c:v>11886</c:v>
                </c:pt>
                <c:pt idx="196">
                  <c:v>11954.5</c:v>
                </c:pt>
                <c:pt idx="197">
                  <c:v>12023</c:v>
                </c:pt>
                <c:pt idx="198">
                  <c:v>12093</c:v>
                </c:pt>
                <c:pt idx="199">
                  <c:v>12163</c:v>
                </c:pt>
                <c:pt idx="200">
                  <c:v>12233</c:v>
                </c:pt>
                <c:pt idx="201">
                  <c:v>12303</c:v>
                </c:pt>
                <c:pt idx="202">
                  <c:v>12374.5</c:v>
                </c:pt>
                <c:pt idx="203">
                  <c:v>12446</c:v>
                </c:pt>
                <c:pt idx="204">
                  <c:v>12517.5</c:v>
                </c:pt>
                <c:pt idx="205">
                  <c:v>12589</c:v>
                </c:pt>
                <c:pt idx="206">
                  <c:v>12662.25</c:v>
                </c:pt>
                <c:pt idx="207">
                  <c:v>12735.5</c:v>
                </c:pt>
                <c:pt idx="208">
                  <c:v>12808.75</c:v>
                </c:pt>
                <c:pt idx="209">
                  <c:v>12882</c:v>
                </c:pt>
                <c:pt idx="210">
                  <c:v>12957.25</c:v>
                </c:pt>
                <c:pt idx="211">
                  <c:v>13032.5</c:v>
                </c:pt>
                <c:pt idx="212">
                  <c:v>13107.75</c:v>
                </c:pt>
                <c:pt idx="213">
                  <c:v>13183</c:v>
                </c:pt>
                <c:pt idx="214">
                  <c:v>13259.75</c:v>
                </c:pt>
                <c:pt idx="215">
                  <c:v>13336.5</c:v>
                </c:pt>
                <c:pt idx="216">
                  <c:v>13413.25</c:v>
                </c:pt>
                <c:pt idx="217">
                  <c:v>13490</c:v>
                </c:pt>
                <c:pt idx="218">
                  <c:v>13568.5</c:v>
                </c:pt>
                <c:pt idx="219">
                  <c:v>13647</c:v>
                </c:pt>
                <c:pt idx="220">
                  <c:v>13725.5</c:v>
                </c:pt>
                <c:pt idx="221">
                  <c:v>13804</c:v>
                </c:pt>
                <c:pt idx="222">
                  <c:v>13884.25</c:v>
                </c:pt>
                <c:pt idx="223">
                  <c:v>13964.5</c:v>
                </c:pt>
                <c:pt idx="224">
                  <c:v>14044.75</c:v>
                </c:pt>
                <c:pt idx="225">
                  <c:v>14125</c:v>
                </c:pt>
                <c:pt idx="226">
                  <c:v>14207.25</c:v>
                </c:pt>
                <c:pt idx="227">
                  <c:v>14289.5</c:v>
                </c:pt>
                <c:pt idx="228">
                  <c:v>14371.75</c:v>
                </c:pt>
                <c:pt idx="229">
                  <c:v>14454</c:v>
                </c:pt>
                <c:pt idx="230">
                  <c:v>14622.5</c:v>
                </c:pt>
                <c:pt idx="231">
                  <c:v>14706.75</c:v>
                </c:pt>
                <c:pt idx="232">
                  <c:v>14791</c:v>
                </c:pt>
                <c:pt idx="233">
                  <c:v>14877.25</c:v>
                </c:pt>
                <c:pt idx="234">
                  <c:v>14963.5</c:v>
                </c:pt>
                <c:pt idx="235">
                  <c:v>15049.75</c:v>
                </c:pt>
                <c:pt idx="236">
                  <c:v>15136</c:v>
                </c:pt>
                <c:pt idx="237">
                  <c:v>15224</c:v>
                </c:pt>
                <c:pt idx="238">
                  <c:v>15312</c:v>
                </c:pt>
                <c:pt idx="239">
                  <c:v>15400</c:v>
                </c:pt>
                <c:pt idx="240">
                  <c:v>15488</c:v>
                </c:pt>
                <c:pt idx="241">
                  <c:v>15578.25</c:v>
                </c:pt>
                <c:pt idx="242">
                  <c:v>15668.5</c:v>
                </c:pt>
                <c:pt idx="243">
                  <c:v>15758.75</c:v>
                </c:pt>
                <c:pt idx="244">
                  <c:v>15849</c:v>
                </c:pt>
                <c:pt idx="245">
                  <c:v>15941.25</c:v>
                </c:pt>
                <c:pt idx="246">
                  <c:v>16033.5</c:v>
                </c:pt>
                <c:pt idx="247">
                  <c:v>16125.75</c:v>
                </c:pt>
                <c:pt idx="248">
                  <c:v>16218</c:v>
                </c:pt>
                <c:pt idx="249">
                  <c:v>16312.5</c:v>
                </c:pt>
                <c:pt idx="250">
                  <c:v>16407</c:v>
                </c:pt>
                <c:pt idx="251">
                  <c:v>16501.5</c:v>
                </c:pt>
                <c:pt idx="252">
                  <c:v>16596</c:v>
                </c:pt>
                <c:pt idx="253">
                  <c:v>16692.5</c:v>
                </c:pt>
                <c:pt idx="254">
                  <c:v>16789</c:v>
                </c:pt>
                <c:pt idx="255">
                  <c:v>16885.5</c:v>
                </c:pt>
                <c:pt idx="256">
                  <c:v>16982</c:v>
                </c:pt>
                <c:pt idx="257">
                  <c:v>17081</c:v>
                </c:pt>
                <c:pt idx="258">
                  <c:v>17180</c:v>
                </c:pt>
                <c:pt idx="259">
                  <c:v>17279</c:v>
                </c:pt>
                <c:pt idx="260">
                  <c:v>17378</c:v>
                </c:pt>
                <c:pt idx="261">
                  <c:v>17479.25</c:v>
                </c:pt>
                <c:pt idx="262">
                  <c:v>17580.5</c:v>
                </c:pt>
                <c:pt idx="263">
                  <c:v>17681.75</c:v>
                </c:pt>
                <c:pt idx="264">
                  <c:v>17783</c:v>
                </c:pt>
                <c:pt idx="265">
                  <c:v>17886.5</c:v>
                </c:pt>
                <c:pt idx="266">
                  <c:v>17990</c:v>
                </c:pt>
                <c:pt idx="267">
                  <c:v>18093.5</c:v>
                </c:pt>
                <c:pt idx="268">
                  <c:v>18197</c:v>
                </c:pt>
                <c:pt idx="269">
                  <c:v>18303</c:v>
                </c:pt>
                <c:pt idx="270">
                  <c:v>18409</c:v>
                </c:pt>
                <c:pt idx="271">
                  <c:v>18515</c:v>
                </c:pt>
                <c:pt idx="272">
                  <c:v>18621</c:v>
                </c:pt>
                <c:pt idx="273">
                  <c:v>18729.5</c:v>
                </c:pt>
                <c:pt idx="274">
                  <c:v>18838</c:v>
                </c:pt>
                <c:pt idx="275">
                  <c:v>18946.5</c:v>
                </c:pt>
                <c:pt idx="276">
                  <c:v>19055</c:v>
                </c:pt>
                <c:pt idx="277">
                  <c:v>19165.75</c:v>
                </c:pt>
                <c:pt idx="278">
                  <c:v>19276.5</c:v>
                </c:pt>
                <c:pt idx="279">
                  <c:v>19387.25</c:v>
                </c:pt>
                <c:pt idx="280">
                  <c:v>19498</c:v>
                </c:pt>
                <c:pt idx="281">
                  <c:v>19611.75</c:v>
                </c:pt>
                <c:pt idx="282">
                  <c:v>19725.5</c:v>
                </c:pt>
                <c:pt idx="283">
                  <c:v>19839.25</c:v>
                </c:pt>
                <c:pt idx="284">
                  <c:v>19953</c:v>
                </c:pt>
                <c:pt idx="285">
                  <c:v>20069</c:v>
                </c:pt>
                <c:pt idx="286">
                  <c:v>20185</c:v>
                </c:pt>
                <c:pt idx="287">
                  <c:v>20301</c:v>
                </c:pt>
                <c:pt idx="288">
                  <c:v>20417</c:v>
                </c:pt>
                <c:pt idx="289">
                  <c:v>20536</c:v>
                </c:pt>
                <c:pt idx="290">
                  <c:v>20655</c:v>
                </c:pt>
                <c:pt idx="291">
                  <c:v>20774</c:v>
                </c:pt>
                <c:pt idx="292">
                  <c:v>20893</c:v>
                </c:pt>
                <c:pt idx="293">
                  <c:v>21014.75</c:v>
                </c:pt>
                <c:pt idx="294">
                  <c:v>21136.5</c:v>
                </c:pt>
                <c:pt idx="295">
                  <c:v>21258.25</c:v>
                </c:pt>
                <c:pt idx="296">
                  <c:v>21380</c:v>
                </c:pt>
                <c:pt idx="297">
                  <c:v>21504.5</c:v>
                </c:pt>
                <c:pt idx="298">
                  <c:v>21629</c:v>
                </c:pt>
                <c:pt idx="299">
                  <c:v>21753.5</c:v>
                </c:pt>
                <c:pt idx="300">
                  <c:v>21878</c:v>
                </c:pt>
                <c:pt idx="301">
                  <c:v>22005.25</c:v>
                </c:pt>
                <c:pt idx="302">
                  <c:v>22132.5</c:v>
                </c:pt>
                <c:pt idx="303">
                  <c:v>22259.75</c:v>
                </c:pt>
                <c:pt idx="304">
                  <c:v>22387</c:v>
                </c:pt>
                <c:pt idx="305">
                  <c:v>22517.5</c:v>
                </c:pt>
                <c:pt idx="306">
                  <c:v>22648</c:v>
                </c:pt>
                <c:pt idx="307">
                  <c:v>22778.5</c:v>
                </c:pt>
                <c:pt idx="308">
                  <c:v>22909</c:v>
                </c:pt>
                <c:pt idx="309">
                  <c:v>23042.25</c:v>
                </c:pt>
                <c:pt idx="310">
                  <c:v>23175.5</c:v>
                </c:pt>
                <c:pt idx="311">
                  <c:v>23308.75</c:v>
                </c:pt>
                <c:pt idx="312">
                  <c:v>23442</c:v>
                </c:pt>
                <c:pt idx="313">
                  <c:v>23578.5</c:v>
                </c:pt>
                <c:pt idx="314">
                  <c:v>23715</c:v>
                </c:pt>
                <c:pt idx="315">
                  <c:v>23851.5</c:v>
                </c:pt>
                <c:pt idx="316">
                  <c:v>23988</c:v>
                </c:pt>
                <c:pt idx="317">
                  <c:v>24127.75</c:v>
                </c:pt>
                <c:pt idx="318">
                  <c:v>24267.5</c:v>
                </c:pt>
                <c:pt idx="319">
                  <c:v>24407.25</c:v>
                </c:pt>
                <c:pt idx="320">
                  <c:v>24547</c:v>
                </c:pt>
                <c:pt idx="321">
                  <c:v>24690</c:v>
                </c:pt>
                <c:pt idx="322">
                  <c:v>24833</c:v>
                </c:pt>
                <c:pt idx="323">
                  <c:v>24976</c:v>
                </c:pt>
                <c:pt idx="324">
                  <c:v>25119</c:v>
                </c:pt>
                <c:pt idx="325">
                  <c:v>25265.25</c:v>
                </c:pt>
                <c:pt idx="326">
                  <c:v>25411.5</c:v>
                </c:pt>
                <c:pt idx="327">
                  <c:v>25557.75</c:v>
                </c:pt>
                <c:pt idx="328">
                  <c:v>25704</c:v>
                </c:pt>
                <c:pt idx="329">
                  <c:v>25853.75</c:v>
                </c:pt>
                <c:pt idx="330">
                  <c:v>26003.5</c:v>
                </c:pt>
                <c:pt idx="331">
                  <c:v>26153.25</c:v>
                </c:pt>
                <c:pt idx="332">
                  <c:v>26303</c:v>
                </c:pt>
                <c:pt idx="333">
                  <c:v>26456</c:v>
                </c:pt>
                <c:pt idx="334">
                  <c:v>26609</c:v>
                </c:pt>
                <c:pt idx="335">
                  <c:v>26762</c:v>
                </c:pt>
                <c:pt idx="336">
                  <c:v>26915</c:v>
                </c:pt>
                <c:pt idx="337">
                  <c:v>27071.75</c:v>
                </c:pt>
                <c:pt idx="338">
                  <c:v>27228.5</c:v>
                </c:pt>
                <c:pt idx="339">
                  <c:v>27385.25</c:v>
                </c:pt>
                <c:pt idx="340">
                  <c:v>27542</c:v>
                </c:pt>
                <c:pt idx="341">
                  <c:v>27702.5</c:v>
                </c:pt>
                <c:pt idx="342">
                  <c:v>27863</c:v>
                </c:pt>
                <c:pt idx="343">
                  <c:v>28023.5</c:v>
                </c:pt>
                <c:pt idx="344">
                  <c:v>28184</c:v>
                </c:pt>
                <c:pt idx="345">
                  <c:v>28348</c:v>
                </c:pt>
                <c:pt idx="346">
                  <c:v>28512</c:v>
                </c:pt>
                <c:pt idx="347">
                  <c:v>28676</c:v>
                </c:pt>
                <c:pt idx="348">
                  <c:v>28840</c:v>
                </c:pt>
                <c:pt idx="349">
                  <c:v>29008</c:v>
                </c:pt>
                <c:pt idx="350">
                  <c:v>29176</c:v>
                </c:pt>
                <c:pt idx="351">
                  <c:v>29344</c:v>
                </c:pt>
                <c:pt idx="352">
                  <c:v>29512</c:v>
                </c:pt>
                <c:pt idx="353">
                  <c:v>29684</c:v>
                </c:pt>
                <c:pt idx="354">
                  <c:v>29856</c:v>
                </c:pt>
                <c:pt idx="355">
                  <c:v>30028</c:v>
                </c:pt>
                <c:pt idx="356">
                  <c:v>30200</c:v>
                </c:pt>
                <c:pt idx="357">
                  <c:v>30375.75</c:v>
                </c:pt>
                <c:pt idx="358">
                  <c:v>30551.5</c:v>
                </c:pt>
                <c:pt idx="359">
                  <c:v>30727.25</c:v>
                </c:pt>
                <c:pt idx="360">
                  <c:v>30903</c:v>
                </c:pt>
                <c:pt idx="361">
                  <c:v>31083</c:v>
                </c:pt>
                <c:pt idx="362">
                  <c:v>31263</c:v>
                </c:pt>
                <c:pt idx="363">
                  <c:v>31443</c:v>
                </c:pt>
                <c:pt idx="364">
                  <c:v>31623</c:v>
                </c:pt>
                <c:pt idx="365">
                  <c:v>31807</c:v>
                </c:pt>
                <c:pt idx="366">
                  <c:v>31991</c:v>
                </c:pt>
                <c:pt idx="367">
                  <c:v>32175</c:v>
                </c:pt>
                <c:pt idx="368">
                  <c:v>32359</c:v>
                </c:pt>
                <c:pt idx="369">
                  <c:v>32547.5</c:v>
                </c:pt>
                <c:pt idx="370">
                  <c:v>32736</c:v>
                </c:pt>
                <c:pt idx="371">
                  <c:v>32924.5</c:v>
                </c:pt>
                <c:pt idx="372">
                  <c:v>33113</c:v>
                </c:pt>
                <c:pt idx="373">
                  <c:v>33305.75</c:v>
                </c:pt>
                <c:pt idx="374">
                  <c:v>33498.5</c:v>
                </c:pt>
                <c:pt idx="375">
                  <c:v>33691.25</c:v>
                </c:pt>
                <c:pt idx="376">
                  <c:v>33884</c:v>
                </c:pt>
                <c:pt idx="377">
                  <c:v>34081.5</c:v>
                </c:pt>
                <c:pt idx="378">
                  <c:v>34279</c:v>
                </c:pt>
                <c:pt idx="379">
                  <c:v>34476.5</c:v>
                </c:pt>
                <c:pt idx="380">
                  <c:v>34674</c:v>
                </c:pt>
                <c:pt idx="381">
                  <c:v>34875.75</c:v>
                </c:pt>
                <c:pt idx="382">
                  <c:v>35077.5</c:v>
                </c:pt>
                <c:pt idx="383">
                  <c:v>35279.25</c:v>
                </c:pt>
                <c:pt idx="384">
                  <c:v>35481</c:v>
                </c:pt>
                <c:pt idx="385">
                  <c:v>35687.75</c:v>
                </c:pt>
                <c:pt idx="386">
                  <c:v>35894.5</c:v>
                </c:pt>
                <c:pt idx="387">
                  <c:v>36101.25</c:v>
                </c:pt>
                <c:pt idx="388">
                  <c:v>36308</c:v>
                </c:pt>
                <c:pt idx="389">
                  <c:v>36519.5</c:v>
                </c:pt>
                <c:pt idx="390">
                  <c:v>36731</c:v>
                </c:pt>
                <c:pt idx="391">
                  <c:v>36942.5</c:v>
                </c:pt>
                <c:pt idx="392">
                  <c:v>37154</c:v>
                </c:pt>
                <c:pt idx="393">
                  <c:v>37370.25</c:v>
                </c:pt>
                <c:pt idx="394">
                  <c:v>37586.5</c:v>
                </c:pt>
                <c:pt idx="395">
                  <c:v>37802.75</c:v>
                </c:pt>
                <c:pt idx="396">
                  <c:v>38019</c:v>
                </c:pt>
                <c:pt idx="397">
                  <c:v>38240.5</c:v>
                </c:pt>
                <c:pt idx="398">
                  <c:v>38462</c:v>
                </c:pt>
                <c:pt idx="399">
                  <c:v>38683.5</c:v>
                </c:pt>
                <c:pt idx="400">
                  <c:v>38905</c:v>
                </c:pt>
                <c:pt idx="401">
                  <c:v>39131.5</c:v>
                </c:pt>
                <c:pt idx="402">
                  <c:v>39358</c:v>
                </c:pt>
                <c:pt idx="403">
                  <c:v>39584.5</c:v>
                </c:pt>
                <c:pt idx="404">
                  <c:v>39811</c:v>
                </c:pt>
                <c:pt idx="405">
                  <c:v>40042.75</c:v>
                </c:pt>
                <c:pt idx="406">
                  <c:v>40274.5</c:v>
                </c:pt>
                <c:pt idx="407">
                  <c:v>40506.25</c:v>
                </c:pt>
                <c:pt idx="408">
                  <c:v>40738</c:v>
                </c:pt>
                <c:pt idx="409">
                  <c:v>40975.25</c:v>
                </c:pt>
                <c:pt idx="410">
                  <c:v>41212.5</c:v>
                </c:pt>
                <c:pt idx="411">
                  <c:v>41449.75</c:v>
                </c:pt>
                <c:pt idx="412">
                  <c:v>41687</c:v>
                </c:pt>
                <c:pt idx="413">
                  <c:v>41929.75</c:v>
                </c:pt>
                <c:pt idx="414">
                  <c:v>42172.5</c:v>
                </c:pt>
                <c:pt idx="415">
                  <c:v>42415.25</c:v>
                </c:pt>
                <c:pt idx="416">
                  <c:v>42658</c:v>
                </c:pt>
                <c:pt idx="417">
                  <c:v>42906.5</c:v>
                </c:pt>
                <c:pt idx="418">
                  <c:v>43155</c:v>
                </c:pt>
                <c:pt idx="419">
                  <c:v>43403.5</c:v>
                </c:pt>
                <c:pt idx="420">
                  <c:v>43652</c:v>
                </c:pt>
                <c:pt idx="421">
                  <c:v>43906</c:v>
                </c:pt>
                <c:pt idx="422">
                  <c:v>44160</c:v>
                </c:pt>
                <c:pt idx="423">
                  <c:v>44414</c:v>
                </c:pt>
                <c:pt idx="424">
                  <c:v>44668</c:v>
                </c:pt>
                <c:pt idx="425">
                  <c:v>44928.25</c:v>
                </c:pt>
                <c:pt idx="426">
                  <c:v>45188.5</c:v>
                </c:pt>
                <c:pt idx="427">
                  <c:v>45448.75</c:v>
                </c:pt>
                <c:pt idx="428">
                  <c:v>45709</c:v>
                </c:pt>
                <c:pt idx="429">
                  <c:v>45975.25</c:v>
                </c:pt>
                <c:pt idx="430">
                  <c:v>46241.5</c:v>
                </c:pt>
                <c:pt idx="431">
                  <c:v>46507.75</c:v>
                </c:pt>
                <c:pt idx="432">
                  <c:v>46774</c:v>
                </c:pt>
                <c:pt idx="433">
                  <c:v>47046.25</c:v>
                </c:pt>
                <c:pt idx="434">
                  <c:v>47318.5</c:v>
                </c:pt>
                <c:pt idx="435">
                  <c:v>47590.75</c:v>
                </c:pt>
                <c:pt idx="436">
                  <c:v>47863</c:v>
                </c:pt>
                <c:pt idx="437">
                  <c:v>48141.75</c:v>
                </c:pt>
                <c:pt idx="438">
                  <c:v>48420.5</c:v>
                </c:pt>
                <c:pt idx="439">
                  <c:v>48699.25</c:v>
                </c:pt>
                <c:pt idx="440">
                  <c:v>48978</c:v>
                </c:pt>
                <c:pt idx="441">
                  <c:v>49263.25</c:v>
                </c:pt>
                <c:pt idx="442">
                  <c:v>49548.5</c:v>
                </c:pt>
                <c:pt idx="443">
                  <c:v>49833.75</c:v>
                </c:pt>
                <c:pt idx="444">
                  <c:v>50119</c:v>
                </c:pt>
                <c:pt idx="445">
                  <c:v>50410.75</c:v>
                </c:pt>
                <c:pt idx="446">
                  <c:v>50702.5</c:v>
                </c:pt>
                <c:pt idx="447">
                  <c:v>50994.25</c:v>
                </c:pt>
                <c:pt idx="448">
                  <c:v>51286</c:v>
                </c:pt>
                <c:pt idx="449">
                  <c:v>51584.75</c:v>
                </c:pt>
                <c:pt idx="450">
                  <c:v>51883.5</c:v>
                </c:pt>
                <c:pt idx="451">
                  <c:v>52182.25</c:v>
                </c:pt>
                <c:pt idx="452">
                  <c:v>52481</c:v>
                </c:pt>
                <c:pt idx="453">
                  <c:v>52786.5</c:v>
                </c:pt>
                <c:pt idx="454">
                  <c:v>53092</c:v>
                </c:pt>
                <c:pt idx="455">
                  <c:v>53397.5</c:v>
                </c:pt>
                <c:pt idx="456">
                  <c:v>53703</c:v>
                </c:pt>
                <c:pt idx="457">
                  <c:v>54015.75</c:v>
                </c:pt>
                <c:pt idx="458">
                  <c:v>54328.5</c:v>
                </c:pt>
                <c:pt idx="459">
                  <c:v>54641.25</c:v>
                </c:pt>
                <c:pt idx="460">
                  <c:v>54954</c:v>
                </c:pt>
                <c:pt idx="461">
                  <c:v>55274</c:v>
                </c:pt>
                <c:pt idx="462">
                  <c:v>55594</c:v>
                </c:pt>
                <c:pt idx="463">
                  <c:v>55914</c:v>
                </c:pt>
                <c:pt idx="464">
                  <c:v>56234</c:v>
                </c:pt>
                <c:pt idx="465">
                  <c:v>56561.5</c:v>
                </c:pt>
                <c:pt idx="466">
                  <c:v>56889</c:v>
                </c:pt>
                <c:pt idx="467">
                  <c:v>57216.5</c:v>
                </c:pt>
                <c:pt idx="468">
                  <c:v>57544</c:v>
                </c:pt>
                <c:pt idx="469">
                  <c:v>57879</c:v>
                </c:pt>
                <c:pt idx="470">
                  <c:v>58214</c:v>
                </c:pt>
                <c:pt idx="471">
                  <c:v>58549</c:v>
                </c:pt>
                <c:pt idx="472">
                  <c:v>58884</c:v>
                </c:pt>
                <c:pt idx="473">
                  <c:v>59227</c:v>
                </c:pt>
                <c:pt idx="474">
                  <c:v>59570</c:v>
                </c:pt>
                <c:pt idx="475">
                  <c:v>59913</c:v>
                </c:pt>
                <c:pt idx="476">
                  <c:v>60256</c:v>
                </c:pt>
                <c:pt idx="477">
                  <c:v>60607</c:v>
                </c:pt>
                <c:pt idx="478">
                  <c:v>60958</c:v>
                </c:pt>
                <c:pt idx="479">
                  <c:v>61309</c:v>
                </c:pt>
                <c:pt idx="480">
                  <c:v>61660</c:v>
                </c:pt>
                <c:pt idx="481">
                  <c:v>62019</c:v>
                </c:pt>
                <c:pt idx="482">
                  <c:v>62378</c:v>
                </c:pt>
                <c:pt idx="483">
                  <c:v>62737</c:v>
                </c:pt>
                <c:pt idx="484">
                  <c:v>63096</c:v>
                </c:pt>
                <c:pt idx="485">
                  <c:v>63463.25</c:v>
                </c:pt>
                <c:pt idx="486">
                  <c:v>63830.5</c:v>
                </c:pt>
                <c:pt idx="487">
                  <c:v>64197.75</c:v>
                </c:pt>
                <c:pt idx="488">
                  <c:v>64565</c:v>
                </c:pt>
                <c:pt idx="489">
                  <c:v>64941</c:v>
                </c:pt>
                <c:pt idx="490">
                  <c:v>65317</c:v>
                </c:pt>
                <c:pt idx="491">
                  <c:v>65693</c:v>
                </c:pt>
                <c:pt idx="492">
                  <c:v>66069</c:v>
                </c:pt>
                <c:pt idx="493">
                  <c:v>66453.75</c:v>
                </c:pt>
                <c:pt idx="494">
                  <c:v>66838.5</c:v>
                </c:pt>
                <c:pt idx="495">
                  <c:v>67223.25</c:v>
                </c:pt>
                <c:pt idx="496">
                  <c:v>67608</c:v>
                </c:pt>
                <c:pt idx="497">
                  <c:v>68001.75</c:v>
                </c:pt>
                <c:pt idx="498">
                  <c:v>68395.5</c:v>
                </c:pt>
                <c:pt idx="499">
                  <c:v>68789.25</c:v>
                </c:pt>
                <c:pt idx="500">
                  <c:v>69183</c:v>
                </c:pt>
                <c:pt idx="501">
                  <c:v>69586</c:v>
                </c:pt>
                <c:pt idx="502">
                  <c:v>69989</c:v>
                </c:pt>
                <c:pt idx="503">
                  <c:v>70392</c:v>
                </c:pt>
                <c:pt idx="504">
                  <c:v>70795</c:v>
                </c:pt>
                <c:pt idx="505">
                  <c:v>71207.25</c:v>
                </c:pt>
                <c:pt idx="506">
                  <c:v>71619.5</c:v>
                </c:pt>
                <c:pt idx="507">
                  <c:v>72031.75</c:v>
                </c:pt>
                <c:pt idx="508">
                  <c:v>72444</c:v>
                </c:pt>
                <c:pt idx="509">
                  <c:v>72865.75</c:v>
                </c:pt>
                <c:pt idx="510">
                  <c:v>73287.5</c:v>
                </c:pt>
                <c:pt idx="511">
                  <c:v>73709.25</c:v>
                </c:pt>
                <c:pt idx="512">
                  <c:v>74131</c:v>
                </c:pt>
                <c:pt idx="513">
                  <c:v>74562.75</c:v>
                </c:pt>
                <c:pt idx="514">
                  <c:v>74994.5</c:v>
                </c:pt>
                <c:pt idx="515">
                  <c:v>75426.25</c:v>
                </c:pt>
                <c:pt idx="516">
                  <c:v>75858</c:v>
                </c:pt>
                <c:pt idx="517">
                  <c:v>76299.75</c:v>
                </c:pt>
                <c:pt idx="518">
                  <c:v>76741.5</c:v>
                </c:pt>
                <c:pt idx="519">
                  <c:v>77183.25</c:v>
                </c:pt>
                <c:pt idx="520">
                  <c:v>77625</c:v>
                </c:pt>
                <c:pt idx="521">
                  <c:v>78077</c:v>
                </c:pt>
                <c:pt idx="522">
                  <c:v>78529</c:v>
                </c:pt>
                <c:pt idx="523">
                  <c:v>78981</c:v>
                </c:pt>
                <c:pt idx="524">
                  <c:v>79433</c:v>
                </c:pt>
                <c:pt idx="525">
                  <c:v>79895.5</c:v>
                </c:pt>
                <c:pt idx="526">
                  <c:v>80358</c:v>
                </c:pt>
                <c:pt idx="527">
                  <c:v>80820.5</c:v>
                </c:pt>
                <c:pt idx="528">
                  <c:v>81283</c:v>
                </c:pt>
                <c:pt idx="529">
                  <c:v>81756.25</c:v>
                </c:pt>
                <c:pt idx="530">
                  <c:v>82229.5</c:v>
                </c:pt>
                <c:pt idx="531">
                  <c:v>82702.75</c:v>
                </c:pt>
                <c:pt idx="532">
                  <c:v>83176</c:v>
                </c:pt>
                <c:pt idx="533">
                  <c:v>83660.5</c:v>
                </c:pt>
                <c:pt idx="534">
                  <c:v>84145</c:v>
                </c:pt>
                <c:pt idx="535">
                  <c:v>84629.5</c:v>
                </c:pt>
                <c:pt idx="536">
                  <c:v>85114</c:v>
                </c:pt>
                <c:pt idx="537">
                  <c:v>85609.5</c:v>
                </c:pt>
                <c:pt idx="538">
                  <c:v>86105</c:v>
                </c:pt>
                <c:pt idx="539">
                  <c:v>86600.5</c:v>
                </c:pt>
                <c:pt idx="540">
                  <c:v>87096</c:v>
                </c:pt>
                <c:pt idx="541">
                  <c:v>87603.25</c:v>
                </c:pt>
                <c:pt idx="542">
                  <c:v>88110.5</c:v>
                </c:pt>
                <c:pt idx="543">
                  <c:v>88617.75</c:v>
                </c:pt>
                <c:pt idx="544">
                  <c:v>89125</c:v>
                </c:pt>
                <c:pt idx="545">
                  <c:v>89644</c:v>
                </c:pt>
                <c:pt idx="546">
                  <c:v>90163</c:v>
                </c:pt>
                <c:pt idx="547">
                  <c:v>90682</c:v>
                </c:pt>
                <c:pt idx="548">
                  <c:v>91201</c:v>
                </c:pt>
                <c:pt idx="549">
                  <c:v>91732</c:v>
                </c:pt>
                <c:pt idx="550">
                  <c:v>92263</c:v>
                </c:pt>
                <c:pt idx="551">
                  <c:v>92794</c:v>
                </c:pt>
                <c:pt idx="552">
                  <c:v>93325</c:v>
                </c:pt>
                <c:pt idx="553">
                  <c:v>93868.5</c:v>
                </c:pt>
                <c:pt idx="554">
                  <c:v>94412</c:v>
                </c:pt>
                <c:pt idx="555">
                  <c:v>94955.5</c:v>
                </c:pt>
                <c:pt idx="556">
                  <c:v>95499</c:v>
                </c:pt>
                <c:pt idx="557">
                  <c:v>96611.5</c:v>
                </c:pt>
                <c:pt idx="558">
                  <c:v>97724</c:v>
                </c:pt>
                <c:pt idx="559">
                  <c:v>98862</c:v>
                </c:pt>
                <c:pt idx="560">
                  <c:v>100000</c:v>
                </c:pt>
                <c:pt idx="561">
                  <c:v>101165</c:v>
                </c:pt>
                <c:pt idx="562">
                  <c:v>102330</c:v>
                </c:pt>
                <c:pt idx="563">
                  <c:v>103520</c:v>
                </c:pt>
                <c:pt idx="564">
                  <c:v>104710</c:v>
                </c:pt>
                <c:pt idx="565">
                  <c:v>105930</c:v>
                </c:pt>
                <c:pt idx="566">
                  <c:v>107150</c:v>
                </c:pt>
                <c:pt idx="567">
                  <c:v>108400</c:v>
                </c:pt>
                <c:pt idx="568">
                  <c:v>109650</c:v>
                </c:pt>
                <c:pt idx="569">
                  <c:v>110925</c:v>
                </c:pt>
                <c:pt idx="570">
                  <c:v>112200</c:v>
                </c:pt>
                <c:pt idx="571">
                  <c:v>113510</c:v>
                </c:pt>
                <c:pt idx="572">
                  <c:v>114820</c:v>
                </c:pt>
                <c:pt idx="573">
                  <c:v>116155</c:v>
                </c:pt>
                <c:pt idx="574">
                  <c:v>117490</c:v>
                </c:pt>
                <c:pt idx="575">
                  <c:v>118860</c:v>
                </c:pt>
                <c:pt idx="576">
                  <c:v>120230</c:v>
                </c:pt>
                <c:pt idx="577">
                  <c:v>126030</c:v>
                </c:pt>
                <c:pt idx="578">
                  <c:v>131830</c:v>
                </c:pt>
                <c:pt idx="579">
                  <c:v>144540</c:v>
                </c:pt>
                <c:pt idx="580">
                  <c:v>158490</c:v>
                </c:pt>
                <c:pt idx="581">
                  <c:v>173780</c:v>
                </c:pt>
                <c:pt idx="582">
                  <c:v>190550</c:v>
                </c:pt>
                <c:pt idx="583">
                  <c:v>208930</c:v>
                </c:pt>
                <c:pt idx="584">
                  <c:v>229090</c:v>
                </c:pt>
                <c:pt idx="585">
                  <c:v>251190</c:v>
                </c:pt>
                <c:pt idx="586">
                  <c:v>275420</c:v>
                </c:pt>
                <c:pt idx="587">
                  <c:v>302000</c:v>
                </c:pt>
                <c:pt idx="588">
                  <c:v>331130</c:v>
                </c:pt>
                <c:pt idx="589">
                  <c:v>363080</c:v>
                </c:pt>
                <c:pt idx="590">
                  <c:v>398110</c:v>
                </c:pt>
                <c:pt idx="591">
                  <c:v>436520</c:v>
                </c:pt>
                <c:pt idx="592">
                  <c:v>478630</c:v>
                </c:pt>
                <c:pt idx="593">
                  <c:v>524810</c:v>
                </c:pt>
                <c:pt idx="594">
                  <c:v>575440</c:v>
                </c:pt>
                <c:pt idx="595">
                  <c:v>630960</c:v>
                </c:pt>
                <c:pt idx="596">
                  <c:v>691830</c:v>
                </c:pt>
                <c:pt idx="597">
                  <c:v>758580</c:v>
                </c:pt>
                <c:pt idx="598">
                  <c:v>831760</c:v>
                </c:pt>
                <c:pt idx="599">
                  <c:v>912010</c:v>
                </c:pt>
                <c:pt idx="600">
                  <c:v>1000000</c:v>
                </c:pt>
              </c:numCache>
            </c:numRef>
          </c:xVal>
          <c:yVal>
            <c:numRef>
              <c:f>'Stability Calculations'!$R$13:$R$613</c:f>
              <c:numCache>
                <c:formatCode>0.00</c:formatCode>
                <c:ptCount val="601"/>
                <c:pt idx="0">
                  <c:v>-76.459413182903347</c:v>
                </c:pt>
                <c:pt idx="1">
                  <c:v>-77.614930344902504</c:v>
                </c:pt>
                <c:pt idx="2">
                  <c:v>-78.677888950864414</c:v>
                </c:pt>
                <c:pt idx="3">
                  <c:v>-79.654444763986334</c:v>
                </c:pt>
                <c:pt idx="4">
                  <c:v>-80.550097489317764</c:v>
                </c:pt>
                <c:pt idx="5">
                  <c:v>-81.372175222366195</c:v>
                </c:pt>
                <c:pt idx="6">
                  <c:v>-82.125083663605039</c:v>
                </c:pt>
                <c:pt idx="7">
                  <c:v>-82.814699214871638</c:v>
                </c:pt>
                <c:pt idx="8">
                  <c:v>-83.445598463917065</c:v>
                </c:pt>
                <c:pt idx="9">
                  <c:v>-84.023022479051505</c:v>
                </c:pt>
                <c:pt idx="10">
                  <c:v>-84.551070357341985</c:v>
                </c:pt>
                <c:pt idx="11">
                  <c:v>-85.033969718292909</c:v>
                </c:pt>
                <c:pt idx="12">
                  <c:v>-85.475783285119633</c:v>
                </c:pt>
                <c:pt idx="13">
                  <c:v>-85.879633270980534</c:v>
                </c:pt>
                <c:pt idx="14">
                  <c:v>-86.249126483331224</c:v>
                </c:pt>
                <c:pt idx="15">
                  <c:v>-86.587126839723908</c:v>
                </c:pt>
                <c:pt idx="16">
                  <c:v>-86.896444155049679</c:v>
                </c:pt>
                <c:pt idx="17">
                  <c:v>-87.179596606028184</c:v>
                </c:pt>
                <c:pt idx="18">
                  <c:v>-87.439017297472759</c:v>
                </c:pt>
                <c:pt idx="19">
                  <c:v>-87.676797093573597</c:v>
                </c:pt>
                <c:pt idx="20">
                  <c:v>-87.894972650200629</c:v>
                </c:pt>
                <c:pt idx="21">
                  <c:v>-88.095329055892364</c:v>
                </c:pt>
                <c:pt idx="22">
                  <c:v>-88.279592948947212</c:v>
                </c:pt>
                <c:pt idx="23">
                  <c:v>-88.449270325780404</c:v>
                </c:pt>
                <c:pt idx="24">
                  <c:v>-88.605835348857241</c:v>
                </c:pt>
                <c:pt idx="25">
                  <c:v>-88.750583517021909</c:v>
                </c:pt>
                <c:pt idx="26">
                  <c:v>-88.884768934314948</c:v>
                </c:pt>
                <c:pt idx="27">
                  <c:v>-89.009482155591144</c:v>
                </c:pt>
                <c:pt idx="28">
                  <c:v>-89.125785818683696</c:v>
                </c:pt>
                <c:pt idx="29">
                  <c:v>-89.234600426755904</c:v>
                </c:pt>
                <c:pt idx="30">
                  <c:v>-89.337028322693712</c:v>
                </c:pt>
                <c:pt idx="31">
                  <c:v>-89.433787214550421</c:v>
                </c:pt>
                <c:pt idx="32">
                  <c:v>-89.525763056577958</c:v>
                </c:pt>
                <c:pt idx="33">
                  <c:v>-89.613669146775294</c:v>
                </c:pt>
                <c:pt idx="34">
                  <c:v>-89.698317233444115</c:v>
                </c:pt>
                <c:pt idx="35">
                  <c:v>-89.780373767476249</c:v>
                </c:pt>
                <c:pt idx="36">
                  <c:v>-89.860544227402684</c:v>
                </c:pt>
                <c:pt idx="37">
                  <c:v>-89.939545726646017</c:v>
                </c:pt>
                <c:pt idx="38">
                  <c:v>-90.017965852145849</c:v>
                </c:pt>
                <c:pt idx="39">
                  <c:v>-90.096524077414415</c:v>
                </c:pt>
                <c:pt idx="40">
                  <c:v>-90.175844893562683</c:v>
                </c:pt>
                <c:pt idx="41">
                  <c:v>-90.256591937985021</c:v>
                </c:pt>
                <c:pt idx="42">
                  <c:v>-90.33941760242449</c:v>
                </c:pt>
                <c:pt idx="43">
                  <c:v>-90.425021342109829</c:v>
                </c:pt>
                <c:pt idx="44">
                  <c:v>-90.514070338505164</c:v>
                </c:pt>
                <c:pt idx="45">
                  <c:v>-90.607290219435882</c:v>
                </c:pt>
                <c:pt idx="46">
                  <c:v>-90.705390076965017</c:v>
                </c:pt>
                <c:pt idx="47">
                  <c:v>-90.809141121372633</c:v>
                </c:pt>
                <c:pt idx="48">
                  <c:v>-90.919289932665009</c:v>
                </c:pt>
                <c:pt idx="49">
                  <c:v>-91.036658296645669</c:v>
                </c:pt>
                <c:pt idx="50">
                  <c:v>-91.162041161550491</c:v>
                </c:pt>
                <c:pt idx="51">
                  <c:v>-91.296294947691862</c:v>
                </c:pt>
                <c:pt idx="52">
                  <c:v>-91.440207098269596</c:v>
                </c:pt>
                <c:pt idx="53">
                  <c:v>-91.594600473096591</c:v>
                </c:pt>
                <c:pt idx="54">
                  <c:v>-91.760159480876922</c:v>
                </c:pt>
                <c:pt idx="55">
                  <c:v>-91.937912691196189</c:v>
                </c:pt>
                <c:pt idx="56">
                  <c:v>-92.128286081536558</c:v>
                </c:pt>
                <c:pt idx="57">
                  <c:v>-92.331953503263094</c:v>
                </c:pt>
                <c:pt idx="58">
                  <c:v>-92.549152299183461</c:v>
                </c:pt>
                <c:pt idx="59">
                  <c:v>-92.780221812534165</c:v>
                </c:pt>
                <c:pt idx="60">
                  <c:v>-93.024941228170448</c:v>
                </c:pt>
                <c:pt idx="61">
                  <c:v>-93.282926618030274</c:v>
                </c:pt>
                <c:pt idx="62">
                  <c:v>-93.553537079875895</c:v>
                </c:pt>
                <c:pt idx="63">
                  <c:v>-93.835320556271867</c:v>
                </c:pt>
                <c:pt idx="64">
                  <c:v>-94.126891362994513</c:v>
                </c:pt>
                <c:pt idx="65">
                  <c:v>-94.426148291277613</c:v>
                </c:pt>
                <c:pt idx="66">
                  <c:v>-94.730819566636683</c:v>
                </c:pt>
                <c:pt idx="67">
                  <c:v>-95.038407653130832</c:v>
                </c:pt>
                <c:pt idx="68">
                  <c:v>-95.346597106530453</c:v>
                </c:pt>
                <c:pt idx="69">
                  <c:v>-95.653211713221395</c:v>
                </c:pt>
                <c:pt idx="70">
                  <c:v>-95.956825997820573</c:v>
                </c:pt>
                <c:pt idx="71">
                  <c:v>-96.256794391391196</c:v>
                </c:pt>
                <c:pt idx="72">
                  <c:v>-96.553755266007215</c:v>
                </c:pt>
                <c:pt idx="73">
                  <c:v>-96.849543175391247</c:v>
                </c:pt>
                <c:pt idx="74">
                  <c:v>-97.147544406058344</c:v>
                </c:pt>
                <c:pt idx="75">
                  <c:v>-97.452379869291519</c:v>
                </c:pt>
                <c:pt idx="76">
                  <c:v>-97.769996523803442</c:v>
                </c:pt>
                <c:pt idx="77">
                  <c:v>-98.107150229308161</c:v>
                </c:pt>
                <c:pt idx="78">
                  <c:v>-98.47142612526369</c:v>
                </c:pt>
                <c:pt idx="79">
                  <c:v>-98.870604858071928</c:v>
                </c:pt>
                <c:pt idx="80">
                  <c:v>-99.31368350896112</c:v>
                </c:pt>
                <c:pt idx="81">
                  <c:v>-99.808488749785269</c:v>
                </c:pt>
                <c:pt idx="82">
                  <c:v>-100.36376759900222</c:v>
                </c:pt>
                <c:pt idx="83">
                  <c:v>-100.98750258979096</c:v>
                </c:pt>
                <c:pt idx="84">
                  <c:v>-101.68855386796302</c:v>
                </c:pt>
                <c:pt idx="85">
                  <c:v>-102.47497230920843</c:v>
                </c:pt>
                <c:pt idx="86">
                  <c:v>-103.35538944134099</c:v>
                </c:pt>
                <c:pt idx="87">
                  <c:v>-104.33909043042914</c:v>
                </c:pt>
                <c:pt idx="88">
                  <c:v>-105.43416499426672</c:v>
                </c:pt>
                <c:pt idx="89">
                  <c:v>-106.65084676142138</c:v>
                </c:pt>
                <c:pt idx="90">
                  <c:v>-107.99849887903163</c:v>
                </c:pt>
                <c:pt idx="91">
                  <c:v>-109.48742994246625</c:v>
                </c:pt>
                <c:pt idx="92">
                  <c:v>-111.12803055050873</c:v>
                </c:pt>
                <c:pt idx="93">
                  <c:v>-112.93179016661054</c:v>
                </c:pt>
                <c:pt idx="94">
                  <c:v>-113.40930525458072</c:v>
                </c:pt>
                <c:pt idx="95">
                  <c:v>-113.65371017200818</c:v>
                </c:pt>
                <c:pt idx="96">
                  <c:v>-113.89809005149294</c:v>
                </c:pt>
                <c:pt idx="97">
                  <c:v>-114.14809971492774</c:v>
                </c:pt>
                <c:pt idx="98">
                  <c:v>-114.39806442876679</c:v>
                </c:pt>
                <c:pt idx="99">
                  <c:v>-114.65383174345448</c:v>
                </c:pt>
                <c:pt idx="100">
                  <c:v>-114.90953318927649</c:v>
                </c:pt>
                <c:pt idx="101">
                  <c:v>-115.17101282067955</c:v>
                </c:pt>
                <c:pt idx="102">
                  <c:v>-115.43240471161066</c:v>
                </c:pt>
                <c:pt idx="103">
                  <c:v>-115.69993843223249</c:v>
                </c:pt>
                <c:pt idx="104">
                  <c:v>-115.96736127387204</c:v>
                </c:pt>
                <c:pt idx="105">
                  <c:v>-116.24089710262102</c:v>
                </c:pt>
                <c:pt idx="106">
                  <c:v>-116.51429785625713</c:v>
                </c:pt>
                <c:pt idx="107">
                  <c:v>-116.79378072288823</c:v>
                </c:pt>
                <c:pt idx="108">
                  <c:v>-117.07310328269196</c:v>
                </c:pt>
                <c:pt idx="109">
                  <c:v>-117.35866940188832</c:v>
                </c:pt>
                <c:pt idx="110">
                  <c:v>-117.644048708147</c:v>
                </c:pt>
                <c:pt idx="111">
                  <c:v>-117.93602426299795</c:v>
                </c:pt>
                <c:pt idx="112">
                  <c:v>-118.22778484861834</c:v>
                </c:pt>
                <c:pt idx="113">
                  <c:v>-118.52610292120259</c:v>
                </c:pt>
                <c:pt idx="114">
                  <c:v>-118.82417667458758</c:v>
                </c:pt>
                <c:pt idx="115">
                  <c:v>-119.12896029124886</c:v>
                </c:pt>
                <c:pt idx="116">
                  <c:v>-119.43346871354871</c:v>
                </c:pt>
                <c:pt idx="117">
                  <c:v>-119.74483599130953</c:v>
                </c:pt>
                <c:pt idx="118">
                  <c:v>-120.05589559128255</c:v>
                </c:pt>
                <c:pt idx="119">
                  <c:v>-120.37376680010986</c:v>
                </c:pt>
                <c:pt idx="120">
                  <c:v>-120.69129657698437</c:v>
                </c:pt>
                <c:pt idx="121">
                  <c:v>-121.01578049432699</c:v>
                </c:pt>
                <c:pt idx="122">
                  <c:v>-121.33988753004019</c:v>
                </c:pt>
                <c:pt idx="123">
                  <c:v>-121.67127916805021</c:v>
                </c:pt>
                <c:pt idx="124">
                  <c:v>-122.00225621368327</c:v>
                </c:pt>
                <c:pt idx="125">
                  <c:v>-122.34046023480981</c:v>
                </c:pt>
                <c:pt idx="126">
                  <c:v>-122.67821054004779</c:v>
                </c:pt>
                <c:pt idx="127">
                  <c:v>-123.02331820405416</c:v>
                </c:pt>
                <c:pt idx="128">
                  <c:v>-123.36793109796572</c:v>
                </c:pt>
                <c:pt idx="129">
                  <c:v>-123.72002732017849</c:v>
                </c:pt>
                <c:pt idx="130">
                  <c:v>-124.07158571293745</c:v>
                </c:pt>
                <c:pt idx="131">
                  <c:v>-124.43074879996777</c:v>
                </c:pt>
                <c:pt idx="132">
                  <c:v>-124.61011233517269</c:v>
                </c:pt>
                <c:pt idx="133">
                  <c:v>-124.78932892123488</c:v>
                </c:pt>
                <c:pt idx="134">
                  <c:v>-124.97265234147581</c:v>
                </c:pt>
                <c:pt idx="135">
                  <c:v>-125.15581925655725</c:v>
                </c:pt>
                <c:pt idx="136">
                  <c:v>-125.33882844051055</c:v>
                </c:pt>
                <c:pt idx="137">
                  <c:v>-125.52167868827684</c:v>
                </c:pt>
                <c:pt idx="138">
                  <c:v>-125.70851471068143</c:v>
                </c:pt>
                <c:pt idx="139">
                  <c:v>-125.89518201391563</c:v>
                </c:pt>
                <c:pt idx="140">
                  <c:v>-126.08167937431612</c:v>
                </c:pt>
                <c:pt idx="141">
                  <c:v>-126.26800558944019</c:v>
                </c:pt>
                <c:pt idx="142">
                  <c:v>-126.45857172193131</c:v>
                </c:pt>
                <c:pt idx="143">
                  <c:v>-126.64895601232072</c:v>
                </c:pt>
                <c:pt idx="144">
                  <c:v>-126.83915723718671</c:v>
                </c:pt>
                <c:pt idx="145">
                  <c:v>-127.02917419476368</c:v>
                </c:pt>
                <c:pt idx="146">
                  <c:v>-127.22340077754744</c:v>
                </c:pt>
                <c:pt idx="147">
                  <c:v>-127.41743197983895</c:v>
                </c:pt>
                <c:pt idx="148">
                  <c:v>-127.61126658230904</c:v>
                </c:pt>
                <c:pt idx="149">
                  <c:v>-127.80490338771592</c:v>
                </c:pt>
                <c:pt idx="150">
                  <c:v>-128.00281140887165</c:v>
                </c:pt>
                <c:pt idx="151">
                  <c:v>-128.20050991420982</c:v>
                </c:pt>
                <c:pt idx="152">
                  <c:v>-128.3979976908021</c:v>
                </c:pt>
                <c:pt idx="153">
                  <c:v>-128.59527354827785</c:v>
                </c:pt>
                <c:pt idx="154">
                  <c:v>-128.79697269604651</c:v>
                </c:pt>
                <c:pt idx="155">
                  <c:v>-128.99844737712851</c:v>
                </c:pt>
                <c:pt idx="156">
                  <c:v>-129.19969638601461</c:v>
                </c:pt>
                <c:pt idx="157">
                  <c:v>-129.40071854030418</c:v>
                </c:pt>
                <c:pt idx="158">
                  <c:v>-129.60622037592847</c:v>
                </c:pt>
                <c:pt idx="159">
                  <c:v>-129.81148215488378</c:v>
                </c:pt>
                <c:pt idx="160">
                  <c:v>-130.0165026822699</c:v>
                </c:pt>
                <c:pt idx="161">
                  <c:v>-130.221280786883</c:v>
                </c:pt>
                <c:pt idx="162">
                  <c:v>-130.43050066371327</c:v>
                </c:pt>
                <c:pt idx="163">
                  <c:v>-130.63946447221537</c:v>
                </c:pt>
                <c:pt idx="164">
                  <c:v>-130.84817103322902</c:v>
                </c:pt>
                <c:pt idx="165">
                  <c:v>-131.05661919187213</c:v>
                </c:pt>
                <c:pt idx="166">
                  <c:v>-131.26974410508666</c:v>
                </c:pt>
                <c:pt idx="167">
                  <c:v>-131.48259583572599</c:v>
                </c:pt>
                <c:pt idx="168">
                  <c:v>-131.69517322126171</c:v>
                </c:pt>
                <c:pt idx="169">
                  <c:v>-131.90747512414515</c:v>
                </c:pt>
                <c:pt idx="170">
                  <c:v>-132.12404729117088</c:v>
                </c:pt>
                <c:pt idx="171">
                  <c:v>-132.34032970412386</c:v>
                </c:pt>
                <c:pt idx="172">
                  <c:v>-132.55632122880149</c:v>
                </c:pt>
                <c:pt idx="173">
                  <c:v>-132.77202075650092</c:v>
                </c:pt>
                <c:pt idx="174">
                  <c:v>-132.99285382153377</c:v>
                </c:pt>
                <c:pt idx="175">
                  <c:v>-133.21337770196368</c:v>
                </c:pt>
                <c:pt idx="176">
                  <c:v>-133.43359128395846</c:v>
                </c:pt>
                <c:pt idx="177">
                  <c:v>-133.65349348012134</c:v>
                </c:pt>
                <c:pt idx="178">
                  <c:v>-133.87847903211579</c:v>
                </c:pt>
                <c:pt idx="179">
                  <c:v>-134.10313546810409</c:v>
                </c:pt>
                <c:pt idx="180">
                  <c:v>-134.32746170214838</c:v>
                </c:pt>
                <c:pt idx="181">
                  <c:v>-134.55145667566353</c:v>
                </c:pt>
                <c:pt idx="182">
                  <c:v>-134.77958921429112</c:v>
                </c:pt>
                <c:pt idx="183">
                  <c:v>-135.00737496983032</c:v>
                </c:pt>
                <c:pt idx="184">
                  <c:v>-135.23481290414054</c:v>
                </c:pt>
                <c:pt idx="185">
                  <c:v>-135.4619020068925</c:v>
                </c:pt>
                <c:pt idx="186">
                  <c:v>-135.69486056854478</c:v>
                </c:pt>
                <c:pt idx="187">
                  <c:v>-135.92744881022082</c:v>
                </c:pt>
                <c:pt idx="188">
                  <c:v>-136.15966572500255</c:v>
                </c:pt>
                <c:pt idx="189">
                  <c:v>-136.39151033509057</c:v>
                </c:pt>
                <c:pt idx="190">
                  <c:v>-136.62739544802616</c:v>
                </c:pt>
                <c:pt idx="191">
                  <c:v>-136.86289195060613</c:v>
                </c:pt>
                <c:pt idx="192">
                  <c:v>-137.09799889844348</c:v>
                </c:pt>
                <c:pt idx="193">
                  <c:v>-137.33271537665775</c:v>
                </c:pt>
                <c:pt idx="194">
                  <c:v>-137.57317858222186</c:v>
                </c:pt>
                <c:pt idx="195">
                  <c:v>-137.81322871693123</c:v>
                </c:pt>
                <c:pt idx="196">
                  <c:v>-138.05286488598369</c:v>
                </c:pt>
                <c:pt idx="197">
                  <c:v>-138.29208622531678</c:v>
                </c:pt>
                <c:pt idx="198">
                  <c:v>-138.5361165656623</c:v>
                </c:pt>
                <c:pt idx="199">
                  <c:v>-138.77971198139628</c:v>
                </c:pt>
                <c:pt idx="200">
                  <c:v>-139.02287164684745</c:v>
                </c:pt>
                <c:pt idx="201">
                  <c:v>-139.26559476781802</c:v>
                </c:pt>
                <c:pt idx="202">
                  <c:v>-139.51306762864729</c:v>
                </c:pt>
                <c:pt idx="203">
                  <c:v>-139.76008345883221</c:v>
                </c:pt>
                <c:pt idx="204">
                  <c:v>-140.00664151054096</c:v>
                </c:pt>
                <c:pt idx="205">
                  <c:v>-140.25274106808951</c:v>
                </c:pt>
                <c:pt idx="206">
                  <c:v>-140.50438786211188</c:v>
                </c:pt>
                <c:pt idx="207">
                  <c:v>-140.75555202410808</c:v>
                </c:pt>
                <c:pt idx="208">
                  <c:v>-141.00623288619431</c:v>
                </c:pt>
                <c:pt idx="209">
                  <c:v>-141.25642981368696</c:v>
                </c:pt>
                <c:pt idx="210">
                  <c:v>-141.51295348940604</c:v>
                </c:pt>
                <c:pt idx="211">
                  <c:v>-141.76896519073296</c:v>
                </c:pt>
                <c:pt idx="212">
                  <c:v>-142.02446433549179</c:v>
                </c:pt>
                <c:pt idx="213">
                  <c:v>-142.27945037612764</c:v>
                </c:pt>
                <c:pt idx="214">
                  <c:v>-142.53899011463292</c:v>
                </c:pt>
                <c:pt idx="215">
                  <c:v>-142.7979950461409</c:v>
                </c:pt>
                <c:pt idx="216">
                  <c:v>-143.05646469732827</c:v>
                </c:pt>
                <c:pt idx="217">
                  <c:v>-143.31439862989998</c:v>
                </c:pt>
                <c:pt idx="218">
                  <c:v>-143.57765919095746</c:v>
                </c:pt>
                <c:pt idx="219">
                  <c:v>-143.84035850688258</c:v>
                </c:pt>
                <c:pt idx="220">
                  <c:v>-144.10249621860478</c:v>
                </c:pt>
                <c:pt idx="221">
                  <c:v>-144.36407200283853</c:v>
                </c:pt>
                <c:pt idx="222">
                  <c:v>-144.63089793683679</c:v>
                </c:pt>
                <c:pt idx="223">
                  <c:v>-144.89713603852044</c:v>
                </c:pt>
                <c:pt idx="224">
                  <c:v>-145.16278607446841</c:v>
                </c:pt>
                <c:pt idx="225">
                  <c:v>-145.42784784767642</c:v>
                </c:pt>
                <c:pt idx="226">
                  <c:v>-145.69890491674252</c:v>
                </c:pt>
                <c:pt idx="227">
                  <c:v>-145.96934373166164</c:v>
                </c:pt>
                <c:pt idx="228">
                  <c:v>-146.23916419518491</c:v>
                </c:pt>
                <c:pt idx="229">
                  <c:v>-146.50836624742246</c:v>
                </c:pt>
                <c:pt idx="230">
                  <c:v>-147.0579310349863</c:v>
                </c:pt>
                <c:pt idx="231">
                  <c:v>-147.33174018934091</c:v>
                </c:pt>
                <c:pt idx="232">
                  <c:v>-147.60490062630146</c:v>
                </c:pt>
                <c:pt idx="233">
                  <c:v>-147.88387371861756</c:v>
                </c:pt>
                <c:pt idx="234">
                  <c:v>-148.16216724107983</c:v>
                </c:pt>
                <c:pt idx="235">
                  <c:v>-148.43978141100823</c:v>
                </c:pt>
                <c:pt idx="236">
                  <c:v>-148.71671648445053</c:v>
                </c:pt>
                <c:pt idx="237">
                  <c:v>-148.99857093123447</c:v>
                </c:pt>
                <c:pt idx="238">
                  <c:v>-149.2797191027916</c:v>
                </c:pt>
                <c:pt idx="239">
                  <c:v>-149.56016139079082</c:v>
                </c:pt>
                <c:pt idx="240">
                  <c:v>-149.83989822558456</c:v>
                </c:pt>
                <c:pt idx="241">
                  <c:v>-150.12605517384785</c:v>
                </c:pt>
                <c:pt idx="242">
                  <c:v>-150.41147117167668</c:v>
                </c:pt>
                <c:pt idx="243">
                  <c:v>-150.69614680484244</c:v>
                </c:pt>
                <c:pt idx="244">
                  <c:v>-150.98008269842336</c:v>
                </c:pt>
                <c:pt idx="245">
                  <c:v>-151.26954698030517</c:v>
                </c:pt>
                <c:pt idx="246">
                  <c:v>-151.55823981574861</c:v>
                </c:pt>
                <c:pt idx="247">
                  <c:v>-151.84616199416263</c:v>
                </c:pt>
                <c:pt idx="248">
                  <c:v>-152.13331434421139</c:v>
                </c:pt>
                <c:pt idx="249">
                  <c:v>-152.42667309487899</c:v>
                </c:pt>
                <c:pt idx="250">
                  <c:v>-152.71922588944835</c:v>
                </c:pt>
                <c:pt idx="251">
                  <c:v>-153.01097374106755</c:v>
                </c:pt>
                <c:pt idx="252">
                  <c:v>-153.30191770225866</c:v>
                </c:pt>
                <c:pt idx="253">
                  <c:v>-153.59819075079344</c:v>
                </c:pt>
                <c:pt idx="254">
                  <c:v>-153.89362786155291</c:v>
                </c:pt>
                <c:pt idx="255">
                  <c:v>-154.18823027640059</c:v>
                </c:pt>
                <c:pt idx="256">
                  <c:v>-154.48199927600803</c:v>
                </c:pt>
                <c:pt idx="257">
                  <c:v>-154.78251417221469</c:v>
                </c:pt>
                <c:pt idx="258">
                  <c:v>-155.08215476356494</c:v>
                </c:pt>
                <c:pt idx="259">
                  <c:v>-155.38092255384782</c:v>
                </c:pt>
                <c:pt idx="260">
                  <c:v>-155.67881908560298</c:v>
                </c:pt>
                <c:pt idx="261">
                  <c:v>-155.9825864546884</c:v>
                </c:pt>
                <c:pt idx="262">
                  <c:v>-156.28544589580142</c:v>
                </c:pt>
                <c:pt idx="263">
                  <c:v>-156.58739917819221</c:v>
                </c:pt>
                <c:pt idx="264">
                  <c:v>-156.88844810908594</c:v>
                </c:pt>
                <c:pt idx="265">
                  <c:v>-157.1952542167646</c:v>
                </c:pt>
                <c:pt idx="266">
                  <c:v>-157.50111926864213</c:v>
                </c:pt>
                <c:pt idx="267">
                  <c:v>-157.8060453112704</c:v>
                </c:pt>
                <c:pt idx="268">
                  <c:v>-158.11003442808308</c:v>
                </c:pt>
                <c:pt idx="269">
                  <c:v>-158.42039734597975</c:v>
                </c:pt>
                <c:pt idx="270">
                  <c:v>-158.7297820664956</c:v>
                </c:pt>
                <c:pt idx="271">
                  <c:v>-159.03819094082607</c:v>
                </c:pt>
                <c:pt idx="272">
                  <c:v>-159.34562635596561</c:v>
                </c:pt>
                <c:pt idx="273">
                  <c:v>-159.65930696593421</c:v>
                </c:pt>
                <c:pt idx="274">
                  <c:v>-159.97197282812152</c:v>
                </c:pt>
                <c:pt idx="275">
                  <c:v>-160.28362661150589</c:v>
                </c:pt>
                <c:pt idx="276">
                  <c:v>-160.59427101940827</c:v>
                </c:pt>
                <c:pt idx="277">
                  <c:v>-160.91031921375929</c:v>
                </c:pt>
                <c:pt idx="278">
                  <c:v>-161.22532153094696</c:v>
                </c:pt>
                <c:pt idx="279">
                  <c:v>-161.53928094905643</c:v>
                </c:pt>
                <c:pt idx="280">
                  <c:v>-161.8522004783942</c:v>
                </c:pt>
                <c:pt idx="281">
                  <c:v>-162.17251705494868</c:v>
                </c:pt>
                <c:pt idx="282">
                  <c:v>-162.49174317902779</c:v>
                </c:pt>
                <c:pt idx="283">
                  <c:v>-162.80988221045541</c:v>
                </c:pt>
                <c:pt idx="284">
                  <c:v>-163.12693753962688</c:v>
                </c:pt>
                <c:pt idx="285">
                  <c:v>-163.44915177002912</c:v>
                </c:pt>
                <c:pt idx="286">
                  <c:v>-163.77024621557055</c:v>
                </c:pt>
                <c:pt idx="287">
                  <c:v>-164.09022456199224</c:v>
                </c:pt>
                <c:pt idx="288">
                  <c:v>-164.40909052275683</c:v>
                </c:pt>
                <c:pt idx="289">
                  <c:v>-164.73505102635355</c:v>
                </c:pt>
                <c:pt idx="290">
                  <c:v>-165.05984886425938</c:v>
                </c:pt>
                <c:pt idx="291">
                  <c:v>-165.38348812821417</c:v>
                </c:pt>
                <c:pt idx="292">
                  <c:v>-165.70597293515775</c:v>
                </c:pt>
                <c:pt idx="293">
                  <c:v>-166.03471965749992</c:v>
                </c:pt>
                <c:pt idx="294">
                  <c:v>-166.36226674263668</c:v>
                </c:pt>
                <c:pt idx="295">
                  <c:v>-166.68861867301823</c:v>
                </c:pt>
                <c:pt idx="296">
                  <c:v>-167.01377995311475</c:v>
                </c:pt>
                <c:pt idx="297">
                  <c:v>-167.34505915917822</c:v>
                </c:pt>
                <c:pt idx="298">
                  <c:v>-167.67510291214643</c:v>
                </c:pt>
                <c:pt idx="299">
                  <c:v>-168.00391609157663</c:v>
                </c:pt>
                <c:pt idx="300">
                  <c:v>-168.3315035954713</c:v>
                </c:pt>
                <c:pt idx="301">
                  <c:v>-168.6650655003138</c:v>
                </c:pt>
                <c:pt idx="302">
                  <c:v>-168.9973573851498</c:v>
                </c:pt>
                <c:pt idx="303">
                  <c:v>-169.32838453096977</c:v>
                </c:pt>
                <c:pt idx="304">
                  <c:v>-169.65815223326214</c:v>
                </c:pt>
                <c:pt idx="305">
                  <c:v>-169.99503975006499</c:v>
                </c:pt>
                <c:pt idx="306">
                  <c:v>-170.33061399093356</c:v>
                </c:pt>
                <c:pt idx="307">
                  <c:v>-170.66488070645343</c:v>
                </c:pt>
                <c:pt idx="308">
                  <c:v>-170.99784565756298</c:v>
                </c:pt>
                <c:pt idx="309">
                  <c:v>-171.33648990578965</c:v>
                </c:pt>
                <c:pt idx="310">
                  <c:v>-171.6737891143907</c:v>
                </c:pt>
                <c:pt idx="311">
                  <c:v>-172.00974944112781</c:v>
                </c:pt>
                <c:pt idx="312">
                  <c:v>-172.34437704941624</c:v>
                </c:pt>
                <c:pt idx="313">
                  <c:v>-172.68579088110221</c:v>
                </c:pt>
                <c:pt idx="314">
                  <c:v>-173.0258192966773</c:v>
                </c:pt>
                <c:pt idx="315">
                  <c:v>-173.36446893164978</c:v>
                </c:pt>
                <c:pt idx="316">
                  <c:v>-173.70174642220479</c:v>
                </c:pt>
                <c:pt idx="317">
                  <c:v>-174.04563971968201</c:v>
                </c:pt>
                <c:pt idx="318">
                  <c:v>-174.3881088288534</c:v>
                </c:pt>
                <c:pt idx="319">
                  <c:v>-174.72916086519527</c:v>
                </c:pt>
                <c:pt idx="320">
                  <c:v>-175.06880293947458</c:v>
                </c:pt>
                <c:pt idx="321">
                  <c:v>-175.4148915501099</c:v>
                </c:pt>
                <c:pt idx="322">
                  <c:v>-175.75951889985188</c:v>
                </c:pt>
                <c:pt idx="323">
                  <c:v>-176.10269258379333</c:v>
                </c:pt>
                <c:pt idx="324">
                  <c:v>-176.44442018656378</c:v>
                </c:pt>
                <c:pt idx="325">
                  <c:v>-176.79242646523372</c:v>
                </c:pt>
                <c:pt idx="326">
                  <c:v>-177.13893619304173</c:v>
                </c:pt>
                <c:pt idx="327">
                  <c:v>-177.48395744184307</c:v>
                </c:pt>
                <c:pt idx="328">
                  <c:v>-177.82749826695252</c:v>
                </c:pt>
                <c:pt idx="329">
                  <c:v>-178.17773498561391</c:v>
                </c:pt>
                <c:pt idx="330">
                  <c:v>-178.52643660979336</c:v>
                </c:pt>
                <c:pt idx="331">
                  <c:v>-178.87361172572514</c:v>
                </c:pt>
                <c:pt idx="332">
                  <c:v>-179.21926889659571</c:v>
                </c:pt>
                <c:pt idx="333">
                  <c:v>-179.57086897363445</c:v>
                </c:pt>
                <c:pt idx="334">
                  <c:v>-179.92090249676971</c:v>
                </c:pt>
                <c:pt idx="335">
                  <c:v>-180.26937851736724</c:v>
                </c:pt>
                <c:pt idx="336">
                  <c:v>-180.61630605712543</c:v>
                </c:pt>
                <c:pt idx="337">
                  <c:v>-180.97014024770345</c:v>
                </c:pt>
                <c:pt idx="338">
                  <c:v>-181.32236819227205</c:v>
                </c:pt>
                <c:pt idx="339">
                  <c:v>-181.6729994888629</c:v>
                </c:pt>
                <c:pt idx="340">
                  <c:v>-182.02204369857822</c:v>
                </c:pt>
                <c:pt idx="341">
                  <c:v>-182.37780370045897</c:v>
                </c:pt>
                <c:pt idx="342">
                  <c:v>-182.73191993518722</c:v>
                </c:pt>
                <c:pt idx="343">
                  <c:v>-183.08440254025294</c:v>
                </c:pt>
                <c:pt idx="344">
                  <c:v>-183.43526160866878</c:v>
                </c:pt>
                <c:pt idx="345">
                  <c:v>-183.79210523431726</c:v>
                </c:pt>
                <c:pt idx="346">
                  <c:v>-184.14727490298966</c:v>
                </c:pt>
                <c:pt idx="347">
                  <c:v>-184.50078123323021</c:v>
                </c:pt>
                <c:pt idx="348">
                  <c:v>-184.85263479165442</c:v>
                </c:pt>
                <c:pt idx="349">
                  <c:v>-185.21136740352605</c:v>
                </c:pt>
                <c:pt idx="350">
                  <c:v>-185.56838791430172</c:v>
                </c:pt>
                <c:pt idx="351">
                  <c:v>-185.92370750858379</c:v>
                </c:pt>
                <c:pt idx="352">
                  <c:v>-186.27733731079798</c:v>
                </c:pt>
                <c:pt idx="353">
                  <c:v>-186.63764780192676</c:v>
                </c:pt>
                <c:pt idx="354">
                  <c:v>-186.99621047940542</c:v>
                </c:pt>
                <c:pt idx="355">
                  <c:v>-187.35303708134774</c:v>
                </c:pt>
                <c:pt idx="356">
                  <c:v>-187.70813927725791</c:v>
                </c:pt>
                <c:pt idx="357">
                  <c:v>-188.06921438609919</c:v>
                </c:pt>
                <c:pt idx="358">
                  <c:v>-188.42851348932652</c:v>
                </c:pt>
                <c:pt idx="359">
                  <c:v>-188.78604881138909</c:v>
                </c:pt>
                <c:pt idx="360">
                  <c:v>-189.14183250001483</c:v>
                </c:pt>
                <c:pt idx="361">
                  <c:v>-189.50441670670963</c:v>
                </c:pt>
                <c:pt idx="362">
                  <c:v>-189.86518908403127</c:v>
                </c:pt>
                <c:pt idx="363">
                  <c:v>-190.22416242997465</c:v>
                </c:pt>
                <c:pt idx="364">
                  <c:v>-190.58134945677202</c:v>
                </c:pt>
                <c:pt idx="365">
                  <c:v>-190.94464081527633</c:v>
                </c:pt>
                <c:pt idx="366">
                  <c:v>-191.306092167618</c:v>
                </c:pt>
                <c:pt idx="367">
                  <c:v>-191.66571681332101</c:v>
                </c:pt>
                <c:pt idx="368">
                  <c:v>-192.02352795755002</c:v>
                </c:pt>
                <c:pt idx="369">
                  <c:v>-192.38822305192784</c:v>
                </c:pt>
                <c:pt idx="370">
                  <c:v>-192.75104260929007</c:v>
                </c:pt>
                <c:pt idx="371">
                  <c:v>-193.1120005191753</c:v>
                </c:pt>
                <c:pt idx="372">
                  <c:v>-193.47111056713561</c:v>
                </c:pt>
                <c:pt idx="373">
                  <c:v>-193.83642068869869</c:v>
                </c:pt>
                <c:pt idx="374">
                  <c:v>-194.19982750469759</c:v>
                </c:pt>
                <c:pt idx="375">
                  <c:v>-194.5613454177697</c:v>
                </c:pt>
                <c:pt idx="376">
                  <c:v>-194.92098871751287</c:v>
                </c:pt>
                <c:pt idx="377">
                  <c:v>-195.28756516995151</c:v>
                </c:pt>
                <c:pt idx="378">
                  <c:v>-195.65220348934594</c:v>
                </c:pt>
                <c:pt idx="379">
                  <c:v>-196.01491868053077</c:v>
                </c:pt>
                <c:pt idx="380">
                  <c:v>-196.37572562512608</c:v>
                </c:pt>
                <c:pt idx="381">
                  <c:v>-196.74234183335881</c:v>
                </c:pt>
                <c:pt idx="382">
                  <c:v>-197.1069977852095</c:v>
                </c:pt>
                <c:pt idx="383">
                  <c:v>-197.46970894857364</c:v>
                </c:pt>
                <c:pt idx="384">
                  <c:v>-197.83049065931786</c:v>
                </c:pt>
                <c:pt idx="385">
                  <c:v>-198.19822780818936</c:v>
                </c:pt>
                <c:pt idx="386">
                  <c:v>-198.56397087107757</c:v>
                </c:pt>
                <c:pt idx="387">
                  <c:v>-198.92773592521033</c:v>
                </c:pt>
                <c:pt idx="388">
                  <c:v>-199.2895389051485</c:v>
                </c:pt>
                <c:pt idx="389">
                  <c:v>-199.65764042294546</c:v>
                </c:pt>
                <c:pt idx="390">
                  <c:v>-200.02372195498984</c:v>
                </c:pt>
                <c:pt idx="391">
                  <c:v>-200.38780010154102</c:v>
                </c:pt>
                <c:pt idx="392">
                  <c:v>-200.74989131038549</c:v>
                </c:pt>
                <c:pt idx="393">
                  <c:v>-201.11807719132963</c:v>
                </c:pt>
                <c:pt idx="394">
                  <c:v>-201.48422017707352</c:v>
                </c:pt>
                <c:pt idx="395">
                  <c:v>-201.84833736093614</c:v>
                </c:pt>
                <c:pt idx="396">
                  <c:v>-202.21044567418974</c:v>
                </c:pt>
                <c:pt idx="397">
                  <c:v>-202.57927996407079</c:v>
                </c:pt>
                <c:pt idx="398">
                  <c:v>-202.94604210086814</c:v>
                </c:pt>
                <c:pt idx="399">
                  <c:v>-203.31074975844891</c:v>
                </c:pt>
                <c:pt idx="400">
                  <c:v>-203.67342043779206</c:v>
                </c:pt>
                <c:pt idx="401">
                  <c:v>-204.04218939934199</c:v>
                </c:pt>
                <c:pt idx="402">
                  <c:v>-204.40886484774512</c:v>
                </c:pt>
                <c:pt idx="403">
                  <c:v>-204.77346494460633</c:v>
                </c:pt>
                <c:pt idx="404">
                  <c:v>-205.13600766884474</c:v>
                </c:pt>
                <c:pt idx="405">
                  <c:v>-205.5048428074854</c:v>
                </c:pt>
                <c:pt idx="406">
                  <c:v>-205.8715615949973</c:v>
                </c:pt>
                <c:pt idx="407">
                  <c:v>-206.23618270653537</c:v>
                </c:pt>
                <c:pt idx="408">
                  <c:v>-206.59872462428277</c:v>
                </c:pt>
                <c:pt idx="409">
                  <c:v>-206.96773585746382</c:v>
                </c:pt>
                <c:pt idx="410">
                  <c:v>-207.33460662473189</c:v>
                </c:pt>
                <c:pt idx="411">
                  <c:v>-207.69935613925975</c:v>
                </c:pt>
                <c:pt idx="412">
                  <c:v>-208.06200341045607</c:v>
                </c:pt>
                <c:pt idx="413">
                  <c:v>-208.43090138397909</c:v>
                </c:pt>
                <c:pt idx="414">
                  <c:v>-208.79763813372753</c:v>
                </c:pt>
                <c:pt idx="415">
                  <c:v>-209.16223337319397</c:v>
                </c:pt>
                <c:pt idx="416">
                  <c:v>-209.52470660167361</c:v>
                </c:pt>
                <c:pt idx="417">
                  <c:v>-209.89358783715568</c:v>
                </c:pt>
                <c:pt idx="418">
                  <c:v>-210.26028601746231</c:v>
                </c:pt>
                <c:pt idx="419">
                  <c:v>-210.62482137810832</c:v>
                </c:pt>
                <c:pt idx="420">
                  <c:v>-210.98721392948931</c:v>
                </c:pt>
                <c:pt idx="421">
                  <c:v>-211.35543336710055</c:v>
                </c:pt>
                <c:pt idx="422">
                  <c:v>-211.72145565896864</c:v>
                </c:pt>
                <c:pt idx="423">
                  <c:v>-212.08530146101188</c:v>
                </c:pt>
                <c:pt idx="424">
                  <c:v>-212.44699119445485</c:v>
                </c:pt>
                <c:pt idx="425">
                  <c:v>-212.81536558391545</c:v>
                </c:pt>
                <c:pt idx="426">
                  <c:v>-213.18151915468124</c:v>
                </c:pt>
                <c:pt idx="427">
                  <c:v>-213.54547312416764</c:v>
                </c:pt>
                <c:pt idx="428">
                  <c:v>-213.90724846320694</c:v>
                </c:pt>
                <c:pt idx="429">
                  <c:v>-214.27513150587089</c:v>
                </c:pt>
                <c:pt idx="430">
                  <c:v>-214.64077793106239</c:v>
                </c:pt>
                <c:pt idx="431">
                  <c:v>-215.00420941202219</c:v>
                </c:pt>
                <c:pt idx="432">
                  <c:v>-215.36544736494861</c:v>
                </c:pt>
                <c:pt idx="433">
                  <c:v>-215.73257970503661</c:v>
                </c:pt>
                <c:pt idx="434">
                  <c:v>-216.09746302047077</c:v>
                </c:pt>
                <c:pt idx="435">
                  <c:v>-216.46011939543251</c:v>
                </c:pt>
                <c:pt idx="436">
                  <c:v>-216.82057064714652</c:v>
                </c:pt>
                <c:pt idx="437">
                  <c:v>-217.1873654986457</c:v>
                </c:pt>
                <c:pt idx="438">
                  <c:v>-217.55189412112026</c:v>
                </c:pt>
                <c:pt idx="439">
                  <c:v>-217.91417908477212</c:v>
                </c:pt>
                <c:pt idx="440">
                  <c:v>-218.27424268154004</c:v>
                </c:pt>
                <c:pt idx="441">
                  <c:v>-218.64042568027253</c:v>
                </c:pt>
                <c:pt idx="442">
                  <c:v>-219.00432886213997</c:v>
                </c:pt>
                <c:pt idx="443">
                  <c:v>-219.36597523435535</c:v>
                </c:pt>
                <c:pt idx="444">
                  <c:v>-219.72538751516211</c:v>
                </c:pt>
                <c:pt idx="445">
                  <c:v>-220.09070208054584</c:v>
                </c:pt>
                <c:pt idx="446">
                  <c:v>-220.45372674186251</c:v>
                </c:pt>
                <c:pt idx="447">
                  <c:v>-220.81448489369694</c:v>
                </c:pt>
                <c:pt idx="448">
                  <c:v>-221.17299963160605</c:v>
                </c:pt>
                <c:pt idx="449">
                  <c:v>-221.53781528107888</c:v>
                </c:pt>
                <c:pt idx="450">
                  <c:v>-221.90032664460725</c:v>
                </c:pt>
                <c:pt idx="451">
                  <c:v>-222.26055757301046</c:v>
                </c:pt>
                <c:pt idx="452">
                  <c:v>-222.61853160665333</c:v>
                </c:pt>
                <c:pt idx="453">
                  <c:v>-222.98228400374677</c:v>
                </c:pt>
                <c:pt idx="454">
                  <c:v>-223.3437251827599</c:v>
                </c:pt>
                <c:pt idx="455">
                  <c:v>-223.7028793378376</c:v>
                </c:pt>
                <c:pt idx="456">
                  <c:v>-224.05977034300611</c:v>
                </c:pt>
                <c:pt idx="457">
                  <c:v>-224.42281118390434</c:v>
                </c:pt>
                <c:pt idx="458">
                  <c:v>-224.78352981147424</c:v>
                </c:pt>
                <c:pt idx="459">
                  <c:v>-225.14195082822278</c:v>
                </c:pt>
                <c:pt idx="460">
                  <c:v>-225.49809850554399</c:v>
                </c:pt>
                <c:pt idx="461">
                  <c:v>-225.8601741788346</c:v>
                </c:pt>
                <c:pt idx="462">
                  <c:v>-226.21992026083998</c:v>
                </c:pt>
                <c:pt idx="463">
                  <c:v>-226.57736170635266</c:v>
                </c:pt>
                <c:pt idx="464">
                  <c:v>-226.93252312886631</c:v>
                </c:pt>
                <c:pt idx="465">
                  <c:v>-227.29367317290914</c:v>
                </c:pt>
                <c:pt idx="466">
                  <c:v>-227.65248615881509</c:v>
                </c:pt>
                <c:pt idx="467">
                  <c:v>-228.00898739525417</c:v>
                </c:pt>
                <c:pt idx="468">
                  <c:v>-228.3632018391981</c:v>
                </c:pt>
                <c:pt idx="469">
                  <c:v>-228.72318777320348</c:v>
                </c:pt>
                <c:pt idx="470">
                  <c:v>-229.08083269818061</c:v>
                </c:pt>
                <c:pt idx="471">
                  <c:v>-229.43616221886845</c:v>
                </c:pt>
                <c:pt idx="472">
                  <c:v>-229.78920157880515</c:v>
                </c:pt>
                <c:pt idx="473">
                  <c:v>-230.14832486985233</c:v>
                </c:pt>
                <c:pt idx="474">
                  <c:v>-230.50509973706173</c:v>
                </c:pt>
                <c:pt idx="475">
                  <c:v>-230.85955213659219</c:v>
                </c:pt>
                <c:pt idx="476">
                  <c:v>-231.21170765268494</c:v>
                </c:pt>
                <c:pt idx="477">
                  <c:v>-231.56972515119523</c:v>
                </c:pt>
                <c:pt idx="478">
                  <c:v>-231.92539041485085</c:v>
                </c:pt>
                <c:pt idx="479">
                  <c:v>-232.2787296898826</c:v>
                </c:pt>
                <c:pt idx="480">
                  <c:v>-232.62976884087976</c:v>
                </c:pt>
                <c:pt idx="481">
                  <c:v>-232.98645609148096</c:v>
                </c:pt>
                <c:pt idx="482">
                  <c:v>-233.34079071002614</c:v>
                </c:pt>
                <c:pt idx="483">
                  <c:v>-233.69279917231094</c:v>
                </c:pt>
                <c:pt idx="484">
                  <c:v>-234.04250756379531</c:v>
                </c:pt>
                <c:pt idx="485">
                  <c:v>-234.39789926206299</c:v>
                </c:pt>
                <c:pt idx="486">
                  <c:v>-234.75093796256223</c:v>
                </c:pt>
                <c:pt idx="487">
                  <c:v>-235.10165036548278</c:v>
                </c:pt>
                <c:pt idx="488">
                  <c:v>-235.45006277196441</c:v>
                </c:pt>
                <c:pt idx="489">
                  <c:v>-235.8044205641194</c:v>
                </c:pt>
                <c:pt idx="490">
                  <c:v>-236.15642199944645</c:v>
                </c:pt>
                <c:pt idx="491">
                  <c:v>-236.50609404864849</c:v>
                </c:pt>
                <c:pt idx="492">
                  <c:v>-236.85346327361501</c:v>
                </c:pt>
                <c:pt idx="493">
                  <c:v>-237.20655967976668</c:v>
                </c:pt>
                <c:pt idx="494">
                  <c:v>-237.5572998273218</c:v>
                </c:pt>
                <c:pt idx="495">
                  <c:v>-237.90571089303256</c:v>
                </c:pt>
                <c:pt idx="496">
                  <c:v>-238.25181963624874</c:v>
                </c:pt>
                <c:pt idx="497">
                  <c:v>-238.60366824615858</c:v>
                </c:pt>
                <c:pt idx="498">
                  <c:v>-238.95316096309801</c:v>
                </c:pt>
                <c:pt idx="499">
                  <c:v>-239.30032515880373</c:v>
                </c:pt>
                <c:pt idx="500">
                  <c:v>-239.64518777914853</c:v>
                </c:pt>
                <c:pt idx="501">
                  <c:v>-239.99579630287334</c:v>
                </c:pt>
                <c:pt idx="502">
                  <c:v>-240.34404962678076</c:v>
                </c:pt>
                <c:pt idx="503">
                  <c:v>-240.68997530480118</c:v>
                </c:pt>
                <c:pt idx="504">
                  <c:v>-241.0336004567155</c:v>
                </c:pt>
                <c:pt idx="505">
                  <c:v>-241.38276027735569</c:v>
                </c:pt>
                <c:pt idx="506">
                  <c:v>-241.72956880529912</c:v>
                </c:pt>
                <c:pt idx="507">
                  <c:v>-242.07405371231968</c:v>
                </c:pt>
                <c:pt idx="508">
                  <c:v>-242.41624222904491</c:v>
                </c:pt>
                <c:pt idx="509">
                  <c:v>-242.76396779367505</c:v>
                </c:pt>
                <c:pt idx="510">
                  <c:v>-243.10934618980934</c:v>
                </c:pt>
                <c:pt idx="511">
                  <c:v>-243.45240519415461</c:v>
                </c:pt>
                <c:pt idx="512">
                  <c:v>-243.79317213551548</c:v>
                </c:pt>
                <c:pt idx="513">
                  <c:v>-244.13967275325385</c:v>
                </c:pt>
                <c:pt idx="514">
                  <c:v>-244.48382788415674</c:v>
                </c:pt>
                <c:pt idx="515">
                  <c:v>-244.82566544375683</c:v>
                </c:pt>
                <c:pt idx="516">
                  <c:v>-245.16521289217241</c:v>
                </c:pt>
                <c:pt idx="517">
                  <c:v>-245.51028266957607</c:v>
                </c:pt>
                <c:pt idx="518">
                  <c:v>-245.85301175940623</c:v>
                </c:pt>
                <c:pt idx="519">
                  <c:v>-246.19342815065687</c:v>
                </c:pt>
                <c:pt idx="520">
                  <c:v>-246.5315593708012</c:v>
                </c:pt>
                <c:pt idx="521">
                  <c:v>-246.87519922441862</c:v>
                </c:pt>
                <c:pt idx="522">
                  <c:v>-247.21650349731613</c:v>
                </c:pt>
                <c:pt idx="523">
                  <c:v>-247.55550023575114</c:v>
                </c:pt>
                <c:pt idx="524">
                  <c:v>-247.89221701872657</c:v>
                </c:pt>
                <c:pt idx="525">
                  <c:v>-248.23442403437568</c:v>
                </c:pt>
                <c:pt idx="526">
                  <c:v>-248.57430089973792</c:v>
                </c:pt>
                <c:pt idx="527">
                  <c:v>-248.911875701376</c:v>
                </c:pt>
                <c:pt idx="528">
                  <c:v>-249.24717605327811</c:v>
                </c:pt>
                <c:pt idx="529">
                  <c:v>-249.58794383013802</c:v>
                </c:pt>
                <c:pt idx="530">
                  <c:v>-249.9263872198575</c:v>
                </c:pt>
                <c:pt idx="531">
                  <c:v>-250.26253433176228</c:v>
                </c:pt>
                <c:pt idx="532">
                  <c:v>-250.59641279773354</c:v>
                </c:pt>
                <c:pt idx="533">
                  <c:v>-250.93590633170248</c:v>
                </c:pt>
                <c:pt idx="534">
                  <c:v>-251.27307919754534</c:v>
                </c:pt>
                <c:pt idx="535">
                  <c:v>-251.6079595525901</c:v>
                </c:pt>
                <c:pt idx="536">
                  <c:v>-251.94057507134789</c:v>
                </c:pt>
                <c:pt idx="537">
                  <c:v>-252.27842802697089</c:v>
                </c:pt>
                <c:pt idx="538">
                  <c:v>-252.61396918280752</c:v>
                </c:pt>
                <c:pt idx="539">
                  <c:v>-252.94722663863831</c:v>
                </c:pt>
                <c:pt idx="540">
                  <c:v>-253.27822800855913</c:v>
                </c:pt>
                <c:pt idx="541">
                  <c:v>-253.61476991453927</c:v>
                </c:pt>
                <c:pt idx="542">
                  <c:v>-253.94900451580881</c:v>
                </c:pt>
                <c:pt idx="543">
                  <c:v>-254.28095992173471</c:v>
                </c:pt>
                <c:pt idx="544">
                  <c:v>-254.6106637517093</c:v>
                </c:pt>
                <c:pt idx="545">
                  <c:v>-254.94570277126186</c:v>
                </c:pt>
                <c:pt idx="546">
                  <c:v>-255.2784416661049</c:v>
                </c:pt>
                <c:pt idx="547">
                  <c:v>-255.60890849392339</c:v>
                </c:pt>
                <c:pt idx="548">
                  <c:v>-255.93713081969221</c:v>
                </c:pt>
                <c:pt idx="549">
                  <c:v>-256.2706473974568</c:v>
                </c:pt>
                <c:pt idx="550">
                  <c:v>-256.60187132302548</c:v>
                </c:pt>
                <c:pt idx="551">
                  <c:v>-256.93083058459155</c:v>
                </c:pt>
                <c:pt idx="552">
                  <c:v>-257.25755267548084</c:v>
                </c:pt>
                <c:pt idx="553">
                  <c:v>-257.58967736459311</c:v>
                </c:pt>
                <c:pt idx="554">
                  <c:v>-257.91951505689457</c:v>
                </c:pt>
                <c:pt idx="555">
                  <c:v>-258.24709369190793</c:v>
                </c:pt>
                <c:pt idx="556">
                  <c:v>-258.5724407118185</c:v>
                </c:pt>
                <c:pt idx="557">
                  <c:v>-259.23155323270214</c:v>
                </c:pt>
                <c:pt idx="558">
                  <c:v>-259.88165301344412</c:v>
                </c:pt>
                <c:pt idx="559">
                  <c:v>-260.53755520868253</c:v>
                </c:pt>
                <c:pt idx="560">
                  <c:v>-261.1844778878185</c:v>
                </c:pt>
                <c:pt idx="561">
                  <c:v>-261.83767326200086</c:v>
                </c:pt>
                <c:pt idx="562">
                  <c:v>-262.48190788083213</c:v>
                </c:pt>
                <c:pt idx="563">
                  <c:v>-263.130940052413</c:v>
                </c:pt>
                <c:pt idx="564">
                  <c:v>-263.77106899911502</c:v>
                </c:pt>
                <c:pt idx="565">
                  <c:v>-264.41831633524532</c:v>
                </c:pt>
                <c:pt idx="566">
                  <c:v>-265.05665194309233</c:v>
                </c:pt>
                <c:pt idx="567">
                  <c:v>-265.70166462367399</c:v>
                </c:pt>
                <c:pt idx="568">
                  <c:v>-266.3377677732372</c:v>
                </c:pt>
                <c:pt idx="569">
                  <c:v>-266.97763576656411</c:v>
                </c:pt>
                <c:pt idx="570">
                  <c:v>-267.60867474265029</c:v>
                </c:pt>
                <c:pt idx="571">
                  <c:v>-268.24806159632516</c:v>
                </c:pt>
                <c:pt idx="572">
                  <c:v>-268.8785701057509</c:v>
                </c:pt>
                <c:pt idx="573">
                  <c:v>-269.51219648590927</c:v>
                </c:pt>
                <c:pt idx="574">
                  <c:v>-270.13703860653089</c:v>
                </c:pt>
                <c:pt idx="575">
                  <c:v>-270.76934799363642</c:v>
                </c:pt>
                <c:pt idx="576">
                  <c:v>-271.39284265549429</c:v>
                </c:pt>
                <c:pt idx="577">
                  <c:v>-273.93947513786759</c:v>
                </c:pt>
                <c:pt idx="578">
                  <c:v>-276.34614164963318</c:v>
                </c:pt>
                <c:pt idx="579">
                  <c:v>-281.18918535668627</c:v>
                </c:pt>
                <c:pt idx="580">
                  <c:v>-285.92264066841904</c:v>
                </c:pt>
                <c:pt idx="581">
                  <c:v>-290.53044587876514</c:v>
                </c:pt>
                <c:pt idx="582">
                  <c:v>-295.00487479116492</c:v>
                </c:pt>
                <c:pt idx="583">
                  <c:v>-299.33095548761503</c:v>
                </c:pt>
                <c:pt idx="584">
                  <c:v>-303.50000421520639</c:v>
                </c:pt>
                <c:pt idx="585">
                  <c:v>-307.49816918460562</c:v>
                </c:pt>
                <c:pt idx="586">
                  <c:v>-311.31595792652092</c:v>
                </c:pt>
                <c:pt idx="587">
                  <c:v>-314.94704010451682</c:v>
                </c:pt>
                <c:pt idx="588">
                  <c:v>-318.38202270171007</c:v>
                </c:pt>
                <c:pt idx="589">
                  <c:v>-321.62033710314597</c:v>
                </c:pt>
                <c:pt idx="590">
                  <c:v>-324.65988002835167</c:v>
                </c:pt>
                <c:pt idx="591">
                  <c:v>-327.50256326341707</c:v>
                </c:pt>
                <c:pt idx="592">
                  <c:v>-330.15183830074619</c:v>
                </c:pt>
                <c:pt idx="593">
                  <c:v>-332.61412137537963</c:v>
                </c:pt>
                <c:pt idx="594">
                  <c:v>-334.89585490961309</c:v>
                </c:pt>
                <c:pt idx="595">
                  <c:v>-337.00571310335778</c:v>
                </c:pt>
                <c:pt idx="596">
                  <c:v>-338.95223605152216</c:v>
                </c:pt>
                <c:pt idx="597">
                  <c:v>-340.74525723668563</c:v>
                </c:pt>
                <c:pt idx="598">
                  <c:v>-342.39394954524175</c:v>
                </c:pt>
                <c:pt idx="599">
                  <c:v>-343.90833438851837</c:v>
                </c:pt>
                <c:pt idx="600">
                  <c:v>-345.29758325533425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9108-48B6-A860-793AEC41F97D}"/>
            </c:ext>
          </c:extLst>
        </c:ser>
        <c:ser>
          <c:idx val="1"/>
          <c:order val="7"/>
          <c:tx>
            <c:v>Fc1</c:v>
          </c:tx>
          <c:spPr>
            <a:ln w="25400">
              <a:solidFill>
                <a:schemeClr val="tx1">
                  <a:lumMod val="50000"/>
                  <a:lumOff val="50000"/>
                </a:schemeClr>
              </a:solidFill>
              <a:prstDash val="sysDash"/>
            </a:ln>
          </c:spPr>
          <c:marker>
            <c:symbol val="plus"/>
            <c:size val="10"/>
            <c:spPr>
              <a:noFill/>
              <a:ln w="28575">
                <a:solidFill>
                  <a:schemeClr val="tx1"/>
                </a:solidFill>
              </a:ln>
            </c:spPr>
          </c:marker>
          <c:dPt>
            <c:idx val="2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E-9108-48B6-A860-793AEC41F97D}"/>
              </c:ext>
            </c:extLst>
          </c:dPt>
          <c:xVal>
            <c:numRef>
              <c:f>'Stability Calculations'!$A$617:$A$618</c:f>
              <c:numCache>
                <c:formatCode>General</c:formatCode>
                <c:ptCount val="2"/>
                <c:pt idx="0">
                  <c:v>4365.2</c:v>
                </c:pt>
                <c:pt idx="1">
                  <c:v>4365.2</c:v>
                </c:pt>
              </c:numCache>
            </c:numRef>
          </c:xVal>
          <c:yVal>
            <c:numRef>
              <c:f>'Stability Calculations'!$R$617:$R$618</c:f>
              <c:numCache>
                <c:formatCode>0.00</c:formatCode>
                <c:ptCount val="2"/>
                <c:pt idx="0">
                  <c:v>-109.48742994246625</c:v>
                </c:pt>
                <c:pt idx="1">
                  <c:v>-90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9108-48B6-A860-793AEC41F97D}"/>
            </c:ext>
          </c:extLst>
        </c:ser>
        <c:ser>
          <c:idx val="0"/>
          <c:order val="8"/>
          <c:tx>
            <c:v>Fc2</c:v>
          </c:tx>
          <c:spPr>
            <a:ln w="22225">
              <a:solidFill>
                <a:schemeClr val="tx1">
                  <a:lumMod val="50000"/>
                  <a:lumOff val="50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'Stability Calculations'!$A$619:$A$620</c:f>
              <c:numCache>
                <c:formatCode>General</c:formatCode>
                <c:ptCount val="2"/>
                <c:pt idx="0">
                  <c:v>4365.2</c:v>
                </c:pt>
                <c:pt idx="1">
                  <c:v>1000000</c:v>
                </c:pt>
              </c:numCache>
            </c:numRef>
          </c:xVal>
          <c:yVal>
            <c:numRef>
              <c:f>'Stability Calculations'!$R$619:$R$620</c:f>
              <c:numCache>
                <c:formatCode>0.00</c:formatCode>
                <c:ptCount val="2"/>
                <c:pt idx="0">
                  <c:v>-109.48742994246625</c:v>
                </c:pt>
                <c:pt idx="1">
                  <c:v>-109.48742994246625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9108-48B6-A860-793AEC41F9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413760"/>
        <c:axId val="137415296"/>
      </c:scatterChart>
      <c:valAx>
        <c:axId val="137377280"/>
        <c:scaling>
          <c:logBase val="10"/>
          <c:orientation val="minMax"/>
          <c:max val="1000000"/>
          <c:min val="1"/>
        </c:scaling>
        <c:delete val="0"/>
        <c:axPos val="b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minorGridlines>
          <c:spPr>
            <a:ln w="3175">
              <a:solidFill>
                <a:srgbClr val="969696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 pitchFamily="34" charset="0"/>
                    <a:ea typeface="Calibri"/>
                    <a:cs typeface="Arial" pitchFamily="34" charset="0"/>
                  </a:defRPr>
                </a:pPr>
                <a:r>
                  <a:rPr lang="en-US" sz="1200">
                    <a:latin typeface="Arial" pitchFamily="34" charset="0"/>
                    <a:cs typeface="Arial" pitchFamily="34" charset="0"/>
                  </a:rPr>
                  <a:t>Frequency (Hz)</a:t>
                </a:r>
              </a:p>
            </c:rich>
          </c:tx>
          <c:layout>
            <c:manualLayout>
              <c:xMode val="edge"/>
              <c:yMode val="edge"/>
              <c:x val="0.43129335258697837"/>
              <c:y val="0.938287088475307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in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endParaRPr lang="en-US"/>
          </a:p>
        </c:txPr>
        <c:crossAx val="139720192"/>
        <c:crossesAt val="-80"/>
        <c:crossBetween val="midCat"/>
      </c:valAx>
      <c:valAx>
        <c:axId val="139720192"/>
        <c:scaling>
          <c:orientation val="minMax"/>
          <c:max val="80"/>
          <c:min val="-80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FF0000"/>
                    </a:solidFill>
                    <a:latin typeface="Arial" pitchFamily="34" charset="0"/>
                    <a:ea typeface="Calibri"/>
                    <a:cs typeface="Arial" pitchFamily="34" charset="0"/>
                  </a:defRPr>
                </a:pPr>
                <a:r>
                  <a:rPr lang="en-US" sz="1200" u="none">
                    <a:solidFill>
                      <a:srgbClr val="FF0000"/>
                    </a:solidFill>
                    <a:latin typeface="Arial" pitchFamily="34" charset="0"/>
                    <a:cs typeface="Arial" pitchFamily="34" charset="0"/>
                  </a:rPr>
                  <a:t>Loop Gain (dB)</a:t>
                </a:r>
              </a:p>
            </c:rich>
          </c:tx>
          <c:layout>
            <c:manualLayout>
              <c:xMode val="edge"/>
              <c:yMode val="edge"/>
              <c:x val="1.8000828843762959E-2"/>
              <c:y val="0.3741503322722958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FF000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endParaRPr lang="en-US"/>
          </a:p>
        </c:txPr>
        <c:crossAx val="137377280"/>
        <c:crossesAt val="1.0000000000000005E-2"/>
        <c:crossBetween val="midCat"/>
        <c:majorUnit val="20"/>
      </c:valAx>
      <c:valAx>
        <c:axId val="137413760"/>
        <c:scaling>
          <c:logBase val="10"/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37415296"/>
        <c:crosses val="autoZero"/>
        <c:crossBetween val="midCat"/>
      </c:valAx>
      <c:valAx>
        <c:axId val="137415296"/>
        <c:scaling>
          <c:orientation val="minMax"/>
          <c:max val="0"/>
          <c:min val="-180"/>
        </c:scaling>
        <c:delete val="0"/>
        <c:axPos val="r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2060"/>
                    </a:solidFill>
                    <a:latin typeface="Arial" pitchFamily="34" charset="0"/>
                    <a:ea typeface="Calibri"/>
                    <a:cs typeface="Arial" pitchFamily="34" charset="0"/>
                  </a:defRPr>
                </a:pPr>
                <a:r>
                  <a:rPr lang="en-US" sz="1200" b="1">
                    <a:solidFill>
                      <a:srgbClr val="002060"/>
                    </a:solidFill>
                    <a:latin typeface="Arial" pitchFamily="34" charset="0"/>
                    <a:cs typeface="Arial" pitchFamily="34" charset="0"/>
                  </a:rPr>
                  <a:t>Loop Phase  (°)</a:t>
                </a:r>
              </a:p>
            </c:rich>
          </c:tx>
          <c:layout>
            <c:manualLayout>
              <c:xMode val="edge"/>
              <c:yMode val="edge"/>
              <c:x val="0.9649302942395358"/>
              <c:y val="0.3676377952755906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1" i="0" u="none" strike="noStrike" baseline="0">
                <a:solidFill>
                  <a:srgbClr val="00206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endParaRPr lang="en-US"/>
          </a:p>
        </c:txPr>
        <c:crossAx val="137413760"/>
        <c:crosses val="max"/>
        <c:crossBetween val="midCat"/>
        <c:majorUnit val="45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span"/>
    <c:showDLblsOverMax val="0"/>
  </c:chart>
  <c:spPr>
    <a:noFill/>
    <a:ln w="9525">
      <a:solidFill>
        <a:srgbClr val="808080"/>
      </a:solidFill>
    </a:ln>
  </c:spPr>
  <c:txPr>
    <a:bodyPr/>
    <a:lstStyle/>
    <a:p>
      <a:pPr>
        <a:defRPr sz="10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00000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r>
              <a:rPr lang="en-US" sz="2000">
                <a:latin typeface="Arial" pitchFamily="34" charset="0"/>
                <a:cs typeface="Arial" pitchFamily="34" charset="0"/>
                <a:sym typeface="Symbol"/>
              </a:rPr>
              <a:t></a:t>
            </a:r>
            <a:r>
              <a:rPr lang="en-US" sz="2000" b="1" i="0" u="none" strike="noStrike" baseline="0"/>
              <a:t>,  V</a:t>
            </a:r>
            <a:r>
              <a:rPr lang="en-US" sz="2000" b="1" i="0" u="none" strike="noStrike" baseline="-25000"/>
              <a:t>IN</a:t>
            </a:r>
            <a:r>
              <a:rPr lang="en-US" sz="2000" b="1" i="0" u="none" strike="noStrike" baseline="0"/>
              <a:t> = V</a:t>
            </a:r>
            <a:r>
              <a:rPr lang="en-US" sz="2000" b="1" i="0" u="none" strike="noStrike" baseline="-25000"/>
              <a:t>IN(nom)</a:t>
            </a:r>
            <a:endParaRPr lang="en-US" sz="2000">
              <a:latin typeface="Arial" pitchFamily="34" charset="0"/>
              <a:cs typeface="Arial" pitchFamily="34" charset="0"/>
            </a:endParaRPr>
          </a:p>
        </c:rich>
      </c:tx>
      <c:layout>
        <c:manualLayout>
          <c:xMode val="edge"/>
          <c:yMode val="edge"/>
          <c:x val="7.7082846781954192E-2"/>
          <c:y val="1.410996946615792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399604911965282E-2"/>
          <c:y val="0.12372903654825702"/>
          <c:w val="0.82579990228506228"/>
          <c:h val="0.76068566810117366"/>
        </c:manualLayout>
      </c:layout>
      <c:lineChart>
        <c:grouping val="standard"/>
        <c:varyColors val="0"/>
        <c:ser>
          <c:idx val="0"/>
          <c:order val="0"/>
          <c:tx>
            <c:v>Efficiency</c:v>
          </c:tx>
          <c:spPr>
            <a:ln w="28575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  <c:pt idx="41">
                  <c:v>8.1999999999999993</c:v>
                </c:pt>
                <c:pt idx="42">
                  <c:v>8.4</c:v>
                </c:pt>
                <c:pt idx="43">
                  <c:v>8.6</c:v>
                </c:pt>
                <c:pt idx="44">
                  <c:v>8.8000000000000007</c:v>
                </c:pt>
                <c:pt idx="45">
                  <c:v>9</c:v>
                </c:pt>
                <c:pt idx="46">
                  <c:v>9.1999999999999993</c:v>
                </c:pt>
                <c:pt idx="47">
                  <c:v>9.4</c:v>
                </c:pt>
                <c:pt idx="48">
                  <c:v>9.6</c:v>
                </c:pt>
                <c:pt idx="49">
                  <c:v>9.8000000000000007</c:v>
                </c:pt>
                <c:pt idx="50">
                  <c:v>10</c:v>
                </c:pt>
                <c:pt idx="51">
                  <c:v>10.199999999999999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</c:v>
                </c:pt>
                <c:pt idx="81">
                  <c:v>16.2</c:v>
                </c:pt>
                <c:pt idx="82">
                  <c:v>16.399999999999999</c:v>
                </c:pt>
                <c:pt idx="83">
                  <c:v>16.600000000000001</c:v>
                </c:pt>
                <c:pt idx="84">
                  <c:v>16.8</c:v>
                </c:pt>
                <c:pt idx="85">
                  <c:v>17</c:v>
                </c:pt>
                <c:pt idx="86">
                  <c:v>17.2</c:v>
                </c:pt>
                <c:pt idx="87">
                  <c:v>17.399999999999999</c:v>
                </c:pt>
                <c:pt idx="88">
                  <c:v>17.600000000000001</c:v>
                </c:pt>
                <c:pt idx="89">
                  <c:v>17.8</c:v>
                </c:pt>
                <c:pt idx="90">
                  <c:v>18</c:v>
                </c:pt>
                <c:pt idx="91">
                  <c:v>18.2</c:v>
                </c:pt>
                <c:pt idx="92">
                  <c:v>18.399999999999999</c:v>
                </c:pt>
                <c:pt idx="93">
                  <c:v>18.600000000000001</c:v>
                </c:pt>
                <c:pt idx="94">
                  <c:v>18.8</c:v>
                </c:pt>
                <c:pt idx="95">
                  <c:v>19</c:v>
                </c:pt>
                <c:pt idx="96">
                  <c:v>19.2</c:v>
                </c:pt>
                <c:pt idx="97">
                  <c:v>19.399999999999999</c:v>
                </c:pt>
                <c:pt idx="98">
                  <c:v>19.600000000000001</c:v>
                </c:pt>
                <c:pt idx="99">
                  <c:v>19.8</c:v>
                </c:pt>
                <c:pt idx="100">
                  <c:v>20</c:v>
                </c:pt>
              </c:numCache>
            </c:numRef>
          </c:cat>
          <c:val>
            <c:numRef>
              <c:f>'Efficiency vs Load Calculations'!$BH$9:$BH$109</c:f>
              <c:numCache>
                <c:formatCode>0.00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C2-4F15-A46E-B2CB0B1D0C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998336"/>
        <c:axId val="142008704"/>
      </c:lineChart>
      <c:lineChart>
        <c:grouping val="standard"/>
        <c:varyColors val="0"/>
        <c:ser>
          <c:idx val="2"/>
          <c:order val="1"/>
          <c:tx>
            <c:strRef>
              <c:f>'Efficiency vs Load Calculations'!$BK$8</c:f>
              <c:strCache>
                <c:ptCount val="1"/>
                <c:pt idx="0">
                  <c:v>Boost ''Control'' MOSFET Loss</c:v>
                </c:pt>
              </c:strCache>
            </c:strRef>
          </c:tx>
          <c:spPr>
            <a:ln w="38100">
              <a:solidFill>
                <a:srgbClr val="808000"/>
              </a:solidFill>
              <a:prstDash val="sysDash"/>
            </a:ln>
          </c:spPr>
          <c:marker>
            <c:symbol val="none"/>
          </c:marker>
          <c:cat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  <c:pt idx="41">
                  <c:v>8.1999999999999993</c:v>
                </c:pt>
                <c:pt idx="42">
                  <c:v>8.4</c:v>
                </c:pt>
                <c:pt idx="43">
                  <c:v>8.6</c:v>
                </c:pt>
                <c:pt idx="44">
                  <c:v>8.8000000000000007</c:v>
                </c:pt>
                <c:pt idx="45">
                  <c:v>9</c:v>
                </c:pt>
                <c:pt idx="46">
                  <c:v>9.1999999999999993</c:v>
                </c:pt>
                <c:pt idx="47">
                  <c:v>9.4</c:v>
                </c:pt>
                <c:pt idx="48">
                  <c:v>9.6</c:v>
                </c:pt>
                <c:pt idx="49">
                  <c:v>9.8000000000000007</c:v>
                </c:pt>
                <c:pt idx="50">
                  <c:v>10</c:v>
                </c:pt>
                <c:pt idx="51">
                  <c:v>10.199999999999999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</c:v>
                </c:pt>
                <c:pt idx="81">
                  <c:v>16.2</c:v>
                </c:pt>
                <c:pt idx="82">
                  <c:v>16.399999999999999</c:v>
                </c:pt>
                <c:pt idx="83">
                  <c:v>16.600000000000001</c:v>
                </c:pt>
                <c:pt idx="84">
                  <c:v>16.8</c:v>
                </c:pt>
                <c:pt idx="85">
                  <c:v>17</c:v>
                </c:pt>
                <c:pt idx="86">
                  <c:v>17.2</c:v>
                </c:pt>
                <c:pt idx="87">
                  <c:v>17.399999999999999</c:v>
                </c:pt>
                <c:pt idx="88">
                  <c:v>17.600000000000001</c:v>
                </c:pt>
                <c:pt idx="89">
                  <c:v>17.8</c:v>
                </c:pt>
                <c:pt idx="90">
                  <c:v>18</c:v>
                </c:pt>
                <c:pt idx="91">
                  <c:v>18.2</c:v>
                </c:pt>
                <c:pt idx="92">
                  <c:v>18.399999999999999</c:v>
                </c:pt>
                <c:pt idx="93">
                  <c:v>18.600000000000001</c:v>
                </c:pt>
                <c:pt idx="94">
                  <c:v>18.8</c:v>
                </c:pt>
                <c:pt idx="95">
                  <c:v>19</c:v>
                </c:pt>
                <c:pt idx="96">
                  <c:v>19.2</c:v>
                </c:pt>
                <c:pt idx="97">
                  <c:v>19.399999999999999</c:v>
                </c:pt>
                <c:pt idx="98">
                  <c:v>19.600000000000001</c:v>
                </c:pt>
                <c:pt idx="99">
                  <c:v>19.8</c:v>
                </c:pt>
                <c:pt idx="100">
                  <c:v>20</c:v>
                </c:pt>
              </c:numCache>
            </c:numRef>
          </c:cat>
          <c:val>
            <c:numRef>
              <c:f>'Efficiency vs Load Calculations'!$BK$9:$BK$109</c:f>
              <c:numCache>
                <c:formatCode>0.000</c:formatCode>
                <c:ptCount val="101"/>
                <c:pt idx="0">
                  <c:v>1.2110046691915841</c:v>
                </c:pt>
                <c:pt idx="1">
                  <c:v>1.2113569137442224</c:v>
                </c:pt>
                <c:pt idx="2">
                  <c:v>1.2117148798936417</c:v>
                </c:pt>
                <c:pt idx="3">
                  <c:v>1.2120785608594831</c:v>
                </c:pt>
                <c:pt idx="4">
                  <c:v>1.2124479498952296</c:v>
                </c:pt>
                <c:pt idx="5">
                  <c:v>1.2128230402881408</c:v>
                </c:pt>
                <c:pt idx="6">
                  <c:v>1.2132038253591912</c:v>
                </c:pt>
                <c:pt idx="7">
                  <c:v>1.213590298463004</c:v>
                </c:pt>
                <c:pt idx="8">
                  <c:v>1.2139824529877914</c:v>
                </c:pt>
                <c:pt idx="9">
                  <c:v>1.2143802823552896</c:v>
                </c:pt>
                <c:pt idx="10">
                  <c:v>1.2150768085658159</c:v>
                </c:pt>
                <c:pt idx="11">
                  <c:v>1.2178592019906462</c:v>
                </c:pt>
                <c:pt idx="12">
                  <c:v>1.2206473033641174</c:v>
                </c:pt>
                <c:pt idx="13">
                  <c:v>1.2234411130753939</c:v>
                </c:pt>
                <c:pt idx="14">
                  <c:v>1.2262406315475189</c:v>
                </c:pt>
                <c:pt idx="15">
                  <c:v>1.2290458592374183</c:v>
                </c:pt>
                <c:pt idx="16">
                  <c:v>1.2318567966359084</c:v>
                </c:pt>
                <c:pt idx="17">
                  <c:v>1.2346734442677019</c:v>
                </c:pt>
                <c:pt idx="18">
                  <c:v>1.2374958026914173</c:v>
                </c:pt>
                <c:pt idx="19">
                  <c:v>1.2403238724995844</c:v>
                </c:pt>
                <c:pt idx="20">
                  <c:v>1.2431576543186555</c:v>
                </c:pt>
                <c:pt idx="21">
                  <c:v>1.2459971488090125</c:v>
                </c:pt>
                <c:pt idx="22">
                  <c:v>1.2488423566649769</c:v>
                </c:pt>
                <c:pt idx="23">
                  <c:v>1.2516932786148205</c:v>
                </c:pt>
                <c:pt idx="24">
                  <c:v>1.2545499154207751</c:v>
                </c:pt>
                <c:pt idx="25">
                  <c:v>1.2574122678790434</c:v>
                </c:pt>
                <c:pt idx="26">
                  <c:v>1.2602803368198112</c:v>
                </c:pt>
                <c:pt idx="27">
                  <c:v>1.2631541231072594</c:v>
                </c:pt>
                <c:pt idx="28">
                  <c:v>1.2660336276395749</c:v>
                </c:pt>
                <c:pt idx="29">
                  <c:v>1.268918851348966</c:v>
                </c:pt>
                <c:pt idx="30">
                  <c:v>1.2718097952016727</c:v>
                </c:pt>
                <c:pt idx="31">
                  <c:v>1.2747064601979845</c:v>
                </c:pt>
                <c:pt idx="32">
                  <c:v>1.2776088473722516</c:v>
                </c:pt>
                <c:pt idx="33">
                  <c:v>1.280516957792901</c:v>
                </c:pt>
                <c:pt idx="34">
                  <c:v>1.2834307925624524</c:v>
                </c:pt>
                <c:pt idx="35">
                  <c:v>1.2863503528175333</c:v>
                </c:pt>
                <c:pt idx="36">
                  <c:v>1.2892756397288951</c:v>
                </c:pt>
                <c:pt idx="37">
                  <c:v>1.2922066545014317</c:v>
                </c:pt>
                <c:pt idx="38">
                  <c:v>1.2951433983741953</c:v>
                </c:pt>
                <c:pt idx="39">
                  <c:v>1.2980858726204145</c:v>
                </c:pt>
                <c:pt idx="40">
                  <c:v>1.301034078547513</c:v>
                </c:pt>
                <c:pt idx="41">
                  <c:v>1.3039880174971283</c:v>
                </c:pt>
                <c:pt idx="42">
                  <c:v>1.3069476908451325</c:v>
                </c:pt>
                <c:pt idx="43">
                  <c:v>1.3099131000016486</c:v>
                </c:pt>
                <c:pt idx="44">
                  <c:v>1.3128842464110748</c:v>
                </c:pt>
                <c:pt idx="45">
                  <c:v>1.3158611315521034</c:v>
                </c:pt>
                <c:pt idx="46">
                  <c:v>1.3188437569377416</c:v>
                </c:pt>
                <c:pt idx="47">
                  <c:v>1.3218321241153355</c:v>
                </c:pt>
                <c:pt idx="48">
                  <c:v>1.32482623466659</c:v>
                </c:pt>
                <c:pt idx="49">
                  <c:v>1.327826090207594</c:v>
                </c:pt>
                <c:pt idx="50">
                  <c:v>1.3308316923888415</c:v>
                </c:pt>
                <c:pt idx="51">
                  <c:v>1.3338430428952572</c:v>
                </c:pt>
                <c:pt idx="52">
                  <c:v>1.3368601434462204</c:v>
                </c:pt>
                <c:pt idx="53">
                  <c:v>1.3398829957955893</c:v>
                </c:pt>
                <c:pt idx="54">
                  <c:v>1.3429116017317275</c:v>
                </c:pt>
                <c:pt idx="55">
                  <c:v>1.3459459630775283</c:v>
                </c:pt>
                <c:pt idx="56">
                  <c:v>1.3489860816904429</c:v>
                </c:pt>
                <c:pt idx="57">
                  <c:v>1.3520319594625052</c:v>
                </c:pt>
                <c:pt idx="58">
                  <c:v>1.3550835983203624</c:v>
                </c:pt>
                <c:pt idx="59">
                  <c:v>1.3581410002252989</c:v>
                </c:pt>
                <c:pt idx="60">
                  <c:v>1.361204167173268</c:v>
                </c:pt>
                <c:pt idx="61">
                  <c:v>1.364273101194919</c:v>
                </c:pt>
                <c:pt idx="62">
                  <c:v>1.3673478043556277</c:v>
                </c:pt>
                <c:pt idx="63">
                  <c:v>1.3704282787555255</c:v>
                </c:pt>
                <c:pt idx="64">
                  <c:v>1.3735145265295301</c:v>
                </c:pt>
                <c:pt idx="65">
                  <c:v>1.376606549847377</c:v>
                </c:pt>
                <c:pt idx="66">
                  <c:v>1.3797043509136508</c:v>
                </c:pt>
                <c:pt idx="67">
                  <c:v>1.3828079319678164</c:v>
                </c:pt>
                <c:pt idx="68">
                  <c:v>1.3859172952842529</c:v>
                </c:pt>
                <c:pt idx="69">
                  <c:v>1.3890324431722849</c:v>
                </c:pt>
                <c:pt idx="70">
                  <c:v>1.3921533779762179</c:v>
                </c:pt>
                <c:pt idx="71">
                  <c:v>1.3952801020753711</c:v>
                </c:pt>
                <c:pt idx="72">
                  <c:v>1.3984126178841123</c:v>
                </c:pt>
                <c:pt idx="73">
                  <c:v>1.4015509278518943</c:v>
                </c:pt>
                <c:pt idx="74">
                  <c:v>1.4046950344632867</c:v>
                </c:pt>
                <c:pt idx="75">
                  <c:v>1.4078449402380175</c:v>
                </c:pt>
                <c:pt idx="76">
                  <c:v>1.4110006477310053</c:v>
                </c:pt>
                <c:pt idx="77">
                  <c:v>1.4141621595323992</c:v>
                </c:pt>
                <c:pt idx="78">
                  <c:v>1.417329478267614</c:v>
                </c:pt>
                <c:pt idx="79">
                  <c:v>1.4205026065973718</c:v>
                </c:pt>
                <c:pt idx="80">
                  <c:v>1.4236815472177371</c:v>
                </c:pt>
                <c:pt idx="81">
                  <c:v>1.4268663028601596</c:v>
                </c:pt>
                <c:pt idx="82">
                  <c:v>1.4300568762915109</c:v>
                </c:pt>
                <c:pt idx="83">
                  <c:v>1.4332532703141272</c:v>
                </c:pt>
                <c:pt idx="84">
                  <c:v>1.4364554877658491</c:v>
                </c:pt>
                <c:pt idx="85">
                  <c:v>1.439663531520063</c:v>
                </c:pt>
                <c:pt idx="86">
                  <c:v>1.4428774044857433</c:v>
                </c:pt>
                <c:pt idx="87">
                  <c:v>1.4460971096074953</c:v>
                </c:pt>
                <c:pt idx="88">
                  <c:v>1.4493226498655973</c:v>
                </c:pt>
                <c:pt idx="89">
                  <c:v>1.4525540282760452</c:v>
                </c:pt>
                <c:pt idx="90">
                  <c:v>1.4557912478905954</c:v>
                </c:pt>
                <c:pt idx="91">
                  <c:v>1.4590343117968108</c:v>
                </c:pt>
                <c:pt idx="92">
                  <c:v>1.4622832231181049</c:v>
                </c:pt>
                <c:pt idx="93">
                  <c:v>1.4655379850137877</c:v>
                </c:pt>
                <c:pt idx="94">
                  <c:v>1.4687986006791127</c:v>
                </c:pt>
                <c:pt idx="95">
                  <c:v>1.4720650733453231</c:v>
                </c:pt>
                <c:pt idx="96">
                  <c:v>1.4753374062796993</c:v>
                </c:pt>
                <c:pt idx="97">
                  <c:v>1.4786156027856059</c:v>
                </c:pt>
                <c:pt idx="98">
                  <c:v>1.4818996662025425</c:v>
                </c:pt>
                <c:pt idx="99">
                  <c:v>1.4851895999061901</c:v>
                </c:pt>
                <c:pt idx="100">
                  <c:v>1.4884854073084623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C2-4F15-A46E-B2CB0B1D0CAE}"/>
            </c:ext>
          </c:extLst>
        </c:ser>
        <c:ser>
          <c:idx val="3"/>
          <c:order val="2"/>
          <c:tx>
            <c:v>Inductor Loss</c:v>
          </c:tx>
          <c:spPr>
            <a:ln w="38100">
              <a:solidFill>
                <a:srgbClr val="800080"/>
              </a:solidFill>
              <a:prstDash val="dash"/>
            </a:ln>
          </c:spPr>
          <c:marker>
            <c:symbol val="none"/>
          </c:marker>
          <c:cat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  <c:pt idx="41">
                  <c:v>8.1999999999999993</c:v>
                </c:pt>
                <c:pt idx="42">
                  <c:v>8.4</c:v>
                </c:pt>
                <c:pt idx="43">
                  <c:v>8.6</c:v>
                </c:pt>
                <c:pt idx="44">
                  <c:v>8.8000000000000007</c:v>
                </c:pt>
                <c:pt idx="45">
                  <c:v>9</c:v>
                </c:pt>
                <c:pt idx="46">
                  <c:v>9.1999999999999993</c:v>
                </c:pt>
                <c:pt idx="47">
                  <c:v>9.4</c:v>
                </c:pt>
                <c:pt idx="48">
                  <c:v>9.6</c:v>
                </c:pt>
                <c:pt idx="49">
                  <c:v>9.8000000000000007</c:v>
                </c:pt>
                <c:pt idx="50">
                  <c:v>10</c:v>
                </c:pt>
                <c:pt idx="51">
                  <c:v>10.199999999999999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</c:v>
                </c:pt>
                <c:pt idx="81">
                  <c:v>16.2</c:v>
                </c:pt>
                <c:pt idx="82">
                  <c:v>16.399999999999999</c:v>
                </c:pt>
                <c:pt idx="83">
                  <c:v>16.600000000000001</c:v>
                </c:pt>
                <c:pt idx="84">
                  <c:v>16.8</c:v>
                </c:pt>
                <c:pt idx="85">
                  <c:v>17</c:v>
                </c:pt>
                <c:pt idx="86">
                  <c:v>17.2</c:v>
                </c:pt>
                <c:pt idx="87">
                  <c:v>17.399999999999999</c:v>
                </c:pt>
                <c:pt idx="88">
                  <c:v>17.600000000000001</c:v>
                </c:pt>
                <c:pt idx="89">
                  <c:v>17.8</c:v>
                </c:pt>
                <c:pt idx="90">
                  <c:v>18</c:v>
                </c:pt>
                <c:pt idx="91">
                  <c:v>18.2</c:v>
                </c:pt>
                <c:pt idx="92">
                  <c:v>18.399999999999999</c:v>
                </c:pt>
                <c:pt idx="93">
                  <c:v>18.600000000000001</c:v>
                </c:pt>
                <c:pt idx="94">
                  <c:v>18.8</c:v>
                </c:pt>
                <c:pt idx="95">
                  <c:v>19</c:v>
                </c:pt>
                <c:pt idx="96">
                  <c:v>19.2</c:v>
                </c:pt>
                <c:pt idx="97">
                  <c:v>19.399999999999999</c:v>
                </c:pt>
                <c:pt idx="98">
                  <c:v>19.600000000000001</c:v>
                </c:pt>
                <c:pt idx="99">
                  <c:v>19.8</c:v>
                </c:pt>
                <c:pt idx="100">
                  <c:v>20</c:v>
                </c:pt>
              </c:numCache>
            </c:numRef>
          </c:cat>
          <c:val>
            <c:numRef>
              <c:f>'Efficiency vs Load Calculations'!$BI$9:$BI$109</c:f>
              <c:numCache>
                <c:formatCode>0.000</c:formatCode>
                <c:ptCount val="101"/>
                <c:pt idx="0">
                  <c:v>0.49776810399117544</c:v>
                </c:pt>
                <c:pt idx="1">
                  <c:v>0.4977496689499572</c:v>
                </c:pt>
                <c:pt idx="2">
                  <c:v>0.49795641797056961</c:v>
                </c:pt>
                <c:pt idx="3">
                  <c:v>0.49838838744010078</c:v>
                </c:pt>
                <c:pt idx="4">
                  <c:v>0.49904563808419466</c:v>
                </c:pt>
                <c:pt idx="5">
                  <c:v>0.49992825498345672</c:v>
                </c:pt>
                <c:pt idx="6">
                  <c:v>0.50103634759644611</c:v>
                </c:pt>
                <c:pt idx="7">
                  <c:v>0.50237004978926791</c:v>
                </c:pt>
                <c:pt idx="8">
                  <c:v>0.50392951987176926</c:v>
                </c:pt>
                <c:pt idx="9">
                  <c:v>0.50571494064037692</c:v>
                </c:pt>
                <c:pt idx="10">
                  <c:v>0.50772651942757441</c:v>
                </c:pt>
                <c:pt idx="11">
                  <c:v>0.50996448815806927</c:v>
                </c:pt>
                <c:pt idx="12">
                  <c:v>0.51242910341165238</c:v>
                </c:pt>
                <c:pt idx="13">
                  <c:v>0.5151206464928062</c:v>
                </c:pt>
                <c:pt idx="14">
                  <c:v>0.51803942350707755</c:v>
                </c:pt>
                <c:pt idx="15">
                  <c:v>0.52118576544426409</c:v>
                </c:pt>
                <c:pt idx="16">
                  <c:v>0.52456002826845816</c:v>
                </c:pt>
                <c:pt idx="17">
                  <c:v>0.52816259301498392</c:v>
                </c:pt>
                <c:pt idx="18">
                  <c:v>0.53199386589428443</c:v>
                </c:pt>
                <c:pt idx="19">
                  <c:v>0.53605427840281705</c:v>
                </c:pt>
                <c:pt idx="20">
                  <c:v>0.54034428744099749</c:v>
                </c:pt>
                <c:pt idx="21">
                  <c:v>0.5448643754382716</c:v>
                </c:pt>
                <c:pt idx="22">
                  <c:v>0.54961505048536352</c:v>
                </c:pt>
                <c:pt idx="23">
                  <c:v>0.55459684647378016</c:v>
                </c:pt>
                <c:pt idx="24">
                  <c:v>0.55981032324263424</c:v>
                </c:pt>
                <c:pt idx="25">
                  <c:v>0.56525606673286843</c:v>
                </c:pt>
                <c:pt idx="26">
                  <c:v>0.57093468914895817</c:v>
                </c:pt>
                <c:pt idx="27">
                  <c:v>0.57684682912817864</c:v>
                </c:pt>
                <c:pt idx="28">
                  <c:v>0.582993151917513</c:v>
                </c:pt>
                <c:pt idx="29">
                  <c:v>0.58937434955831636</c:v>
                </c:pt>
                <c:pt idx="30">
                  <c:v>0.59599114107881079</c:v>
                </c:pt>
                <c:pt idx="31">
                  <c:v>0.60284427269451635</c:v>
                </c:pt>
                <c:pt idx="32">
                  <c:v>0.60993451801673992</c:v>
                </c:pt>
                <c:pt idx="33">
                  <c:v>0.61726267826920544</c:v>
                </c:pt>
                <c:pt idx="34">
                  <c:v>0.62482958251296183</c:v>
                </c:pt>
                <c:pt idx="35">
                  <c:v>0.63263608787967596</c:v>
                </c:pt>
                <c:pt idx="36">
                  <c:v>0.64068307981343864</c:v>
                </c:pt>
                <c:pt idx="37">
                  <c:v>0.64897147232121422</c:v>
                </c:pt>
                <c:pt idx="38">
                  <c:v>0.65750220823206262</c:v>
                </c:pt>
                <c:pt idx="39">
                  <c:v>0.66627625946527691</c:v>
                </c:pt>
                <c:pt idx="40">
                  <c:v>0.67529462730758238</c:v>
                </c:pt>
                <c:pt idx="41">
                  <c:v>0.68455834269953875</c:v>
                </c:pt>
                <c:pt idx="42">
                  <c:v>0.69406846653131826</c:v>
                </c:pt>
                <c:pt idx="43">
                  <c:v>0.70382608994799245</c:v>
                </c:pt>
                <c:pt idx="44">
                  <c:v>0.71383233466452922</c:v>
                </c:pt>
                <c:pt idx="45">
                  <c:v>0.7240883532906448</c:v>
                </c:pt>
                <c:pt idx="46">
                  <c:v>0.73459532966570174</c:v>
                </c:pt>
                <c:pt idx="47">
                  <c:v>0.74535447920383979</c:v>
                </c:pt>
                <c:pt idx="48">
                  <c:v>0.75636704924952558</c:v>
                </c:pt>
                <c:pt idx="49">
                  <c:v>0.76763431944372584</c:v>
                </c:pt>
                <c:pt idx="50">
                  <c:v>0.77915760210090568</c:v>
                </c:pt>
                <c:pt idx="51">
                  <c:v>0.7909382425970588</c:v>
                </c:pt>
                <c:pt idx="52">
                  <c:v>0.80297761976900772</c:v>
                </c:pt>
                <c:pt idx="53">
                  <c:v>0.81527714632517601</c:v>
                </c:pt>
                <c:pt idx="54">
                  <c:v>0.82783826926808723</c:v>
                </c:pt>
                <c:pt idx="55">
                  <c:v>0.84066247032882191</c:v>
                </c:pt>
                <c:pt idx="56">
                  <c:v>0.85375126641368881</c:v>
                </c:pt>
                <c:pt idx="57">
                  <c:v>0.86710621006336619</c:v>
                </c:pt>
                <c:pt idx="58">
                  <c:v>0.88072888992477916</c:v>
                </c:pt>
                <c:pt idx="59">
                  <c:v>0.89462093123599662</c:v>
                </c:pt>
                <c:pt idx="60">
                  <c:v>0.90878399632442086</c:v>
                </c:pt>
                <c:pt idx="61">
                  <c:v>0.92321978511858038</c:v>
                </c:pt>
                <c:pt idx="62">
                  <c:v>0.93793003567380895</c:v>
                </c:pt>
                <c:pt idx="63">
                  <c:v>0.95291652471215182</c:v>
                </c:pt>
                <c:pt idx="64">
                  <c:v>0.9681810681767985</c:v>
                </c:pt>
                <c:pt idx="65">
                  <c:v>0.98372552180139072</c:v>
                </c:pt>
                <c:pt idx="66">
                  <c:v>0.99955178169455272</c:v>
                </c:pt>
                <c:pt idx="67">
                  <c:v>1.0156617849399914</c:v>
                </c:pt>
                <c:pt idx="68">
                  <c:v>1.0320575102125442</c:v>
                </c:pt>
                <c:pt idx="69">
                  <c:v>1.0487409784105521</c:v>
                </c:pt>
                <c:pt idx="70">
                  <c:v>1.0657142533049491</c:v>
                </c:pt>
                <c:pt idx="71">
                  <c:v>1.0829794422054828</c:v>
                </c:pt>
                <c:pt idx="72">
                  <c:v>1.1005386966444695</c:v>
                </c:pt>
                <c:pt idx="73">
                  <c:v>1.1183942130785338</c:v>
                </c:pt>
                <c:pt idx="74">
                  <c:v>1.1365482336087696</c:v>
                </c:pt>
                <c:pt idx="75">
                  <c:v>1.1550030467197892</c:v>
                </c:pt>
                <c:pt idx="76">
                  <c:v>1.1737609880381301</c:v>
                </c:pt>
                <c:pt idx="77">
                  <c:v>1.1928244411105233</c:v>
                </c:pt>
                <c:pt idx="78">
                  <c:v>1.2121958382025231</c:v>
                </c:pt>
                <c:pt idx="79">
                  <c:v>1.2318776611180198</c:v>
                </c:pt>
                <c:pt idx="80">
                  <c:v>1.2518724420401965</c:v>
                </c:pt>
                <c:pt idx="81">
                  <c:v>1.2721827643944668</c:v>
                </c:pt>
                <c:pt idx="82">
                  <c:v>1.2928112637339866</c:v>
                </c:pt>
                <c:pt idx="83">
                  <c:v>1.3137606286483394</c:v>
                </c:pt>
                <c:pt idx="84">
                  <c:v>1.3350336016959998</c:v>
                </c:pt>
                <c:pt idx="85">
                  <c:v>1.3566329803612329</c:v>
                </c:pt>
                <c:pt idx="86">
                  <c:v>1.3785616180360682</c:v>
                </c:pt>
                <c:pt idx="87">
                  <c:v>1.4008224250280497</c:v>
                </c:pt>
                <c:pt idx="88">
                  <c:v>1.4234183695944489</c:v>
                </c:pt>
                <c:pt idx="89">
                  <c:v>1.4463524790036839</c:v>
                </c:pt>
                <c:pt idx="90">
                  <c:v>1.4696278406246908</c:v>
                </c:pt>
                <c:pt idx="91">
                  <c:v>1.4932476030450181</c:v>
                </c:pt>
                <c:pt idx="92">
                  <c:v>1.5172149772184684</c:v>
                </c:pt>
                <c:pt idx="93">
                  <c:v>1.5415332376430966</c:v>
                </c:pt>
                <c:pt idx="94">
                  <c:v>1.5662057235704383</c:v>
                </c:pt>
                <c:pt idx="95">
                  <c:v>1.5912358402468607</c:v>
                </c:pt>
                <c:pt idx="96">
                  <c:v>1.6166270601879442</c:v>
                </c:pt>
                <c:pt idx="97">
                  <c:v>1.6423829244868526</c:v>
                </c:pt>
                <c:pt idx="98">
                  <c:v>1.6685070441576857</c:v>
                </c:pt>
                <c:pt idx="99">
                  <c:v>1.6950031015148099</c:v>
                </c:pt>
                <c:pt idx="100">
                  <c:v>1.7218748515892479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BC2-4F15-A46E-B2CB0B1D0CAE}"/>
            </c:ext>
          </c:extLst>
        </c:ser>
        <c:ser>
          <c:idx val="1"/>
          <c:order val="3"/>
          <c:tx>
            <c:strRef>
              <c:f>'Efficiency vs Load Calculations'!$BL$8</c:f>
              <c:strCache>
                <c:ptCount val="1"/>
                <c:pt idx="0">
                  <c:v>Boost ''SYNC'' MOSFET Loss</c:v>
                </c:pt>
              </c:strCache>
            </c:strRef>
          </c:tx>
          <c:spPr>
            <a:ln w="38100">
              <a:solidFill>
                <a:srgbClr val="002060"/>
              </a:solidFill>
              <a:prstDash val="sysDot"/>
            </a:ln>
          </c:spPr>
          <c:marker>
            <c:symbol val="none"/>
          </c:marker>
          <c:cat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  <c:pt idx="41">
                  <c:v>8.1999999999999993</c:v>
                </c:pt>
                <c:pt idx="42">
                  <c:v>8.4</c:v>
                </c:pt>
                <c:pt idx="43">
                  <c:v>8.6</c:v>
                </c:pt>
                <c:pt idx="44">
                  <c:v>8.8000000000000007</c:v>
                </c:pt>
                <c:pt idx="45">
                  <c:v>9</c:v>
                </c:pt>
                <c:pt idx="46">
                  <c:v>9.1999999999999993</c:v>
                </c:pt>
                <c:pt idx="47">
                  <c:v>9.4</c:v>
                </c:pt>
                <c:pt idx="48">
                  <c:v>9.6</c:v>
                </c:pt>
                <c:pt idx="49">
                  <c:v>9.8000000000000007</c:v>
                </c:pt>
                <c:pt idx="50">
                  <c:v>10</c:v>
                </c:pt>
                <c:pt idx="51">
                  <c:v>10.199999999999999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</c:v>
                </c:pt>
                <c:pt idx="81">
                  <c:v>16.2</c:v>
                </c:pt>
                <c:pt idx="82">
                  <c:v>16.399999999999999</c:v>
                </c:pt>
                <c:pt idx="83">
                  <c:v>16.600000000000001</c:v>
                </c:pt>
                <c:pt idx="84">
                  <c:v>16.8</c:v>
                </c:pt>
                <c:pt idx="85">
                  <c:v>17</c:v>
                </c:pt>
                <c:pt idx="86">
                  <c:v>17.2</c:v>
                </c:pt>
                <c:pt idx="87">
                  <c:v>17.399999999999999</c:v>
                </c:pt>
                <c:pt idx="88">
                  <c:v>17.600000000000001</c:v>
                </c:pt>
                <c:pt idx="89">
                  <c:v>17.8</c:v>
                </c:pt>
                <c:pt idx="90">
                  <c:v>18</c:v>
                </c:pt>
                <c:pt idx="91">
                  <c:v>18.2</c:v>
                </c:pt>
                <c:pt idx="92">
                  <c:v>18.399999999999999</c:v>
                </c:pt>
                <c:pt idx="93">
                  <c:v>18.600000000000001</c:v>
                </c:pt>
                <c:pt idx="94">
                  <c:v>18.8</c:v>
                </c:pt>
                <c:pt idx="95">
                  <c:v>19</c:v>
                </c:pt>
                <c:pt idx="96">
                  <c:v>19.2</c:v>
                </c:pt>
                <c:pt idx="97">
                  <c:v>19.399999999999999</c:v>
                </c:pt>
                <c:pt idx="98">
                  <c:v>19.600000000000001</c:v>
                </c:pt>
                <c:pt idx="99">
                  <c:v>19.8</c:v>
                </c:pt>
                <c:pt idx="100">
                  <c:v>20</c:v>
                </c:pt>
              </c:numCache>
            </c:numRef>
          </c:cat>
          <c:val>
            <c:numRef>
              <c:f>'Efficiency vs Load Calculations'!$BL$9:$BL$109</c:f>
              <c:numCache>
                <c:formatCode>0.000</c:formatCode>
                <c:ptCount val="101"/>
                <c:pt idx="0">
                  <c:v>3.1450256894118227E-2</c:v>
                </c:pt>
                <c:pt idx="1">
                  <c:v>3.283344669366374E-2</c:v>
                </c:pt>
                <c:pt idx="2">
                  <c:v>3.4260895324936119E-2</c:v>
                </c:pt>
                <c:pt idx="3">
                  <c:v>3.5732606316978374E-2</c:v>
                </c:pt>
                <c:pt idx="4">
                  <c:v>3.7248585558755112E-2</c:v>
                </c:pt>
                <c:pt idx="5">
                  <c:v>3.8808841299935906E-2</c:v>
                </c:pt>
                <c:pt idx="6">
                  <c:v>4.0413384151992894E-2</c:v>
                </c:pt>
                <c:pt idx="7">
                  <c:v>4.2062227089612797E-2</c:v>
                </c:pt>
                <c:pt idx="8">
                  <c:v>4.3755385452423717E-2</c:v>
                </c:pt>
                <c:pt idx="9">
                  <c:v>4.5492876947037179E-2</c:v>
                </c:pt>
                <c:pt idx="10">
                  <c:v>4.7274721649405931E-2</c:v>
                </c:pt>
                <c:pt idx="11">
                  <c:v>4.9100942007497962E-2</c:v>
                </c:pt>
                <c:pt idx="12">
                  <c:v>5.0971562844287596E-2</c:v>
                </c:pt>
                <c:pt idx="13">
                  <c:v>5.2886611361064338E-2</c:v>
                </c:pt>
                <c:pt idx="14">
                  <c:v>5.4846117141060094E-2</c:v>
                </c:pt>
                <c:pt idx="15">
                  <c:v>5.6850112153396068E-2</c:v>
                </c:pt>
                <c:pt idx="16">
                  <c:v>5.889863075734994E-2</c:v>
                </c:pt>
                <c:pt idx="17">
                  <c:v>6.0991709706944633E-2</c:v>
                </c:pt>
                <c:pt idx="18">
                  <c:v>6.3129388155859667E-2</c:v>
                </c:pt>
                <c:pt idx="19">
                  <c:v>6.5311707662666377E-2</c:v>
                </c:pt>
                <c:pt idx="20">
                  <c:v>6.7538712196388448E-2</c:v>
                </c:pt>
                <c:pt idx="21">
                  <c:v>6.981044814238882E-2</c:v>
                </c:pt>
                <c:pt idx="22">
                  <c:v>7.2126964308584798E-2</c:v>
                </c:pt>
                <c:pt idx="23">
                  <c:v>7.4488311931992721E-2</c:v>
                </c:pt>
                <c:pt idx="24">
                  <c:v>7.6894544685603888E-2</c:v>
                </c:pt>
                <c:pt idx="25">
                  <c:v>7.9345718685593342E-2</c:v>
                </c:pt>
                <c:pt idx="26">
                  <c:v>8.1841892498863672E-2</c:v>
                </c:pt>
                <c:pt idx="27">
                  <c:v>8.4383127150925413E-2</c:v>
                </c:pt>
                <c:pt idx="28">
                  <c:v>8.6969486134115814E-2</c:v>
                </c:pt>
                <c:pt idx="29">
                  <c:v>8.9601035416158978E-2</c:v>
                </c:pt>
                <c:pt idx="30">
                  <c:v>9.2277843449068364E-2</c:v>
                </c:pt>
                <c:pt idx="31">
                  <c:v>9.4999981178394588E-2</c:v>
                </c:pt>
                <c:pt idx="32">
                  <c:v>9.7767522052820938E-2</c:v>
                </c:pt>
                <c:pt idx="33">
                  <c:v>0.10058054203410866</c:v>
                </c:pt>
                <c:pt idx="34">
                  <c:v>0.10343911960739469</c:v>
                </c:pt>
                <c:pt idx="35">
                  <c:v>0.10634333579184442</c:v>
                </c:pt>
                <c:pt idx="36">
                  <c:v>0.10929327415166265</c:v>
                </c:pt>
                <c:pt idx="37">
                  <c:v>0.11228902080746456</c:v>
                </c:pt>
                <c:pt idx="38">
                  <c:v>0.11533066444801077</c:v>
                </c:pt>
                <c:pt idx="39">
                  <c:v>0.11841829634230858</c:v>
                </c:pt>
                <c:pt idx="40">
                  <c:v>0.12155201035208291</c:v>
                </c:pt>
                <c:pt idx="41">
                  <c:v>0.12473190294462018</c:v>
                </c:pt>
                <c:pt idx="42">
                  <c:v>0.12795807320598834</c:v>
                </c:pt>
                <c:pt idx="43">
                  <c:v>0.13123062285463633</c:v>
                </c:pt>
                <c:pt idx="44">
                  <c:v>0.13454965625537668</c:v>
                </c:pt>
                <c:pt idx="45">
                  <c:v>0.13791528043375489</c:v>
                </c:pt>
                <c:pt idx="46">
                  <c:v>0.14132760509080927</c:v>
                </c:pt>
                <c:pt idx="47">
                  <c:v>0.1447867426182248</c:v>
                </c:pt>
                <c:pt idx="48">
                  <c:v>0.1482928081138854</c:v>
                </c:pt>
                <c:pt idx="49">
                  <c:v>0.15184591939782868</c:v>
                </c:pt>
                <c:pt idx="50">
                  <c:v>0.15544619702860676</c:v>
                </c:pt>
                <c:pt idx="51">
                  <c:v>0.15909376432005809</c:v>
                </c:pt>
                <c:pt idx="52">
                  <c:v>0.16278874735849447</c:v>
                </c:pt>
                <c:pt idx="53">
                  <c:v>0.16653127502030757</c:v>
                </c:pt>
                <c:pt idx="54">
                  <c:v>0.17032147899000016</c:v>
                </c:pt>
                <c:pt idx="55">
                  <c:v>0.17415949377864595</c:v>
                </c:pt>
                <c:pt idx="56">
                  <c:v>0.17804545674278416</c:v>
                </c:pt>
                <c:pt idx="57">
                  <c:v>0.1819795081037526</c:v>
                </c:pt>
                <c:pt idx="58">
                  <c:v>0.1859617909674651</c:v>
                </c:pt>
                <c:pt idx="59">
                  <c:v>0.18999245134463871</c:v>
                </c:pt>
                <c:pt idx="60">
                  <c:v>0.19407163817147571</c:v>
                </c:pt>
                <c:pt idx="61">
                  <c:v>0.19819950333080602</c:v>
                </c:pt>
                <c:pt idx="62">
                  <c:v>0.20237620167369602</c:v>
                </c:pt>
                <c:pt idx="63">
                  <c:v>0.20660189104152957</c:v>
                </c:pt>
                <c:pt idx="64">
                  <c:v>0.21087673228856668</c:v>
                </c:pt>
                <c:pt idx="65">
                  <c:v>0.21520088930498674</c:v>
                </c:pt>
                <c:pt idx="66">
                  <c:v>0.21957452904042224</c:v>
                </c:pt>
                <c:pt idx="67">
                  <c:v>0.22399782152798967</c:v>
                </c:pt>
                <c:pt idx="68">
                  <c:v>0.22847093990882283</c:v>
                </c:pt>
                <c:pt idx="69">
                  <c:v>0.23299406045711818</c:v>
                </c:pt>
                <c:pt idx="70">
                  <c:v>0.23756736260569611</c:v>
                </c:pt>
                <c:pt idx="71">
                  <c:v>0.24219102897208705</c:v>
                </c:pt>
                <c:pt idx="72">
                  <c:v>0.24686524538514915</c:v>
                </c:pt>
                <c:pt idx="73">
                  <c:v>0.25159020091222445</c:v>
                </c:pt>
                <c:pt idx="74">
                  <c:v>0.25636608788684262</c:v>
                </c:pt>
                <c:pt idx="75">
                  <c:v>0.2611931019369782</c:v>
                </c:pt>
                <c:pt idx="76">
                  <c:v>0.26607144201387056</c:v>
                </c:pt>
                <c:pt idx="77">
                  <c:v>0.27100131042141395</c:v>
                </c:pt>
                <c:pt idx="78">
                  <c:v>0.27598291284612708</c:v>
                </c:pt>
                <c:pt idx="79">
                  <c:v>0.28101645838770961</c:v>
                </c:pt>
                <c:pt idx="80">
                  <c:v>0.28610215959019419</c:v>
                </c:pt>
                <c:pt idx="81">
                  <c:v>0.2912402324737049</c:v>
                </c:pt>
                <c:pt idx="82">
                  <c:v>0.29643089656682819</c:v>
                </c:pt>
                <c:pt idx="83">
                  <c:v>0.30167437493960847</c:v>
                </c:pt>
                <c:pt idx="84">
                  <c:v>0.30697089423717605</c:v>
                </c:pt>
                <c:pt idx="85">
                  <c:v>0.31232068471401842</c:v>
                </c:pt>
                <c:pt idx="86">
                  <c:v>0.31772398026890403</c:v>
                </c:pt>
                <c:pt idx="87">
                  <c:v>0.32318101848046893</c:v>
                </c:pt>
                <c:pt idx="88">
                  <c:v>0.32869204064347779</c:v>
                </c:pt>
                <c:pt idx="89">
                  <c:v>0.33425729180576735</c:v>
                </c:pt>
                <c:pt idx="90">
                  <c:v>0.33987702080588733</c:v>
                </c:pt>
                <c:pt idx="91">
                  <c:v>0.34555148031144584</c:v>
                </c:pt>
                <c:pt idx="92">
                  <c:v>0.35128092685817347</c:v>
                </c:pt>
                <c:pt idx="93">
                  <c:v>0.35706562088971683</c:v>
                </c:pt>
                <c:pt idx="94">
                  <c:v>0.36290582679817279</c:v>
                </c:pt>
                <c:pt idx="95">
                  <c:v>0.36880181296537795</c:v>
                </c:pt>
                <c:pt idx="96">
                  <c:v>0.37475385180496312</c:v>
                </c:pt>
                <c:pt idx="97">
                  <c:v>0.38076221980518699</c:v>
                </c:pt>
                <c:pt idx="98">
                  <c:v>0.3868271975725629</c:v>
                </c:pt>
                <c:pt idx="99">
                  <c:v>0.39294906987628991</c:v>
                </c:pt>
                <c:pt idx="100">
                  <c:v>0.39912812569350409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BC2-4F15-A46E-B2CB0B1D0C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012800"/>
        <c:axId val="142010624"/>
      </c:lineChart>
      <c:catAx>
        <c:axId val="141998336"/>
        <c:scaling>
          <c:orientation val="minMax"/>
        </c:scaling>
        <c:delete val="0"/>
        <c:axPos val="b"/>
        <c:majorGridlines>
          <c:spPr>
            <a:ln w="15875">
              <a:solidFill>
                <a:srgbClr val="969696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300" b="1" i="0" u="none" strike="noStrike" baseline="0">
                    <a:solidFill>
                      <a:srgbClr val="0000FF"/>
                    </a:solidFill>
                    <a:latin typeface="Arial" pitchFamily="34" charset="0"/>
                    <a:ea typeface="Calibri"/>
                    <a:cs typeface="Arial" pitchFamily="34" charset="0"/>
                  </a:defRPr>
                </a:pPr>
                <a:r>
                  <a:rPr lang="en-US" sz="1300">
                    <a:solidFill>
                      <a:srgbClr val="0000FF"/>
                    </a:solidFill>
                    <a:latin typeface="Arial" pitchFamily="34" charset="0"/>
                    <a:cs typeface="Arial" pitchFamily="34" charset="0"/>
                  </a:rPr>
                  <a:t>Load Current (A)</a:t>
                </a:r>
              </a:p>
            </c:rich>
          </c:tx>
          <c:layout>
            <c:manualLayout>
              <c:xMode val="edge"/>
              <c:yMode val="edge"/>
              <c:x val="0.41625343343709942"/>
              <c:y val="0.9457191357373133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in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FF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endParaRPr lang="en-US"/>
          </a:p>
        </c:txPr>
        <c:crossAx val="142008704"/>
        <c:crosses val="autoZero"/>
        <c:auto val="1"/>
        <c:lblAlgn val="ctr"/>
        <c:lblOffset val="100"/>
        <c:tickLblSkip val="20"/>
        <c:tickMarkSkip val="20"/>
        <c:noMultiLvlLbl val="1"/>
      </c:catAx>
      <c:valAx>
        <c:axId val="142008704"/>
        <c:scaling>
          <c:orientation val="minMax"/>
          <c:max val="100"/>
          <c:min val="75"/>
        </c:scaling>
        <c:delete val="0"/>
        <c:axPos val="l"/>
        <c:majorGridlines>
          <c:spPr>
            <a:ln w="15875">
              <a:solidFill>
                <a:srgbClr val="808080"/>
              </a:solidFill>
              <a:prstDash val="solid"/>
            </a:ln>
          </c:spPr>
        </c:majorGridlines>
        <c:minorGridlines/>
        <c:title>
          <c:tx>
            <c:rich>
              <a:bodyPr/>
              <a:lstStyle/>
              <a:p>
                <a:pPr>
                  <a:defRPr sz="1300" b="1" i="0" u="none" strike="noStrike" baseline="0">
                    <a:solidFill>
                      <a:srgbClr val="FF0000"/>
                    </a:solidFill>
                    <a:latin typeface="Arial" pitchFamily="34" charset="0"/>
                    <a:ea typeface="Calibri"/>
                    <a:cs typeface="Arial" pitchFamily="34" charset="0"/>
                  </a:defRPr>
                </a:pPr>
                <a:r>
                  <a:rPr lang="en-US" sz="1300" b="1">
                    <a:solidFill>
                      <a:srgbClr val="FF0000"/>
                    </a:solidFill>
                    <a:latin typeface="Arial" pitchFamily="34" charset="0"/>
                    <a:cs typeface="Arial" pitchFamily="34" charset="0"/>
                  </a:rPr>
                  <a:t>Efficiency (%)</a:t>
                </a:r>
              </a:p>
            </c:rich>
          </c:tx>
          <c:layout>
            <c:manualLayout>
              <c:xMode val="edge"/>
              <c:yMode val="edge"/>
              <c:x val="1.2871858674081443E-2"/>
              <c:y val="0.3763817791568839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FF000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endParaRPr lang="en-US"/>
          </a:p>
        </c:txPr>
        <c:crossAx val="141998336"/>
        <c:crosses val="autoZero"/>
        <c:crossBetween val="between"/>
        <c:majorUnit val="5"/>
        <c:minorUnit val="2.5"/>
      </c:valAx>
      <c:valAx>
        <c:axId val="142010624"/>
        <c:scaling>
          <c:orientation val="minMax"/>
          <c:min val="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 sz="1400" b="1"/>
                </a:pPr>
                <a:r>
                  <a:rPr lang="en-US" sz="1400" b="1"/>
                  <a:t>Power Loss (W)</a:t>
                </a:r>
              </a:p>
            </c:rich>
          </c:tx>
          <c:layout>
            <c:manualLayout>
              <c:xMode val="edge"/>
              <c:yMode val="edge"/>
              <c:x val="0.95594291793250197"/>
              <c:y val="0.37048873366731228"/>
            </c:manualLayout>
          </c:layout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1100" b="1">
                <a:solidFill>
                  <a:sysClr val="windowText" lastClr="000000"/>
                </a:solidFill>
              </a:defRPr>
            </a:pPr>
            <a:endParaRPr lang="en-US"/>
          </a:p>
        </c:txPr>
        <c:crossAx val="142012800"/>
        <c:crosses val="max"/>
        <c:crossBetween val="between"/>
      </c:valAx>
      <c:catAx>
        <c:axId val="142012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2010624"/>
        <c:crosses val="autoZero"/>
        <c:auto val="1"/>
        <c:lblAlgn val="ctr"/>
        <c:lblOffset val="100"/>
        <c:noMultiLvlLbl val="0"/>
      </c:catAx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36120408747265326"/>
          <c:y val="1.1892626175886978E-2"/>
          <c:w val="0.61417999772302789"/>
          <c:h val="9.0576560908423698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Arial" pitchFamily="34" charset="0"/>
              <a:ea typeface="Calibri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solidFill>
        <a:srgbClr val="808080"/>
      </a:solidFill>
    </a:ln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 paperSize="5"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00000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r>
              <a:rPr lang="en-US" sz="2000">
                <a:latin typeface="Arial" pitchFamily="34" charset="0"/>
                <a:cs typeface="Arial" pitchFamily="34" charset="0"/>
                <a:sym typeface="Symbol"/>
              </a:rPr>
              <a:t></a:t>
            </a:r>
            <a:r>
              <a:rPr lang="en-US" sz="2000" b="1" i="0" u="none" strike="noStrike" baseline="0"/>
              <a:t>,  I</a:t>
            </a:r>
            <a:r>
              <a:rPr lang="en-US" sz="2000" b="1" i="0" u="none" strike="noStrike" baseline="-25000"/>
              <a:t>OUT</a:t>
            </a:r>
            <a:r>
              <a:rPr lang="en-US" sz="2000" b="1" i="0" u="none" strike="noStrike" baseline="0"/>
              <a:t> = I</a:t>
            </a:r>
            <a:r>
              <a:rPr lang="en-US" sz="2000" b="1" i="0" u="none" strike="noStrike" baseline="-25000"/>
              <a:t>OUT(max)</a:t>
            </a:r>
            <a:endParaRPr lang="en-US" sz="2000">
              <a:latin typeface="Arial" pitchFamily="34" charset="0"/>
              <a:cs typeface="Arial" pitchFamily="34" charset="0"/>
            </a:endParaRPr>
          </a:p>
        </c:rich>
      </c:tx>
      <c:layout>
        <c:manualLayout>
          <c:xMode val="edge"/>
          <c:yMode val="edge"/>
          <c:x val="7.7082846781954192E-2"/>
          <c:y val="1.410996946615792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399604911965282E-2"/>
          <c:y val="0.12372903654825702"/>
          <c:w val="0.82579990228506228"/>
          <c:h val="0.76068566810117366"/>
        </c:manualLayout>
      </c:layout>
      <c:lineChart>
        <c:grouping val="standard"/>
        <c:varyColors val="0"/>
        <c:ser>
          <c:idx val="0"/>
          <c:order val="0"/>
          <c:tx>
            <c:v>Efficiency</c:v>
          </c:tx>
          <c:spPr>
            <a:ln w="3175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9.1950000000000003</c:v>
                </c:pt>
                <c:pt idx="2">
                  <c:v>9.39</c:v>
                </c:pt>
                <c:pt idx="3">
                  <c:v>9.5850000000000009</c:v>
                </c:pt>
                <c:pt idx="4">
                  <c:v>9.7799999999999994</c:v>
                </c:pt>
                <c:pt idx="5">
                  <c:v>9.9749999999999996</c:v>
                </c:pt>
                <c:pt idx="6">
                  <c:v>10.17</c:v>
                </c:pt>
                <c:pt idx="7">
                  <c:v>10.365</c:v>
                </c:pt>
                <c:pt idx="8">
                  <c:v>10.56</c:v>
                </c:pt>
                <c:pt idx="9">
                  <c:v>10.754999999999999</c:v>
                </c:pt>
                <c:pt idx="10">
                  <c:v>10.95</c:v>
                </c:pt>
                <c:pt idx="11">
                  <c:v>11.145</c:v>
                </c:pt>
                <c:pt idx="12">
                  <c:v>11.34</c:v>
                </c:pt>
                <c:pt idx="13">
                  <c:v>11.535</c:v>
                </c:pt>
                <c:pt idx="14">
                  <c:v>11.73</c:v>
                </c:pt>
                <c:pt idx="15">
                  <c:v>11.925000000000001</c:v>
                </c:pt>
                <c:pt idx="16">
                  <c:v>12.120000000000001</c:v>
                </c:pt>
                <c:pt idx="17">
                  <c:v>12.315000000000001</c:v>
                </c:pt>
                <c:pt idx="18">
                  <c:v>12.51</c:v>
                </c:pt>
                <c:pt idx="19">
                  <c:v>12.705</c:v>
                </c:pt>
                <c:pt idx="20">
                  <c:v>12.9</c:v>
                </c:pt>
                <c:pt idx="21">
                  <c:v>13.094999999999999</c:v>
                </c:pt>
                <c:pt idx="22">
                  <c:v>13.29</c:v>
                </c:pt>
                <c:pt idx="23">
                  <c:v>13.484999999999999</c:v>
                </c:pt>
                <c:pt idx="24">
                  <c:v>13.68</c:v>
                </c:pt>
                <c:pt idx="25">
                  <c:v>13.875</c:v>
                </c:pt>
                <c:pt idx="26">
                  <c:v>14.07</c:v>
                </c:pt>
                <c:pt idx="27">
                  <c:v>14.265000000000001</c:v>
                </c:pt>
                <c:pt idx="28">
                  <c:v>14.46</c:v>
                </c:pt>
                <c:pt idx="29">
                  <c:v>14.654999999999999</c:v>
                </c:pt>
                <c:pt idx="30">
                  <c:v>14.85</c:v>
                </c:pt>
                <c:pt idx="31">
                  <c:v>15.045</c:v>
                </c:pt>
                <c:pt idx="32">
                  <c:v>15.24</c:v>
                </c:pt>
                <c:pt idx="33">
                  <c:v>15.435</c:v>
                </c:pt>
                <c:pt idx="34">
                  <c:v>15.63</c:v>
                </c:pt>
                <c:pt idx="35">
                  <c:v>15.824999999999999</c:v>
                </c:pt>
                <c:pt idx="36">
                  <c:v>16.02</c:v>
                </c:pt>
                <c:pt idx="37">
                  <c:v>16.215</c:v>
                </c:pt>
                <c:pt idx="38">
                  <c:v>16.41</c:v>
                </c:pt>
                <c:pt idx="39">
                  <c:v>16.605</c:v>
                </c:pt>
                <c:pt idx="40">
                  <c:v>16.8</c:v>
                </c:pt>
                <c:pt idx="41">
                  <c:v>16.994999999999997</c:v>
                </c:pt>
                <c:pt idx="42">
                  <c:v>17.189999999999998</c:v>
                </c:pt>
                <c:pt idx="43">
                  <c:v>17.384999999999998</c:v>
                </c:pt>
                <c:pt idx="44">
                  <c:v>17.579999999999998</c:v>
                </c:pt>
                <c:pt idx="45">
                  <c:v>17.774999999999999</c:v>
                </c:pt>
                <c:pt idx="46">
                  <c:v>17.97</c:v>
                </c:pt>
                <c:pt idx="47">
                  <c:v>18.164999999999999</c:v>
                </c:pt>
                <c:pt idx="48">
                  <c:v>18.36</c:v>
                </c:pt>
                <c:pt idx="49">
                  <c:v>18.555</c:v>
                </c:pt>
                <c:pt idx="50">
                  <c:v>18.75</c:v>
                </c:pt>
                <c:pt idx="51">
                  <c:v>18.945</c:v>
                </c:pt>
                <c:pt idx="52">
                  <c:v>19.14</c:v>
                </c:pt>
                <c:pt idx="53">
                  <c:v>19.335000000000001</c:v>
                </c:pt>
                <c:pt idx="54">
                  <c:v>19.53</c:v>
                </c:pt>
                <c:pt idx="55">
                  <c:v>19.725000000000001</c:v>
                </c:pt>
                <c:pt idx="56">
                  <c:v>19.920000000000002</c:v>
                </c:pt>
                <c:pt idx="57">
                  <c:v>20.114999999999998</c:v>
                </c:pt>
                <c:pt idx="58">
                  <c:v>20.309999999999999</c:v>
                </c:pt>
                <c:pt idx="59">
                  <c:v>20.504999999999999</c:v>
                </c:pt>
                <c:pt idx="60">
                  <c:v>20.7</c:v>
                </c:pt>
                <c:pt idx="61">
                  <c:v>20.895</c:v>
                </c:pt>
                <c:pt idx="62">
                  <c:v>21.09</c:v>
                </c:pt>
                <c:pt idx="63">
                  <c:v>21.285</c:v>
                </c:pt>
                <c:pt idx="64">
                  <c:v>21.48</c:v>
                </c:pt>
                <c:pt idx="65">
                  <c:v>21.675000000000001</c:v>
                </c:pt>
                <c:pt idx="66">
                  <c:v>21.87</c:v>
                </c:pt>
                <c:pt idx="67">
                  <c:v>22.065000000000001</c:v>
                </c:pt>
                <c:pt idx="68">
                  <c:v>22.26</c:v>
                </c:pt>
                <c:pt idx="69">
                  <c:v>22.454999999999998</c:v>
                </c:pt>
                <c:pt idx="70">
                  <c:v>22.65</c:v>
                </c:pt>
                <c:pt idx="71">
                  <c:v>22.844999999999999</c:v>
                </c:pt>
                <c:pt idx="72">
                  <c:v>23.04</c:v>
                </c:pt>
                <c:pt idx="73">
                  <c:v>23.234999999999999</c:v>
                </c:pt>
                <c:pt idx="74">
                  <c:v>23.43</c:v>
                </c:pt>
                <c:pt idx="75">
                  <c:v>23.625</c:v>
                </c:pt>
                <c:pt idx="76">
                  <c:v>23.82</c:v>
                </c:pt>
                <c:pt idx="77">
                  <c:v>24.015000000000001</c:v>
                </c:pt>
                <c:pt idx="78">
                  <c:v>24.21</c:v>
                </c:pt>
                <c:pt idx="79">
                  <c:v>24.405000000000001</c:v>
                </c:pt>
                <c:pt idx="80">
                  <c:v>24.6</c:v>
                </c:pt>
                <c:pt idx="81">
                  <c:v>24.795000000000002</c:v>
                </c:pt>
                <c:pt idx="82">
                  <c:v>24.99</c:v>
                </c:pt>
                <c:pt idx="83">
                  <c:v>25.184999999999999</c:v>
                </c:pt>
                <c:pt idx="84">
                  <c:v>25.38</c:v>
                </c:pt>
                <c:pt idx="85">
                  <c:v>25.574999999999999</c:v>
                </c:pt>
                <c:pt idx="86">
                  <c:v>25.77</c:v>
                </c:pt>
                <c:pt idx="87">
                  <c:v>25.965</c:v>
                </c:pt>
                <c:pt idx="88">
                  <c:v>26.16</c:v>
                </c:pt>
                <c:pt idx="89">
                  <c:v>26.355</c:v>
                </c:pt>
                <c:pt idx="90">
                  <c:v>26.55</c:v>
                </c:pt>
                <c:pt idx="91">
                  <c:v>26.745000000000001</c:v>
                </c:pt>
                <c:pt idx="92">
                  <c:v>26.94</c:v>
                </c:pt>
                <c:pt idx="93">
                  <c:v>27.135000000000002</c:v>
                </c:pt>
                <c:pt idx="94">
                  <c:v>27.33</c:v>
                </c:pt>
                <c:pt idx="95">
                  <c:v>27.524999999999999</c:v>
                </c:pt>
                <c:pt idx="96">
                  <c:v>27.72</c:v>
                </c:pt>
                <c:pt idx="97">
                  <c:v>27.914999999999999</c:v>
                </c:pt>
                <c:pt idx="98">
                  <c:v>28.11</c:v>
                </c:pt>
                <c:pt idx="99">
                  <c:v>28.305</c:v>
                </c:pt>
                <c:pt idx="100">
                  <c:v>28.5</c:v>
                </c:pt>
                <c:pt idx="101">
                  <c:v>28.695</c:v>
                </c:pt>
                <c:pt idx="102">
                  <c:v>28.89</c:v>
                </c:pt>
                <c:pt idx="103">
                  <c:v>29.085000000000001</c:v>
                </c:pt>
                <c:pt idx="104">
                  <c:v>29.28</c:v>
                </c:pt>
                <c:pt idx="105">
                  <c:v>29.475000000000001</c:v>
                </c:pt>
                <c:pt idx="106">
                  <c:v>29.67</c:v>
                </c:pt>
                <c:pt idx="107">
                  <c:v>29.865000000000002</c:v>
                </c:pt>
                <c:pt idx="108">
                  <c:v>30.060000000000002</c:v>
                </c:pt>
                <c:pt idx="109">
                  <c:v>30.255000000000003</c:v>
                </c:pt>
                <c:pt idx="110">
                  <c:v>30.450000000000003</c:v>
                </c:pt>
                <c:pt idx="111">
                  <c:v>30.645000000000003</c:v>
                </c:pt>
                <c:pt idx="112">
                  <c:v>30.840000000000003</c:v>
                </c:pt>
                <c:pt idx="113">
                  <c:v>31.034999999999997</c:v>
                </c:pt>
                <c:pt idx="114">
                  <c:v>31.229999999999997</c:v>
                </c:pt>
                <c:pt idx="115">
                  <c:v>31.424999999999997</c:v>
                </c:pt>
                <c:pt idx="116">
                  <c:v>31.619999999999997</c:v>
                </c:pt>
                <c:pt idx="117">
                  <c:v>31.814999999999998</c:v>
                </c:pt>
                <c:pt idx="118">
                  <c:v>32.01</c:v>
                </c:pt>
                <c:pt idx="119">
                  <c:v>32.204999999999998</c:v>
                </c:pt>
                <c:pt idx="120">
                  <c:v>32.4</c:v>
                </c:pt>
                <c:pt idx="121">
                  <c:v>32.594999999999999</c:v>
                </c:pt>
                <c:pt idx="122">
                  <c:v>32.79</c:v>
                </c:pt>
                <c:pt idx="123">
                  <c:v>32.984999999999999</c:v>
                </c:pt>
                <c:pt idx="124">
                  <c:v>33.18</c:v>
                </c:pt>
                <c:pt idx="125">
                  <c:v>33.375</c:v>
                </c:pt>
                <c:pt idx="126">
                  <c:v>33.57</c:v>
                </c:pt>
                <c:pt idx="127">
                  <c:v>33.765000000000001</c:v>
                </c:pt>
                <c:pt idx="128">
                  <c:v>33.96</c:v>
                </c:pt>
                <c:pt idx="129">
                  <c:v>34.155000000000001</c:v>
                </c:pt>
                <c:pt idx="130">
                  <c:v>34.35</c:v>
                </c:pt>
                <c:pt idx="131">
                  <c:v>34.545000000000002</c:v>
                </c:pt>
                <c:pt idx="132">
                  <c:v>34.74</c:v>
                </c:pt>
                <c:pt idx="133">
                  <c:v>34.935000000000002</c:v>
                </c:pt>
                <c:pt idx="134">
                  <c:v>35.130000000000003</c:v>
                </c:pt>
                <c:pt idx="135">
                  <c:v>35.325000000000003</c:v>
                </c:pt>
                <c:pt idx="136">
                  <c:v>35.520000000000003</c:v>
                </c:pt>
                <c:pt idx="137">
                  <c:v>35.715000000000003</c:v>
                </c:pt>
                <c:pt idx="138">
                  <c:v>35.909999999999997</c:v>
                </c:pt>
                <c:pt idx="139">
                  <c:v>36.104999999999997</c:v>
                </c:pt>
                <c:pt idx="140">
                  <c:v>36.299999999999997</c:v>
                </c:pt>
                <c:pt idx="141">
                  <c:v>36.494999999999997</c:v>
                </c:pt>
                <c:pt idx="142">
                  <c:v>36.69</c:v>
                </c:pt>
                <c:pt idx="143">
                  <c:v>36.884999999999998</c:v>
                </c:pt>
                <c:pt idx="144">
                  <c:v>37.08</c:v>
                </c:pt>
                <c:pt idx="145">
                  <c:v>37.274999999999999</c:v>
                </c:pt>
                <c:pt idx="146">
                  <c:v>37.47</c:v>
                </c:pt>
                <c:pt idx="147">
                  <c:v>37.664999999999999</c:v>
                </c:pt>
                <c:pt idx="148">
                  <c:v>37.86</c:v>
                </c:pt>
                <c:pt idx="149">
                  <c:v>38.055</c:v>
                </c:pt>
                <c:pt idx="150">
                  <c:v>38.25</c:v>
                </c:pt>
                <c:pt idx="151">
                  <c:v>38.445</c:v>
                </c:pt>
                <c:pt idx="152">
                  <c:v>38.64</c:v>
                </c:pt>
                <c:pt idx="153">
                  <c:v>38.835000000000001</c:v>
                </c:pt>
                <c:pt idx="154">
                  <c:v>39.03</c:v>
                </c:pt>
                <c:pt idx="155">
                  <c:v>39.225000000000001</c:v>
                </c:pt>
                <c:pt idx="156">
                  <c:v>39.42</c:v>
                </c:pt>
                <c:pt idx="157">
                  <c:v>39.615000000000002</c:v>
                </c:pt>
                <c:pt idx="158">
                  <c:v>39.81</c:v>
                </c:pt>
                <c:pt idx="159">
                  <c:v>40.005000000000003</c:v>
                </c:pt>
                <c:pt idx="160">
                  <c:v>40.200000000000003</c:v>
                </c:pt>
                <c:pt idx="161">
                  <c:v>40.395000000000003</c:v>
                </c:pt>
                <c:pt idx="162">
                  <c:v>40.590000000000003</c:v>
                </c:pt>
                <c:pt idx="163">
                  <c:v>40.784999999999997</c:v>
                </c:pt>
                <c:pt idx="164">
                  <c:v>40.98</c:v>
                </c:pt>
                <c:pt idx="165">
                  <c:v>41.174999999999997</c:v>
                </c:pt>
                <c:pt idx="166">
                  <c:v>41.37</c:v>
                </c:pt>
                <c:pt idx="167">
                  <c:v>41.564999999999998</c:v>
                </c:pt>
                <c:pt idx="168">
                  <c:v>41.76</c:v>
                </c:pt>
                <c:pt idx="169">
                  <c:v>41.954999999999998</c:v>
                </c:pt>
                <c:pt idx="170">
                  <c:v>42.15</c:v>
                </c:pt>
                <c:pt idx="171">
                  <c:v>42.344999999999999</c:v>
                </c:pt>
                <c:pt idx="172">
                  <c:v>42.54</c:v>
                </c:pt>
                <c:pt idx="173">
                  <c:v>42.734999999999999</c:v>
                </c:pt>
                <c:pt idx="174">
                  <c:v>42.93</c:v>
                </c:pt>
                <c:pt idx="175">
                  <c:v>43.125</c:v>
                </c:pt>
                <c:pt idx="176">
                  <c:v>43.32</c:v>
                </c:pt>
                <c:pt idx="177">
                  <c:v>43.515000000000001</c:v>
                </c:pt>
                <c:pt idx="178">
                  <c:v>43.71</c:v>
                </c:pt>
                <c:pt idx="179">
                  <c:v>43.905000000000001</c:v>
                </c:pt>
                <c:pt idx="180">
                  <c:v>44.1</c:v>
                </c:pt>
                <c:pt idx="181">
                  <c:v>44.295000000000002</c:v>
                </c:pt>
                <c:pt idx="182">
                  <c:v>44.49</c:v>
                </c:pt>
                <c:pt idx="183">
                  <c:v>44.685000000000002</c:v>
                </c:pt>
                <c:pt idx="184">
                  <c:v>44.88</c:v>
                </c:pt>
                <c:pt idx="185">
                  <c:v>45.075000000000003</c:v>
                </c:pt>
                <c:pt idx="186">
                  <c:v>45.27</c:v>
                </c:pt>
                <c:pt idx="187">
                  <c:v>45.465000000000003</c:v>
                </c:pt>
                <c:pt idx="188">
                  <c:v>45.66</c:v>
                </c:pt>
                <c:pt idx="189">
                  <c:v>45.854999999999997</c:v>
                </c:pt>
                <c:pt idx="190">
                  <c:v>46.05</c:v>
                </c:pt>
                <c:pt idx="191">
                  <c:v>46.244999999999997</c:v>
                </c:pt>
                <c:pt idx="192">
                  <c:v>46.44</c:v>
                </c:pt>
                <c:pt idx="193">
                  <c:v>46.634999999999998</c:v>
                </c:pt>
                <c:pt idx="194">
                  <c:v>46.83</c:v>
                </c:pt>
                <c:pt idx="195">
                  <c:v>47.024999999999999</c:v>
                </c:pt>
                <c:pt idx="196">
                  <c:v>47.22</c:v>
                </c:pt>
                <c:pt idx="197">
                  <c:v>47.414999999999999</c:v>
                </c:pt>
                <c:pt idx="198">
                  <c:v>47.61</c:v>
                </c:pt>
                <c:pt idx="199">
                  <c:v>47.805</c:v>
                </c:pt>
                <c:pt idx="200">
                  <c:v>48</c:v>
                </c:pt>
              </c:numCache>
            </c:numRef>
          </c:cat>
          <c:val>
            <c:numRef>
              <c:f>'Efficiency vs VIN Calculations'!$BH$9:$BH$209</c:f>
              <c:numCache>
                <c:formatCode>0.00</c:formatCode>
                <c:ptCount val="2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01-4995-8D1B-32BA3094CE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945856"/>
        <c:axId val="157947776"/>
      </c:lineChart>
      <c:lineChart>
        <c:grouping val="standard"/>
        <c:varyColors val="0"/>
        <c:ser>
          <c:idx val="3"/>
          <c:order val="1"/>
          <c:tx>
            <c:v>Inductor Loss</c:v>
          </c:tx>
          <c:spPr>
            <a:ln w="38100">
              <a:solidFill>
                <a:srgbClr val="800080"/>
              </a:solidFill>
              <a:prstDash val="dash"/>
            </a:ln>
          </c:spPr>
          <c:marker>
            <c:symbol val="none"/>
          </c:marker>
          <c:cat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9.1950000000000003</c:v>
                </c:pt>
                <c:pt idx="2">
                  <c:v>9.39</c:v>
                </c:pt>
                <c:pt idx="3">
                  <c:v>9.5850000000000009</c:v>
                </c:pt>
                <c:pt idx="4">
                  <c:v>9.7799999999999994</c:v>
                </c:pt>
                <c:pt idx="5">
                  <c:v>9.9749999999999996</c:v>
                </c:pt>
                <c:pt idx="6">
                  <c:v>10.17</c:v>
                </c:pt>
                <c:pt idx="7">
                  <c:v>10.365</c:v>
                </c:pt>
                <c:pt idx="8">
                  <c:v>10.56</c:v>
                </c:pt>
                <c:pt idx="9">
                  <c:v>10.754999999999999</c:v>
                </c:pt>
                <c:pt idx="10">
                  <c:v>10.95</c:v>
                </c:pt>
                <c:pt idx="11">
                  <c:v>11.145</c:v>
                </c:pt>
                <c:pt idx="12">
                  <c:v>11.34</c:v>
                </c:pt>
                <c:pt idx="13">
                  <c:v>11.535</c:v>
                </c:pt>
                <c:pt idx="14">
                  <c:v>11.73</c:v>
                </c:pt>
                <c:pt idx="15">
                  <c:v>11.925000000000001</c:v>
                </c:pt>
                <c:pt idx="16">
                  <c:v>12.120000000000001</c:v>
                </c:pt>
                <c:pt idx="17">
                  <c:v>12.315000000000001</c:v>
                </c:pt>
                <c:pt idx="18">
                  <c:v>12.51</c:v>
                </c:pt>
                <c:pt idx="19">
                  <c:v>12.705</c:v>
                </c:pt>
                <c:pt idx="20">
                  <c:v>12.9</c:v>
                </c:pt>
                <c:pt idx="21">
                  <c:v>13.094999999999999</c:v>
                </c:pt>
                <c:pt idx="22">
                  <c:v>13.29</c:v>
                </c:pt>
                <c:pt idx="23">
                  <c:v>13.484999999999999</c:v>
                </c:pt>
                <c:pt idx="24">
                  <c:v>13.68</c:v>
                </c:pt>
                <c:pt idx="25">
                  <c:v>13.875</c:v>
                </c:pt>
                <c:pt idx="26">
                  <c:v>14.07</c:v>
                </c:pt>
                <c:pt idx="27">
                  <c:v>14.265000000000001</c:v>
                </c:pt>
                <c:pt idx="28">
                  <c:v>14.46</c:v>
                </c:pt>
                <c:pt idx="29">
                  <c:v>14.654999999999999</c:v>
                </c:pt>
                <c:pt idx="30">
                  <c:v>14.85</c:v>
                </c:pt>
                <c:pt idx="31">
                  <c:v>15.045</c:v>
                </c:pt>
                <c:pt idx="32">
                  <c:v>15.24</c:v>
                </c:pt>
                <c:pt idx="33">
                  <c:v>15.435</c:v>
                </c:pt>
                <c:pt idx="34">
                  <c:v>15.63</c:v>
                </c:pt>
                <c:pt idx="35">
                  <c:v>15.824999999999999</c:v>
                </c:pt>
                <c:pt idx="36">
                  <c:v>16.02</c:v>
                </c:pt>
                <c:pt idx="37">
                  <c:v>16.215</c:v>
                </c:pt>
                <c:pt idx="38">
                  <c:v>16.41</c:v>
                </c:pt>
                <c:pt idx="39">
                  <c:v>16.605</c:v>
                </c:pt>
                <c:pt idx="40">
                  <c:v>16.8</c:v>
                </c:pt>
                <c:pt idx="41">
                  <c:v>16.994999999999997</c:v>
                </c:pt>
                <c:pt idx="42">
                  <c:v>17.189999999999998</c:v>
                </c:pt>
                <c:pt idx="43">
                  <c:v>17.384999999999998</c:v>
                </c:pt>
                <c:pt idx="44">
                  <c:v>17.579999999999998</c:v>
                </c:pt>
                <c:pt idx="45">
                  <c:v>17.774999999999999</c:v>
                </c:pt>
                <c:pt idx="46">
                  <c:v>17.97</c:v>
                </c:pt>
                <c:pt idx="47">
                  <c:v>18.164999999999999</c:v>
                </c:pt>
                <c:pt idx="48">
                  <c:v>18.36</c:v>
                </c:pt>
                <c:pt idx="49">
                  <c:v>18.555</c:v>
                </c:pt>
                <c:pt idx="50">
                  <c:v>18.75</c:v>
                </c:pt>
                <c:pt idx="51">
                  <c:v>18.945</c:v>
                </c:pt>
                <c:pt idx="52">
                  <c:v>19.14</c:v>
                </c:pt>
                <c:pt idx="53">
                  <c:v>19.335000000000001</c:v>
                </c:pt>
                <c:pt idx="54">
                  <c:v>19.53</c:v>
                </c:pt>
                <c:pt idx="55">
                  <c:v>19.725000000000001</c:v>
                </c:pt>
                <c:pt idx="56">
                  <c:v>19.920000000000002</c:v>
                </c:pt>
                <c:pt idx="57">
                  <c:v>20.114999999999998</c:v>
                </c:pt>
                <c:pt idx="58">
                  <c:v>20.309999999999999</c:v>
                </c:pt>
                <c:pt idx="59">
                  <c:v>20.504999999999999</c:v>
                </c:pt>
                <c:pt idx="60">
                  <c:v>20.7</c:v>
                </c:pt>
                <c:pt idx="61">
                  <c:v>20.895</c:v>
                </c:pt>
                <c:pt idx="62">
                  <c:v>21.09</c:v>
                </c:pt>
                <c:pt idx="63">
                  <c:v>21.285</c:v>
                </c:pt>
                <c:pt idx="64">
                  <c:v>21.48</c:v>
                </c:pt>
                <c:pt idx="65">
                  <c:v>21.675000000000001</c:v>
                </c:pt>
                <c:pt idx="66">
                  <c:v>21.87</c:v>
                </c:pt>
                <c:pt idx="67">
                  <c:v>22.065000000000001</c:v>
                </c:pt>
                <c:pt idx="68">
                  <c:v>22.26</c:v>
                </c:pt>
                <c:pt idx="69">
                  <c:v>22.454999999999998</c:v>
                </c:pt>
                <c:pt idx="70">
                  <c:v>22.65</c:v>
                </c:pt>
                <c:pt idx="71">
                  <c:v>22.844999999999999</c:v>
                </c:pt>
                <c:pt idx="72">
                  <c:v>23.04</c:v>
                </c:pt>
                <c:pt idx="73">
                  <c:v>23.234999999999999</c:v>
                </c:pt>
                <c:pt idx="74">
                  <c:v>23.43</c:v>
                </c:pt>
                <c:pt idx="75">
                  <c:v>23.625</c:v>
                </c:pt>
                <c:pt idx="76">
                  <c:v>23.82</c:v>
                </c:pt>
                <c:pt idx="77">
                  <c:v>24.015000000000001</c:v>
                </c:pt>
                <c:pt idx="78">
                  <c:v>24.21</c:v>
                </c:pt>
                <c:pt idx="79">
                  <c:v>24.405000000000001</c:v>
                </c:pt>
                <c:pt idx="80">
                  <c:v>24.6</c:v>
                </c:pt>
                <c:pt idx="81">
                  <c:v>24.795000000000002</c:v>
                </c:pt>
                <c:pt idx="82">
                  <c:v>24.99</c:v>
                </c:pt>
                <c:pt idx="83">
                  <c:v>25.184999999999999</c:v>
                </c:pt>
                <c:pt idx="84">
                  <c:v>25.38</c:v>
                </c:pt>
                <c:pt idx="85">
                  <c:v>25.574999999999999</c:v>
                </c:pt>
                <c:pt idx="86">
                  <c:v>25.77</c:v>
                </c:pt>
                <c:pt idx="87">
                  <c:v>25.965</c:v>
                </c:pt>
                <c:pt idx="88">
                  <c:v>26.16</c:v>
                </c:pt>
                <c:pt idx="89">
                  <c:v>26.355</c:v>
                </c:pt>
                <c:pt idx="90">
                  <c:v>26.55</c:v>
                </c:pt>
                <c:pt idx="91">
                  <c:v>26.745000000000001</c:v>
                </c:pt>
                <c:pt idx="92">
                  <c:v>26.94</c:v>
                </c:pt>
                <c:pt idx="93">
                  <c:v>27.135000000000002</c:v>
                </c:pt>
                <c:pt idx="94">
                  <c:v>27.33</c:v>
                </c:pt>
                <c:pt idx="95">
                  <c:v>27.524999999999999</c:v>
                </c:pt>
                <c:pt idx="96">
                  <c:v>27.72</c:v>
                </c:pt>
                <c:pt idx="97">
                  <c:v>27.914999999999999</c:v>
                </c:pt>
                <c:pt idx="98">
                  <c:v>28.11</c:v>
                </c:pt>
                <c:pt idx="99">
                  <c:v>28.305</c:v>
                </c:pt>
                <c:pt idx="100">
                  <c:v>28.5</c:v>
                </c:pt>
                <c:pt idx="101">
                  <c:v>28.695</c:v>
                </c:pt>
                <c:pt idx="102">
                  <c:v>28.89</c:v>
                </c:pt>
                <c:pt idx="103">
                  <c:v>29.085000000000001</c:v>
                </c:pt>
                <c:pt idx="104">
                  <c:v>29.28</c:v>
                </c:pt>
                <c:pt idx="105">
                  <c:v>29.475000000000001</c:v>
                </c:pt>
                <c:pt idx="106">
                  <c:v>29.67</c:v>
                </c:pt>
                <c:pt idx="107">
                  <c:v>29.865000000000002</c:v>
                </c:pt>
                <c:pt idx="108">
                  <c:v>30.060000000000002</c:v>
                </c:pt>
                <c:pt idx="109">
                  <c:v>30.255000000000003</c:v>
                </c:pt>
                <c:pt idx="110">
                  <c:v>30.450000000000003</c:v>
                </c:pt>
                <c:pt idx="111">
                  <c:v>30.645000000000003</c:v>
                </c:pt>
                <c:pt idx="112">
                  <c:v>30.840000000000003</c:v>
                </c:pt>
                <c:pt idx="113">
                  <c:v>31.034999999999997</c:v>
                </c:pt>
                <c:pt idx="114">
                  <c:v>31.229999999999997</c:v>
                </c:pt>
                <c:pt idx="115">
                  <c:v>31.424999999999997</c:v>
                </c:pt>
                <c:pt idx="116">
                  <c:v>31.619999999999997</c:v>
                </c:pt>
                <c:pt idx="117">
                  <c:v>31.814999999999998</c:v>
                </c:pt>
                <c:pt idx="118">
                  <c:v>32.01</c:v>
                </c:pt>
                <c:pt idx="119">
                  <c:v>32.204999999999998</c:v>
                </c:pt>
                <c:pt idx="120">
                  <c:v>32.4</c:v>
                </c:pt>
                <c:pt idx="121">
                  <c:v>32.594999999999999</c:v>
                </c:pt>
                <c:pt idx="122">
                  <c:v>32.79</c:v>
                </c:pt>
                <c:pt idx="123">
                  <c:v>32.984999999999999</c:v>
                </c:pt>
                <c:pt idx="124">
                  <c:v>33.18</c:v>
                </c:pt>
                <c:pt idx="125">
                  <c:v>33.375</c:v>
                </c:pt>
                <c:pt idx="126">
                  <c:v>33.57</c:v>
                </c:pt>
                <c:pt idx="127">
                  <c:v>33.765000000000001</c:v>
                </c:pt>
                <c:pt idx="128">
                  <c:v>33.96</c:v>
                </c:pt>
                <c:pt idx="129">
                  <c:v>34.155000000000001</c:v>
                </c:pt>
                <c:pt idx="130">
                  <c:v>34.35</c:v>
                </c:pt>
                <c:pt idx="131">
                  <c:v>34.545000000000002</c:v>
                </c:pt>
                <c:pt idx="132">
                  <c:v>34.74</c:v>
                </c:pt>
                <c:pt idx="133">
                  <c:v>34.935000000000002</c:v>
                </c:pt>
                <c:pt idx="134">
                  <c:v>35.130000000000003</c:v>
                </c:pt>
                <c:pt idx="135">
                  <c:v>35.325000000000003</c:v>
                </c:pt>
                <c:pt idx="136">
                  <c:v>35.520000000000003</c:v>
                </c:pt>
                <c:pt idx="137">
                  <c:v>35.715000000000003</c:v>
                </c:pt>
                <c:pt idx="138">
                  <c:v>35.909999999999997</c:v>
                </c:pt>
                <c:pt idx="139">
                  <c:v>36.104999999999997</c:v>
                </c:pt>
                <c:pt idx="140">
                  <c:v>36.299999999999997</c:v>
                </c:pt>
                <c:pt idx="141">
                  <c:v>36.494999999999997</c:v>
                </c:pt>
                <c:pt idx="142">
                  <c:v>36.69</c:v>
                </c:pt>
                <c:pt idx="143">
                  <c:v>36.884999999999998</c:v>
                </c:pt>
                <c:pt idx="144">
                  <c:v>37.08</c:v>
                </c:pt>
                <c:pt idx="145">
                  <c:v>37.274999999999999</c:v>
                </c:pt>
                <c:pt idx="146">
                  <c:v>37.47</c:v>
                </c:pt>
                <c:pt idx="147">
                  <c:v>37.664999999999999</c:v>
                </c:pt>
                <c:pt idx="148">
                  <c:v>37.86</c:v>
                </c:pt>
                <c:pt idx="149">
                  <c:v>38.055</c:v>
                </c:pt>
                <c:pt idx="150">
                  <c:v>38.25</c:v>
                </c:pt>
                <c:pt idx="151">
                  <c:v>38.445</c:v>
                </c:pt>
                <c:pt idx="152">
                  <c:v>38.64</c:v>
                </c:pt>
                <c:pt idx="153">
                  <c:v>38.835000000000001</c:v>
                </c:pt>
                <c:pt idx="154">
                  <c:v>39.03</c:v>
                </c:pt>
                <c:pt idx="155">
                  <c:v>39.225000000000001</c:v>
                </c:pt>
                <c:pt idx="156">
                  <c:v>39.42</c:v>
                </c:pt>
                <c:pt idx="157">
                  <c:v>39.615000000000002</c:v>
                </c:pt>
                <c:pt idx="158">
                  <c:v>39.81</c:v>
                </c:pt>
                <c:pt idx="159">
                  <c:v>40.005000000000003</c:v>
                </c:pt>
                <c:pt idx="160">
                  <c:v>40.200000000000003</c:v>
                </c:pt>
                <c:pt idx="161">
                  <c:v>40.395000000000003</c:v>
                </c:pt>
                <c:pt idx="162">
                  <c:v>40.590000000000003</c:v>
                </c:pt>
                <c:pt idx="163">
                  <c:v>40.784999999999997</c:v>
                </c:pt>
                <c:pt idx="164">
                  <c:v>40.98</c:v>
                </c:pt>
                <c:pt idx="165">
                  <c:v>41.174999999999997</c:v>
                </c:pt>
                <c:pt idx="166">
                  <c:v>41.37</c:v>
                </c:pt>
                <c:pt idx="167">
                  <c:v>41.564999999999998</c:v>
                </c:pt>
                <c:pt idx="168">
                  <c:v>41.76</c:v>
                </c:pt>
                <c:pt idx="169">
                  <c:v>41.954999999999998</c:v>
                </c:pt>
                <c:pt idx="170">
                  <c:v>42.15</c:v>
                </c:pt>
                <c:pt idx="171">
                  <c:v>42.344999999999999</c:v>
                </c:pt>
                <c:pt idx="172">
                  <c:v>42.54</c:v>
                </c:pt>
                <c:pt idx="173">
                  <c:v>42.734999999999999</c:v>
                </c:pt>
                <c:pt idx="174">
                  <c:v>42.93</c:v>
                </c:pt>
                <c:pt idx="175">
                  <c:v>43.125</c:v>
                </c:pt>
                <c:pt idx="176">
                  <c:v>43.32</c:v>
                </c:pt>
                <c:pt idx="177">
                  <c:v>43.515000000000001</c:v>
                </c:pt>
                <c:pt idx="178">
                  <c:v>43.71</c:v>
                </c:pt>
                <c:pt idx="179">
                  <c:v>43.905000000000001</c:v>
                </c:pt>
                <c:pt idx="180">
                  <c:v>44.1</c:v>
                </c:pt>
                <c:pt idx="181">
                  <c:v>44.295000000000002</c:v>
                </c:pt>
                <c:pt idx="182">
                  <c:v>44.49</c:v>
                </c:pt>
                <c:pt idx="183">
                  <c:v>44.685000000000002</c:v>
                </c:pt>
                <c:pt idx="184">
                  <c:v>44.88</c:v>
                </c:pt>
                <c:pt idx="185">
                  <c:v>45.075000000000003</c:v>
                </c:pt>
                <c:pt idx="186">
                  <c:v>45.27</c:v>
                </c:pt>
                <c:pt idx="187">
                  <c:v>45.465000000000003</c:v>
                </c:pt>
                <c:pt idx="188">
                  <c:v>45.66</c:v>
                </c:pt>
                <c:pt idx="189">
                  <c:v>45.854999999999997</c:v>
                </c:pt>
                <c:pt idx="190">
                  <c:v>46.05</c:v>
                </c:pt>
                <c:pt idx="191">
                  <c:v>46.244999999999997</c:v>
                </c:pt>
                <c:pt idx="192">
                  <c:v>46.44</c:v>
                </c:pt>
                <c:pt idx="193">
                  <c:v>46.634999999999998</c:v>
                </c:pt>
                <c:pt idx="194">
                  <c:v>46.83</c:v>
                </c:pt>
                <c:pt idx="195">
                  <c:v>47.024999999999999</c:v>
                </c:pt>
                <c:pt idx="196">
                  <c:v>47.22</c:v>
                </c:pt>
                <c:pt idx="197">
                  <c:v>47.414999999999999</c:v>
                </c:pt>
                <c:pt idx="198">
                  <c:v>47.61</c:v>
                </c:pt>
                <c:pt idx="199">
                  <c:v>47.805</c:v>
                </c:pt>
                <c:pt idx="200">
                  <c:v>48</c:v>
                </c:pt>
              </c:numCache>
            </c:numRef>
          </c:cat>
          <c:val>
            <c:numRef>
              <c:f>'Efficiency vs VIN Calculations'!$BI$9:$BI$209</c:f>
              <c:numCache>
                <c:formatCode>0.000</c:formatCode>
                <c:ptCount val="201"/>
                <c:pt idx="0">
                  <c:v>3.4908929390705121</c:v>
                </c:pt>
                <c:pt idx="1">
                  <c:v>3.3024721077507024</c:v>
                </c:pt>
                <c:pt idx="2">
                  <c:v>3.1237042404750555</c:v>
                </c:pt>
                <c:pt idx="3">
                  <c:v>2.9538212420106733</c:v>
                </c:pt>
                <c:pt idx="4">
                  <c:v>2.7922337060383193</c:v>
                </c:pt>
                <c:pt idx="5">
                  <c:v>2.6385032008913396</c:v>
                </c:pt>
                <c:pt idx="6">
                  <c:v>2.4923189897460234</c:v>
                </c:pt>
                <c:pt idx="7">
                  <c:v>2.3534781310450961</c:v>
                </c:pt>
                <c:pt idx="8">
                  <c:v>2.2218681176955029</c:v>
                </c:pt>
                <c:pt idx="9">
                  <c:v>2.097451359513903</c:v>
                </c:pt>
                <c:pt idx="10">
                  <c:v>1.9802509041926799</c:v>
                </c:pt>
                <c:pt idx="11">
                  <c:v>1.8703368314510944</c:v>
                </c:pt>
                <c:pt idx="12">
                  <c:v>1.7678127373361887</c:v>
                </c:pt>
                <c:pt idx="13">
                  <c:v>1.6728016304573969</c:v>
                </c:pt>
                <c:pt idx="14">
                  <c:v>1.5854303402980039</c:v>
                </c:pt>
                <c:pt idx="15">
                  <c:v>1.7979206026566903</c:v>
                </c:pt>
                <c:pt idx="16">
                  <c:v>1.6072530971384311</c:v>
                </c:pt>
                <c:pt idx="17">
                  <c:v>1.4403486410598532</c:v>
                </c:pt>
                <c:pt idx="18">
                  <c:v>1.2985830372965503</c:v>
                </c:pt>
                <c:pt idx="19">
                  <c:v>1.182930827561482</c:v>
                </c:pt>
                <c:pt idx="20">
                  <c:v>1.0737220079062386</c:v>
                </c:pt>
                <c:pt idx="21">
                  <c:v>1.0821139205611299</c:v>
                </c:pt>
                <c:pt idx="22">
                  <c:v>1.1102956636835928</c:v>
                </c:pt>
                <c:pt idx="23">
                  <c:v>1.1609034676684347</c:v>
                </c:pt>
                <c:pt idx="24">
                  <c:v>1.2347077419864094</c:v>
                </c:pt>
                <c:pt idx="25">
                  <c:v>1.3316796451942992</c:v>
                </c:pt>
                <c:pt idx="26">
                  <c:v>1.4513553275430509</c:v>
                </c:pt>
                <c:pt idx="27">
                  <c:v>1.5930153583489761</c:v>
                </c:pt>
                <c:pt idx="28">
                  <c:v>1.7557874920596763</c:v>
                </c:pt>
                <c:pt idx="29">
                  <c:v>1.1832342310723576</c:v>
                </c:pt>
                <c:pt idx="30">
                  <c:v>1.2287570641843715</c:v>
                </c:pt>
                <c:pt idx="31">
                  <c:v>1.2783677601858328</c:v>
                </c:pt>
                <c:pt idx="32">
                  <c:v>1.3318361747744933</c:v>
                </c:pt>
                <c:pt idx="33">
                  <c:v>1.388935201882264</c:v>
                </c:pt>
                <c:pt idx="34">
                  <c:v>1.4494428655533893</c:v>
                </c:pt>
                <c:pt idx="35">
                  <c:v>1.5131437477603153</c:v>
                </c:pt>
                <c:pt idx="36">
                  <c:v>1.5798299366234572</c:v>
                </c:pt>
                <c:pt idx="37">
                  <c:v>1.649301624436641</c:v>
                </c:pt>
                <c:pt idx="38">
                  <c:v>1.721367448190686</c:v>
                </c:pt>
                <c:pt idx="39">
                  <c:v>1.795844640122112</c:v>
                </c:pt>
                <c:pt idx="40">
                  <c:v>1.8725590381545736</c:v>
                </c:pt>
                <c:pt idx="41">
                  <c:v>1.9513449934623031</c:v>
                </c:pt>
                <c:pt idx="42">
                  <c:v>2.0320452031880927</c:v>
                </c:pt>
                <c:pt idx="43">
                  <c:v>2.1145104895609315</c:v>
                </c:pt>
                <c:pt idx="44">
                  <c:v>2.1985995415886435</c:v>
                </c:pt>
                <c:pt idx="45">
                  <c:v>2.2841786316754296</c:v>
                </c:pt>
                <c:pt idx="46">
                  <c:v>2.371121316602685</c:v>
                </c:pt>
                <c:pt idx="47">
                  <c:v>2.4593081300796547</c:v>
                </c:pt>
                <c:pt idx="48">
                  <c:v>2.5486262723494777</c:v>
                </c:pt>
                <c:pt idx="49">
                  <c:v>2.6389693010025166</c:v>
                </c:pt>
                <c:pt idx="50">
                  <c:v>2.7302368261118528</c:v>
                </c:pt>
                <c:pt idx="51">
                  <c:v>2.8223342119970063</c:v>
                </c:pt>
                <c:pt idx="52">
                  <c:v>2.9151722872902934</c:v>
                </c:pt>
                <c:pt idx="53">
                  <c:v>3.008667064486529</c:v>
                </c:pt>
                <c:pt idx="54">
                  <c:v>3.1027394697712651</c:v>
                </c:pt>
                <c:pt idx="55">
                  <c:v>3.1973150836220618</c:v>
                </c:pt>
                <c:pt idx="56">
                  <c:v>3.2923238924438953</c:v>
                </c:pt>
                <c:pt idx="57">
                  <c:v>3.3877000513190838</c:v>
                </c:pt>
                <c:pt idx="58">
                  <c:v>3.4833816578137555</c:v>
                </c:pt>
                <c:pt idx="59">
                  <c:v>3.5793105366775078</c:v>
                </c:pt>
                <c:pt idx="60">
                  <c:v>3.6754320351942651</c:v>
                </c:pt>
                <c:pt idx="61">
                  <c:v>3.7716948288844989</c:v>
                </c:pt>
                <c:pt idx="62">
                  <c:v>3.8680507372178421</c:v>
                </c:pt>
                <c:pt idx="63">
                  <c:v>3.9644545489672103</c:v>
                </c:pt>
                <c:pt idx="64">
                  <c:v>4.0608638568178668</c:v>
                </c:pt>
                <c:pt idx="65">
                  <c:v>4.1572389008355008</c:v>
                </c:pt>
                <c:pt idx="66">
                  <c:v>4.2535424203943712</c:v>
                </c:pt>
                <c:pt idx="67">
                  <c:v>4.3497395141683057</c:v>
                </c:pt>
                <c:pt idx="68">
                  <c:v>4.4457975077931984</c:v>
                </c:pt>
                <c:pt idx="69">
                  <c:v>4.5416858288179744</c:v>
                </c:pt>
                <c:pt idx="70">
                  <c:v>4.6373758885718228</c:v>
                </c:pt>
                <c:pt idx="71">
                  <c:v>4.7328409705874375</c:v>
                </c:pt>
                <c:pt idx="72">
                  <c:v>4.8280561252335197</c:v>
                </c:pt>
                <c:pt idx="73">
                  <c:v>4.9229980702233016</c:v>
                </c:pt>
                <c:pt idx="74">
                  <c:v>5.0176450966804733</c:v>
                </c:pt>
                <c:pt idx="75">
                  <c:v>5.1119769804580999</c:v>
                </c:pt>
                <c:pt idx="76">
                  <c:v>5.2059748984204521</c:v>
                </c:pt>
                <c:pt idx="77">
                  <c:v>5.299621349412007</c:v>
                </c:pt>
                <c:pt idx="78">
                  <c:v>5.3929000796515787</c:v>
                </c:pt>
                <c:pt idx="79">
                  <c:v>5.4857960123032088</c:v>
                </c:pt>
                <c:pt idx="80">
                  <c:v>5.5782951809883379</c:v>
                </c:pt>
                <c:pt idx="81">
                  <c:v>5.6703846670166369</c:v>
                </c:pt>
                <c:pt idx="82">
                  <c:v>5.7620525401246541</c:v>
                </c:pt>
                <c:pt idx="83">
                  <c:v>5.8532878025233623</c:v>
                </c:pt>
                <c:pt idx="84">
                  <c:v>5.944080336066472</c:v>
                </c:pt>
                <c:pt idx="85">
                  <c:v>6.0344208523621203</c:v>
                </c:pt>
                <c:pt idx="86">
                  <c:v>6.12430084566037</c:v>
                </c:pt>
                <c:pt idx="87">
                  <c:v>6.2137125483587994</c:v>
                </c:pt>
                <c:pt idx="88">
                  <c:v>6.3026488889769556</c:v>
                </c:pt>
                <c:pt idx="89">
                  <c:v>6.3911034524596513</c:v>
                </c:pt>
                <c:pt idx="90">
                  <c:v>6.4790704426765142</c:v>
                </c:pt>
                <c:pt idx="91">
                  <c:v>6.5665446469933766</c:v>
                </c:pt>
                <c:pt idx="92">
                  <c:v>6.6535214027979173</c:v>
                </c:pt>
                <c:pt idx="93">
                  <c:v>6.7399965658689718</c:v>
                </c:pt>
                <c:pt idx="94">
                  <c:v>6.8259664804853415</c:v>
                </c:pt>
                <c:pt idx="95">
                  <c:v>6.9114279511758641</c:v>
                </c:pt>
                <c:pt idx="96">
                  <c:v>6.9963782160183641</c:v>
                </c:pt>
                <c:pt idx="97">
                  <c:v>7.0808149214003198</c:v>
                </c:pt>
                <c:pt idx="98">
                  <c:v>7.1647360981592882</c:v>
                </c:pt>
                <c:pt idx="99">
                  <c:v>7.2481401390257663</c:v>
                </c:pt>
                <c:pt idx="100">
                  <c:v>7.3310257772956895</c:v>
                </c:pt>
                <c:pt idx="101">
                  <c:v>7.4133920666640645</c:v>
                </c:pt>
                <c:pt idx="102">
                  <c:v>7.495238362155062</c:v>
                </c:pt>
                <c:pt idx="103">
                  <c:v>7.5765643020876503</c:v>
                </c:pt>
                <c:pt idx="104">
                  <c:v>7.6573697910195904</c:v>
                </c:pt>
                <c:pt idx="105">
                  <c:v>7.737654983615518</c:v>
                </c:pt>
                <c:pt idx="106">
                  <c:v>7.8174202693882533</c:v>
                </c:pt>
                <c:pt idx="107">
                  <c:v>7.896666258265375</c:v>
                </c:pt>
                <c:pt idx="108">
                  <c:v>7.9753937669356212</c:v>
                </c:pt>
                <c:pt idx="109">
                  <c:v>8.0536038059325641</c:v>
                </c:pt>
                <c:pt idx="110">
                  <c:v>8.1312975674152348</c:v>
                </c:pt>
                <c:pt idx="111">
                  <c:v>8.2084764136076558</c:v>
                </c:pt>
                <c:pt idx="112">
                  <c:v>8.285141865861652</c:v>
                </c:pt>
                <c:pt idx="113">
                  <c:v>8.3612955943089702</c:v>
                </c:pt>
                <c:pt idx="114">
                  <c:v>8.436939408070824</c:v>
                </c:pt>
                <c:pt idx="115">
                  <c:v>8.5120752459949465</c:v>
                </c:pt>
                <c:pt idx="116">
                  <c:v>8.5867051678915214</c:v>
                </c:pt>
                <c:pt idx="117">
                  <c:v>8.6608313462413928</c:v>
                </c:pt>
                <c:pt idx="118">
                  <c:v>8.7344560583510447</c:v>
                </c:pt>
                <c:pt idx="119">
                  <c:v>8.8075816789306476</c:v>
                </c:pt>
                <c:pt idx="120">
                  <c:v>8.8802106730723498</c:v>
                </c:pt>
                <c:pt idx="121">
                  <c:v>8.9523455896077984</c:v>
                </c:pt>
                <c:pt idx="122">
                  <c:v>9.0239890548244457</c:v>
                </c:pt>
                <c:pt idx="123">
                  <c:v>9.0951437665217814</c:v>
                </c:pt>
                <c:pt idx="124">
                  <c:v>9.1658124883894683</c:v>
                </c:pt>
                <c:pt idx="125">
                  <c:v>9.235998044690346</c:v>
                </c:pt>
                <c:pt idx="126">
                  <c:v>9.3057033152322131</c:v>
                </c:pt>
                <c:pt idx="127">
                  <c:v>9.3749312306132655</c:v>
                </c:pt>
                <c:pt idx="128">
                  <c:v>9.4436847677267863</c:v>
                </c:pt>
                <c:pt idx="129">
                  <c:v>9.5119669455113627</c:v>
                </c:pt>
                <c:pt idx="130">
                  <c:v>9.5797808209340118</c:v>
                </c:pt>
                <c:pt idx="131">
                  <c:v>9.6471294851938865</c:v>
                </c:pt>
                <c:pt idx="132">
                  <c:v>9.7140160601350516</c:v>
                </c:pt>
                <c:pt idx="133">
                  <c:v>9.7804436948574587</c:v>
                </c:pt>
                <c:pt idx="134">
                  <c:v>9.8464155625158813</c:v>
                </c:pt>
                <c:pt idx="135">
                  <c:v>9.9119348572969521</c:v>
                </c:pt>
                <c:pt idx="136">
                  <c:v>9.9770047915650064</c:v>
                </c:pt>
                <c:pt idx="137">
                  <c:v>10.041628593168276</c:v>
                </c:pt>
                <c:pt idx="138">
                  <c:v>10.105809502896649</c:v>
                </c:pt>
                <c:pt idx="139">
                  <c:v>10.169550772083678</c:v>
                </c:pt>
                <c:pt idx="140">
                  <c:v>10.232855660344955</c:v>
                </c:pt>
                <c:pt idx="141">
                  <c:v>10.295727433446114</c:v>
                </c:pt>
                <c:pt idx="142">
                  <c:v>10.358169361293662</c:v>
                </c:pt>
                <c:pt idx="143">
                  <c:v>10.420184716042206</c:v>
                </c:pt>
                <c:pt idx="144">
                  <c:v>10.481776770312276</c:v>
                </c:pt>
                <c:pt idx="145">
                  <c:v>10.542948795512931</c:v>
                </c:pt>
                <c:pt idx="146">
                  <c:v>10.603704060263803</c:v>
                </c:pt>
                <c:pt idx="147">
                  <c:v>10.664045828911402</c:v>
                </c:pt>
                <c:pt idx="148">
                  <c:v>10.72397736013497</c:v>
                </c:pt>
                <c:pt idx="149">
                  <c:v>10.783501905637033</c:v>
                </c:pt>
                <c:pt idx="150">
                  <c:v>10.842622708914632</c:v>
                </c:pt>
                <c:pt idx="151">
                  <c:v>10.901343004106808</c:v>
                </c:pt>
                <c:pt idx="152">
                  <c:v>10.959666014914529</c:v>
                </c:pt>
                <c:pt idx="153">
                  <c:v>11.017594953589345</c:v>
                </c:pt>
                <c:pt idx="154">
                  <c:v>11.075133019987181</c:v>
                </c:pt>
                <c:pt idx="155">
                  <c:v>11.132283400683955</c:v>
                </c:pt>
                <c:pt idx="156">
                  <c:v>11.189049268149866</c:v>
                </c:pt>
                <c:pt idx="157">
                  <c:v>11.245433779979189</c:v>
                </c:pt>
                <c:pt idx="158">
                  <c:v>11.301440078172947</c:v>
                </c:pt>
                <c:pt idx="159">
                  <c:v>11.357071288471374</c:v>
                </c:pt>
                <c:pt idx="160">
                  <c:v>11.412330519734041</c:v>
                </c:pt>
                <c:pt idx="161">
                  <c:v>11.467220863364769</c:v>
                </c:pt>
                <c:pt idx="162">
                  <c:v>11.521745392779254</c:v>
                </c:pt>
                <c:pt idx="163">
                  <c:v>11.575907162913005</c:v>
                </c:pt>
                <c:pt idx="164">
                  <c:v>11.629709209767748</c:v>
                </c:pt>
                <c:pt idx="165">
                  <c:v>11.683154549993967</c:v>
                </c:pt>
                <c:pt idx="166">
                  <c:v>11.736246180507941</c:v>
                </c:pt>
                <c:pt idx="167">
                  <c:v>11.788987078141322</c:v>
                </c:pt>
                <c:pt idx="168">
                  <c:v>11.841380199321678</c:v>
                </c:pt>
                <c:pt idx="169">
                  <c:v>11.893428479782166</c:v>
                </c:pt>
                <c:pt idx="170">
                  <c:v>11.945134834299047</c:v>
                </c:pt>
                <c:pt idx="171">
                  <c:v>11.996502156455264</c:v>
                </c:pt>
                <c:pt idx="172">
                  <c:v>12.047533318429021</c:v>
                </c:pt>
                <c:pt idx="173">
                  <c:v>12.098231170805729</c:v>
                </c:pt>
                <c:pt idx="174">
                  <c:v>12.148598542412271</c:v>
                </c:pt>
                <c:pt idx="175">
                  <c:v>12.198638240172302</c:v>
                </c:pt>
                <c:pt idx="176">
                  <c:v>12.248353048981322</c:v>
                </c:pt>
                <c:pt idx="177">
                  <c:v>12.297745731600751</c:v>
                </c:pt>
                <c:pt idx="178">
                  <c:v>12.346819028569646</c:v>
                </c:pt>
                <c:pt idx="179">
                  <c:v>12.395575658133243</c:v>
                </c:pt>
                <c:pt idx="180">
                  <c:v>12.444018316187371</c:v>
                </c:pt>
                <c:pt idx="181">
                  <c:v>12.492149676237862</c:v>
                </c:pt>
                <c:pt idx="182">
                  <c:v>12.53997238937411</c:v>
                </c:pt>
                <c:pt idx="183">
                  <c:v>12.587489084255843</c:v>
                </c:pt>
                <c:pt idx="184">
                  <c:v>12.634702367112673</c:v>
                </c:pt>
                <c:pt idx="185">
                  <c:v>12.681614821755323</c:v>
                </c:pt>
                <c:pt idx="186">
                  <c:v>12.728229009598136</c:v>
                </c:pt>
                <c:pt idx="187">
                  <c:v>12.77454746969196</c:v>
                </c:pt>
                <c:pt idx="188">
                  <c:v>12.82057271876708</c:v>
                </c:pt>
                <c:pt idx="189">
                  <c:v>12.866307251285306</c:v>
                </c:pt>
                <c:pt idx="190">
                  <c:v>12.911753539500923</c:v>
                </c:pt>
                <c:pt idx="191">
                  <c:v>12.956914033529733</c:v>
                </c:pt>
                <c:pt idx="192">
                  <c:v>13.001791161425825</c:v>
                </c:pt>
                <c:pt idx="193">
                  <c:v>13.046387329265599</c:v>
                </c:pt>
                <c:pt idx="194">
                  <c:v>13.090704921238496</c:v>
                </c:pt>
                <c:pt idx="195">
                  <c:v>13.134746299744041</c:v>
                </c:pt>
                <c:pt idx="196">
                  <c:v>13.17851380549491</c:v>
                </c:pt>
                <c:pt idx="197">
                  <c:v>13.222009757625221</c:v>
                </c:pt>
                <c:pt idx="198">
                  <c:v>13.265236453804365</c:v>
                </c:pt>
                <c:pt idx="199">
                  <c:v>13.308196170355208</c:v>
                </c:pt>
                <c:pt idx="200">
                  <c:v>13.350891162377138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01-4995-8D1B-32BA3094CE07}"/>
            </c:ext>
          </c:extLst>
        </c:ser>
        <c:ser>
          <c:idx val="2"/>
          <c:order val="2"/>
          <c:tx>
            <c:v>Total MOSFET Loss</c:v>
          </c:tx>
          <c:spPr>
            <a:ln w="38100">
              <a:solidFill>
                <a:srgbClr val="808000"/>
              </a:solidFill>
              <a:prstDash val="sysDash"/>
            </a:ln>
          </c:spPr>
          <c:marker>
            <c:symbol val="none"/>
          </c:marker>
          <c:cat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9.1950000000000003</c:v>
                </c:pt>
                <c:pt idx="2">
                  <c:v>9.39</c:v>
                </c:pt>
                <c:pt idx="3">
                  <c:v>9.5850000000000009</c:v>
                </c:pt>
                <c:pt idx="4">
                  <c:v>9.7799999999999994</c:v>
                </c:pt>
                <c:pt idx="5">
                  <c:v>9.9749999999999996</c:v>
                </c:pt>
                <c:pt idx="6">
                  <c:v>10.17</c:v>
                </c:pt>
                <c:pt idx="7">
                  <c:v>10.365</c:v>
                </c:pt>
                <c:pt idx="8">
                  <c:v>10.56</c:v>
                </c:pt>
                <c:pt idx="9">
                  <c:v>10.754999999999999</c:v>
                </c:pt>
                <c:pt idx="10">
                  <c:v>10.95</c:v>
                </c:pt>
                <c:pt idx="11">
                  <c:v>11.145</c:v>
                </c:pt>
                <c:pt idx="12">
                  <c:v>11.34</c:v>
                </c:pt>
                <c:pt idx="13">
                  <c:v>11.535</c:v>
                </c:pt>
                <c:pt idx="14">
                  <c:v>11.73</c:v>
                </c:pt>
                <c:pt idx="15">
                  <c:v>11.925000000000001</c:v>
                </c:pt>
                <c:pt idx="16">
                  <c:v>12.120000000000001</c:v>
                </c:pt>
                <c:pt idx="17">
                  <c:v>12.315000000000001</c:v>
                </c:pt>
                <c:pt idx="18">
                  <c:v>12.51</c:v>
                </c:pt>
                <c:pt idx="19">
                  <c:v>12.705</c:v>
                </c:pt>
                <c:pt idx="20">
                  <c:v>12.9</c:v>
                </c:pt>
                <c:pt idx="21">
                  <c:v>13.094999999999999</c:v>
                </c:pt>
                <c:pt idx="22">
                  <c:v>13.29</c:v>
                </c:pt>
                <c:pt idx="23">
                  <c:v>13.484999999999999</c:v>
                </c:pt>
                <c:pt idx="24">
                  <c:v>13.68</c:v>
                </c:pt>
                <c:pt idx="25">
                  <c:v>13.875</c:v>
                </c:pt>
                <c:pt idx="26">
                  <c:v>14.07</c:v>
                </c:pt>
                <c:pt idx="27">
                  <c:v>14.265000000000001</c:v>
                </c:pt>
                <c:pt idx="28">
                  <c:v>14.46</c:v>
                </c:pt>
                <c:pt idx="29">
                  <c:v>14.654999999999999</c:v>
                </c:pt>
                <c:pt idx="30">
                  <c:v>14.85</c:v>
                </c:pt>
                <c:pt idx="31">
                  <c:v>15.045</c:v>
                </c:pt>
                <c:pt idx="32">
                  <c:v>15.24</c:v>
                </c:pt>
                <c:pt idx="33">
                  <c:v>15.435</c:v>
                </c:pt>
                <c:pt idx="34">
                  <c:v>15.63</c:v>
                </c:pt>
                <c:pt idx="35">
                  <c:v>15.824999999999999</c:v>
                </c:pt>
                <c:pt idx="36">
                  <c:v>16.02</c:v>
                </c:pt>
                <c:pt idx="37">
                  <c:v>16.215</c:v>
                </c:pt>
                <c:pt idx="38">
                  <c:v>16.41</c:v>
                </c:pt>
                <c:pt idx="39">
                  <c:v>16.605</c:v>
                </c:pt>
                <c:pt idx="40">
                  <c:v>16.8</c:v>
                </c:pt>
                <c:pt idx="41">
                  <c:v>16.994999999999997</c:v>
                </c:pt>
                <c:pt idx="42">
                  <c:v>17.189999999999998</c:v>
                </c:pt>
                <c:pt idx="43">
                  <c:v>17.384999999999998</c:v>
                </c:pt>
                <c:pt idx="44">
                  <c:v>17.579999999999998</c:v>
                </c:pt>
                <c:pt idx="45">
                  <c:v>17.774999999999999</c:v>
                </c:pt>
                <c:pt idx="46">
                  <c:v>17.97</c:v>
                </c:pt>
                <c:pt idx="47">
                  <c:v>18.164999999999999</c:v>
                </c:pt>
                <c:pt idx="48">
                  <c:v>18.36</c:v>
                </c:pt>
                <c:pt idx="49">
                  <c:v>18.555</c:v>
                </c:pt>
                <c:pt idx="50">
                  <c:v>18.75</c:v>
                </c:pt>
                <c:pt idx="51">
                  <c:v>18.945</c:v>
                </c:pt>
                <c:pt idx="52">
                  <c:v>19.14</c:v>
                </c:pt>
                <c:pt idx="53">
                  <c:v>19.335000000000001</c:v>
                </c:pt>
                <c:pt idx="54">
                  <c:v>19.53</c:v>
                </c:pt>
                <c:pt idx="55">
                  <c:v>19.725000000000001</c:v>
                </c:pt>
                <c:pt idx="56">
                  <c:v>19.920000000000002</c:v>
                </c:pt>
                <c:pt idx="57">
                  <c:v>20.114999999999998</c:v>
                </c:pt>
                <c:pt idx="58">
                  <c:v>20.309999999999999</c:v>
                </c:pt>
                <c:pt idx="59">
                  <c:v>20.504999999999999</c:v>
                </c:pt>
                <c:pt idx="60">
                  <c:v>20.7</c:v>
                </c:pt>
                <c:pt idx="61">
                  <c:v>20.895</c:v>
                </c:pt>
                <c:pt idx="62">
                  <c:v>21.09</c:v>
                </c:pt>
                <c:pt idx="63">
                  <c:v>21.285</c:v>
                </c:pt>
                <c:pt idx="64">
                  <c:v>21.48</c:v>
                </c:pt>
                <c:pt idx="65">
                  <c:v>21.675000000000001</c:v>
                </c:pt>
                <c:pt idx="66">
                  <c:v>21.87</c:v>
                </c:pt>
                <c:pt idx="67">
                  <c:v>22.065000000000001</c:v>
                </c:pt>
                <c:pt idx="68">
                  <c:v>22.26</c:v>
                </c:pt>
                <c:pt idx="69">
                  <c:v>22.454999999999998</c:v>
                </c:pt>
                <c:pt idx="70">
                  <c:v>22.65</c:v>
                </c:pt>
                <c:pt idx="71">
                  <c:v>22.844999999999999</c:v>
                </c:pt>
                <c:pt idx="72">
                  <c:v>23.04</c:v>
                </c:pt>
                <c:pt idx="73">
                  <c:v>23.234999999999999</c:v>
                </c:pt>
                <c:pt idx="74">
                  <c:v>23.43</c:v>
                </c:pt>
                <c:pt idx="75">
                  <c:v>23.625</c:v>
                </c:pt>
                <c:pt idx="76">
                  <c:v>23.82</c:v>
                </c:pt>
                <c:pt idx="77">
                  <c:v>24.015000000000001</c:v>
                </c:pt>
                <c:pt idx="78">
                  <c:v>24.21</c:v>
                </c:pt>
                <c:pt idx="79">
                  <c:v>24.405000000000001</c:v>
                </c:pt>
                <c:pt idx="80">
                  <c:v>24.6</c:v>
                </c:pt>
                <c:pt idx="81">
                  <c:v>24.795000000000002</c:v>
                </c:pt>
                <c:pt idx="82">
                  <c:v>24.99</c:v>
                </c:pt>
                <c:pt idx="83">
                  <c:v>25.184999999999999</c:v>
                </c:pt>
                <c:pt idx="84">
                  <c:v>25.38</c:v>
                </c:pt>
                <c:pt idx="85">
                  <c:v>25.574999999999999</c:v>
                </c:pt>
                <c:pt idx="86">
                  <c:v>25.77</c:v>
                </c:pt>
                <c:pt idx="87">
                  <c:v>25.965</c:v>
                </c:pt>
                <c:pt idx="88">
                  <c:v>26.16</c:v>
                </c:pt>
                <c:pt idx="89">
                  <c:v>26.355</c:v>
                </c:pt>
                <c:pt idx="90">
                  <c:v>26.55</c:v>
                </c:pt>
                <c:pt idx="91">
                  <c:v>26.745000000000001</c:v>
                </c:pt>
                <c:pt idx="92">
                  <c:v>26.94</c:v>
                </c:pt>
                <c:pt idx="93">
                  <c:v>27.135000000000002</c:v>
                </c:pt>
                <c:pt idx="94">
                  <c:v>27.33</c:v>
                </c:pt>
                <c:pt idx="95">
                  <c:v>27.524999999999999</c:v>
                </c:pt>
                <c:pt idx="96">
                  <c:v>27.72</c:v>
                </c:pt>
                <c:pt idx="97">
                  <c:v>27.914999999999999</c:v>
                </c:pt>
                <c:pt idx="98">
                  <c:v>28.11</c:v>
                </c:pt>
                <c:pt idx="99">
                  <c:v>28.305</c:v>
                </c:pt>
                <c:pt idx="100">
                  <c:v>28.5</c:v>
                </c:pt>
                <c:pt idx="101">
                  <c:v>28.695</c:v>
                </c:pt>
                <c:pt idx="102">
                  <c:v>28.89</c:v>
                </c:pt>
                <c:pt idx="103">
                  <c:v>29.085000000000001</c:v>
                </c:pt>
                <c:pt idx="104">
                  <c:v>29.28</c:v>
                </c:pt>
                <c:pt idx="105">
                  <c:v>29.475000000000001</c:v>
                </c:pt>
                <c:pt idx="106">
                  <c:v>29.67</c:v>
                </c:pt>
                <c:pt idx="107">
                  <c:v>29.865000000000002</c:v>
                </c:pt>
                <c:pt idx="108">
                  <c:v>30.060000000000002</c:v>
                </c:pt>
                <c:pt idx="109">
                  <c:v>30.255000000000003</c:v>
                </c:pt>
                <c:pt idx="110">
                  <c:v>30.450000000000003</c:v>
                </c:pt>
                <c:pt idx="111">
                  <c:v>30.645000000000003</c:v>
                </c:pt>
                <c:pt idx="112">
                  <c:v>30.840000000000003</c:v>
                </c:pt>
                <c:pt idx="113">
                  <c:v>31.034999999999997</c:v>
                </c:pt>
                <c:pt idx="114">
                  <c:v>31.229999999999997</c:v>
                </c:pt>
                <c:pt idx="115">
                  <c:v>31.424999999999997</c:v>
                </c:pt>
                <c:pt idx="116">
                  <c:v>31.619999999999997</c:v>
                </c:pt>
                <c:pt idx="117">
                  <c:v>31.814999999999998</c:v>
                </c:pt>
                <c:pt idx="118">
                  <c:v>32.01</c:v>
                </c:pt>
                <c:pt idx="119">
                  <c:v>32.204999999999998</c:v>
                </c:pt>
                <c:pt idx="120">
                  <c:v>32.4</c:v>
                </c:pt>
                <c:pt idx="121">
                  <c:v>32.594999999999999</c:v>
                </c:pt>
                <c:pt idx="122">
                  <c:v>32.79</c:v>
                </c:pt>
                <c:pt idx="123">
                  <c:v>32.984999999999999</c:v>
                </c:pt>
                <c:pt idx="124">
                  <c:v>33.18</c:v>
                </c:pt>
                <c:pt idx="125">
                  <c:v>33.375</c:v>
                </c:pt>
                <c:pt idx="126">
                  <c:v>33.57</c:v>
                </c:pt>
                <c:pt idx="127">
                  <c:v>33.765000000000001</c:v>
                </c:pt>
                <c:pt idx="128">
                  <c:v>33.96</c:v>
                </c:pt>
                <c:pt idx="129">
                  <c:v>34.155000000000001</c:v>
                </c:pt>
                <c:pt idx="130">
                  <c:v>34.35</c:v>
                </c:pt>
                <c:pt idx="131">
                  <c:v>34.545000000000002</c:v>
                </c:pt>
                <c:pt idx="132">
                  <c:v>34.74</c:v>
                </c:pt>
                <c:pt idx="133">
                  <c:v>34.935000000000002</c:v>
                </c:pt>
                <c:pt idx="134">
                  <c:v>35.130000000000003</c:v>
                </c:pt>
                <c:pt idx="135">
                  <c:v>35.325000000000003</c:v>
                </c:pt>
                <c:pt idx="136">
                  <c:v>35.520000000000003</c:v>
                </c:pt>
                <c:pt idx="137">
                  <c:v>35.715000000000003</c:v>
                </c:pt>
                <c:pt idx="138">
                  <c:v>35.909999999999997</c:v>
                </c:pt>
                <c:pt idx="139">
                  <c:v>36.104999999999997</c:v>
                </c:pt>
                <c:pt idx="140">
                  <c:v>36.299999999999997</c:v>
                </c:pt>
                <c:pt idx="141">
                  <c:v>36.494999999999997</c:v>
                </c:pt>
                <c:pt idx="142">
                  <c:v>36.69</c:v>
                </c:pt>
                <c:pt idx="143">
                  <c:v>36.884999999999998</c:v>
                </c:pt>
                <c:pt idx="144">
                  <c:v>37.08</c:v>
                </c:pt>
                <c:pt idx="145">
                  <c:v>37.274999999999999</c:v>
                </c:pt>
                <c:pt idx="146">
                  <c:v>37.47</c:v>
                </c:pt>
                <c:pt idx="147">
                  <c:v>37.664999999999999</c:v>
                </c:pt>
                <c:pt idx="148">
                  <c:v>37.86</c:v>
                </c:pt>
                <c:pt idx="149">
                  <c:v>38.055</c:v>
                </c:pt>
                <c:pt idx="150">
                  <c:v>38.25</c:v>
                </c:pt>
                <c:pt idx="151">
                  <c:v>38.445</c:v>
                </c:pt>
                <c:pt idx="152">
                  <c:v>38.64</c:v>
                </c:pt>
                <c:pt idx="153">
                  <c:v>38.835000000000001</c:v>
                </c:pt>
                <c:pt idx="154">
                  <c:v>39.03</c:v>
                </c:pt>
                <c:pt idx="155">
                  <c:v>39.225000000000001</c:v>
                </c:pt>
                <c:pt idx="156">
                  <c:v>39.42</c:v>
                </c:pt>
                <c:pt idx="157">
                  <c:v>39.615000000000002</c:v>
                </c:pt>
                <c:pt idx="158">
                  <c:v>39.81</c:v>
                </c:pt>
                <c:pt idx="159">
                  <c:v>40.005000000000003</c:v>
                </c:pt>
                <c:pt idx="160">
                  <c:v>40.200000000000003</c:v>
                </c:pt>
                <c:pt idx="161">
                  <c:v>40.395000000000003</c:v>
                </c:pt>
                <c:pt idx="162">
                  <c:v>40.590000000000003</c:v>
                </c:pt>
                <c:pt idx="163">
                  <c:v>40.784999999999997</c:v>
                </c:pt>
                <c:pt idx="164">
                  <c:v>40.98</c:v>
                </c:pt>
                <c:pt idx="165">
                  <c:v>41.174999999999997</c:v>
                </c:pt>
                <c:pt idx="166">
                  <c:v>41.37</c:v>
                </c:pt>
                <c:pt idx="167">
                  <c:v>41.564999999999998</c:v>
                </c:pt>
                <c:pt idx="168">
                  <c:v>41.76</c:v>
                </c:pt>
                <c:pt idx="169">
                  <c:v>41.954999999999998</c:v>
                </c:pt>
                <c:pt idx="170">
                  <c:v>42.15</c:v>
                </c:pt>
                <c:pt idx="171">
                  <c:v>42.344999999999999</c:v>
                </c:pt>
                <c:pt idx="172">
                  <c:v>42.54</c:v>
                </c:pt>
                <c:pt idx="173">
                  <c:v>42.734999999999999</c:v>
                </c:pt>
                <c:pt idx="174">
                  <c:v>42.93</c:v>
                </c:pt>
                <c:pt idx="175">
                  <c:v>43.125</c:v>
                </c:pt>
                <c:pt idx="176">
                  <c:v>43.32</c:v>
                </c:pt>
                <c:pt idx="177">
                  <c:v>43.515000000000001</c:v>
                </c:pt>
                <c:pt idx="178">
                  <c:v>43.71</c:v>
                </c:pt>
                <c:pt idx="179">
                  <c:v>43.905000000000001</c:v>
                </c:pt>
                <c:pt idx="180">
                  <c:v>44.1</c:v>
                </c:pt>
                <c:pt idx="181">
                  <c:v>44.295000000000002</c:v>
                </c:pt>
                <c:pt idx="182">
                  <c:v>44.49</c:v>
                </c:pt>
                <c:pt idx="183">
                  <c:v>44.685000000000002</c:v>
                </c:pt>
                <c:pt idx="184">
                  <c:v>44.88</c:v>
                </c:pt>
                <c:pt idx="185">
                  <c:v>45.075000000000003</c:v>
                </c:pt>
                <c:pt idx="186">
                  <c:v>45.27</c:v>
                </c:pt>
                <c:pt idx="187">
                  <c:v>45.465000000000003</c:v>
                </c:pt>
                <c:pt idx="188">
                  <c:v>45.66</c:v>
                </c:pt>
                <c:pt idx="189">
                  <c:v>45.854999999999997</c:v>
                </c:pt>
                <c:pt idx="190">
                  <c:v>46.05</c:v>
                </c:pt>
                <c:pt idx="191">
                  <c:v>46.244999999999997</c:v>
                </c:pt>
                <c:pt idx="192">
                  <c:v>46.44</c:v>
                </c:pt>
                <c:pt idx="193">
                  <c:v>46.634999999999998</c:v>
                </c:pt>
                <c:pt idx="194">
                  <c:v>46.83</c:v>
                </c:pt>
                <c:pt idx="195">
                  <c:v>47.024999999999999</c:v>
                </c:pt>
                <c:pt idx="196">
                  <c:v>47.22</c:v>
                </c:pt>
                <c:pt idx="197">
                  <c:v>47.414999999999999</c:v>
                </c:pt>
                <c:pt idx="198">
                  <c:v>47.61</c:v>
                </c:pt>
                <c:pt idx="199">
                  <c:v>47.805</c:v>
                </c:pt>
                <c:pt idx="200">
                  <c:v>48</c:v>
                </c:pt>
              </c:numCache>
            </c:numRef>
          </c:cat>
          <c:val>
            <c:numRef>
              <c:f>'Efficiency vs VIN Calculations'!$BJ$9:$BJ$209</c:f>
              <c:numCache>
                <c:formatCode>0.000</c:formatCode>
                <c:ptCount val="201"/>
                <c:pt idx="0">
                  <c:v>7.4598744362263592</c:v>
                </c:pt>
                <c:pt idx="1">
                  <c:v>7.1457851094624703</c:v>
                </c:pt>
                <c:pt idx="2">
                  <c:v>6.8591517935077801</c:v>
                </c:pt>
                <c:pt idx="3">
                  <c:v>6.5963484614774099</c:v>
                </c:pt>
                <c:pt idx="4">
                  <c:v>6.3543823468583627</c:v>
                </c:pt>
                <c:pt idx="5">
                  <c:v>6.1307589423455076</c:v>
                </c:pt>
                <c:pt idx="6">
                  <c:v>5.9233805262865769</c:v>
                </c:pt>
                <c:pt idx="7">
                  <c:v>5.7304688236086738</c:v>
                </c:pt>
                <c:pt idx="8">
                  <c:v>5.5505053116733905</c:v>
                </c:pt>
                <c:pt idx="9">
                  <c:v>5.3821846105642805</c:v>
                </c:pt>
                <c:pt idx="10">
                  <c:v>5.2243777027078631</c:v>
                </c:pt>
                <c:pt idx="11">
                  <c:v>5.0761026250841459</c:v>
                </c:pt>
                <c:pt idx="12">
                  <c:v>4.9365009051462847</c:v>
                </c:pt>
                <c:pt idx="13">
                  <c:v>4.8048184566832344</c:v>
                </c:pt>
                <c:pt idx="14">
                  <c:v>4.6803899716017776</c:v>
                </c:pt>
                <c:pt idx="15">
                  <c:v>3.6112150852128369</c:v>
                </c:pt>
                <c:pt idx="16">
                  <c:v>3.5586283396942764</c:v>
                </c:pt>
                <c:pt idx="17">
                  <c:v>3.5096107722820244</c:v>
                </c:pt>
                <c:pt idx="18">
                  <c:v>3.463912400683526</c:v>
                </c:pt>
                <c:pt idx="19">
                  <c:v>3.4213111627988657</c:v>
                </c:pt>
                <c:pt idx="20">
                  <c:v>3.4050839836283573</c:v>
                </c:pt>
                <c:pt idx="21">
                  <c:v>3.4142587638456185</c:v>
                </c:pt>
                <c:pt idx="22">
                  <c:v>3.4239945633090856</c:v>
                </c:pt>
                <c:pt idx="23">
                  <c:v>3.4342430827778765</c:v>
                </c:pt>
                <c:pt idx="24">
                  <c:v>3.4449608088795518</c:v>
                </c:pt>
                <c:pt idx="25">
                  <c:v>3.4561084582213741</c:v>
                </c:pt>
                <c:pt idx="26">
                  <c:v>3.467650495824488</c:v>
                </c:pt>
                <c:pt idx="27">
                  <c:v>3.4795547166643006</c:v>
                </c:pt>
                <c:pt idx="28">
                  <c:v>3.4917918809796777</c:v>
                </c:pt>
                <c:pt idx="29">
                  <c:v>3.2538709993616566</c:v>
                </c:pt>
                <c:pt idx="30">
                  <c:v>3.2784967599123647</c:v>
                </c:pt>
                <c:pt idx="31">
                  <c:v>3.303303585985879</c:v>
                </c:pt>
                <c:pt idx="32">
                  <c:v>3.3282794669726514</c:v>
                </c:pt>
                <c:pt idx="33">
                  <c:v>3.3534133089009859</c:v>
                </c:pt>
                <c:pt idx="34">
                  <c:v>3.3786948525227474</c:v>
                </c:pt>
                <c:pt idx="35">
                  <c:v>3.4041145998450775</c:v>
                </c:pt>
                <c:pt idx="36">
                  <c:v>3.4296637481215804</c:v>
                </c:pt>
                <c:pt idx="37">
                  <c:v>3.455334130444851</c:v>
                </c:pt>
                <c:pt idx="38">
                  <c:v>3.4811181621922742</c:v>
                </c:pt>
                <c:pt idx="39">
                  <c:v>3.5070087926715376</c:v>
                </c:pt>
                <c:pt idx="40">
                  <c:v>3.5329994613936981</c:v>
                </c:pt>
                <c:pt idx="41">
                  <c:v>3.5590840584718677</c:v>
                </c:pt>
                <c:pt idx="42">
                  <c:v>3.5852568887043095</c:v>
                </c:pt>
                <c:pt idx="43">
                  <c:v>3.6115126389534291</c:v>
                </c:pt>
                <c:pt idx="44">
                  <c:v>3.6378463484778347</c:v>
                </c:pt>
                <c:pt idx="45">
                  <c:v>3.6642533819144685</c:v>
                </c:pt>
                <c:pt idx="46">
                  <c:v>3.6907294046425103</c:v>
                </c:pt>
                <c:pt idx="47">
                  <c:v>3.7172703602910899</c:v>
                </c:pt>
                <c:pt idx="48">
                  <c:v>3.7438724501793983</c:v>
                </c:pt>
                <c:pt idx="49">
                  <c:v>3.7705321145010675</c:v>
                </c:pt>
                <c:pt idx="50">
                  <c:v>3.7972460150851433</c:v>
                </c:pt>
                <c:pt idx="51">
                  <c:v>3.8240110195839998</c:v>
                </c:pt>
                <c:pt idx="52">
                  <c:v>3.8508241869543776</c:v>
                </c:pt>
                <c:pt idx="53">
                  <c:v>3.8776827541117957</c:v>
                </c:pt>
                <c:pt idx="54">
                  <c:v>3.9045841236509342</c:v>
                </c:pt>
                <c:pt idx="55">
                  <c:v>3.9315258525355916</c:v>
                </c:pt>
                <c:pt idx="56">
                  <c:v>3.9585056416715574</c:v>
                </c:pt>
                <c:pt idx="57">
                  <c:v>3.9855213262843865</c:v>
                </c:pt>
                <c:pt idx="58">
                  <c:v>4.0125708670317897</c:v>
                </c:pt>
                <c:pt idx="59">
                  <c:v>4.0396523417871624</c:v>
                </c:pt>
                <c:pt idx="60">
                  <c:v>4.0667639380369618</c:v>
                </c:pt>
                <c:pt idx="61">
                  <c:v>4.0939039458400668</c:v>
                </c:pt>
                <c:pt idx="62">
                  <c:v>4.1210707513021569</c:v>
                </c:pt>
                <c:pt idx="63">
                  <c:v>4.1482628305225493</c:v>
                </c:pt>
                <c:pt idx="64">
                  <c:v>4.1754787439748355</c:v>
                </c:pt>
                <c:pt idx="65">
                  <c:v>4.2027171312862235</c:v>
                </c:pt>
                <c:pt idx="66">
                  <c:v>4.2299767063836242</c:v>
                </c:pt>
                <c:pt idx="67">
                  <c:v>4.2572562529774274</c:v>
                </c:pt>
                <c:pt idx="68">
                  <c:v>4.28455462035644</c:v>
                </c:pt>
                <c:pt idx="69">
                  <c:v>4.3118707194698125</c:v>
                </c:pt>
                <c:pt idx="70">
                  <c:v>4.3392035192738838</c:v>
                </c:pt>
                <c:pt idx="71">
                  <c:v>4.3665520433237148</c:v>
                </c:pt>
                <c:pt idx="72">
                  <c:v>4.3939153665909068</c:v>
                </c:pt>
                <c:pt idx="73">
                  <c:v>4.4212926124907224</c:v>
                </c:pt>
                <c:pt idx="74">
                  <c:v>4.4486829501030538</c:v>
                </c:pt>
                <c:pt idx="75">
                  <c:v>4.4760855915729962</c:v>
                </c:pt>
                <c:pt idx="76">
                  <c:v>4.5034997896779707</c:v>
                </c:pt>
                <c:pt idx="77">
                  <c:v>4.5309248355493983</c:v>
                </c:pt>
                <c:pt idx="78">
                  <c:v>4.5583600565379001</c:v>
                </c:pt>
                <c:pt idx="79">
                  <c:v>4.5858048142118371</c:v>
                </c:pt>
                <c:pt idx="80">
                  <c:v>4.6132585024798818</c:v>
                </c:pt>
                <c:pt idx="81">
                  <c:v>4.6407205458289527</c:v>
                </c:pt>
                <c:pt idx="82">
                  <c:v>4.6681903976695738</c:v>
                </c:pt>
                <c:pt idx="83">
                  <c:v>4.6956675387813345</c:v>
                </c:pt>
                <c:pt idx="84">
                  <c:v>4.7231514758516182</c:v>
                </c:pt>
                <c:pt idx="85">
                  <c:v>4.7506417401013783</c:v>
                </c:pt>
                <c:pt idx="86">
                  <c:v>4.7781378859921197</c:v>
                </c:pt>
                <c:pt idx="87">
                  <c:v>4.8056394900087316</c:v>
                </c:pt>
                <c:pt idx="88">
                  <c:v>4.8331461495131975</c:v>
                </c:pt>
                <c:pt idx="89">
                  <c:v>4.8606574816645498</c:v>
                </c:pt>
                <c:pt idx="90">
                  <c:v>4.8881731224008078</c:v>
                </c:pt>
                <c:pt idx="91">
                  <c:v>4.9156927254789204</c:v>
                </c:pt>
                <c:pt idx="92">
                  <c:v>4.9432159615690265</c:v>
                </c:pt>
                <c:pt idx="93">
                  <c:v>4.9707425173995965</c:v>
                </c:pt>
                <c:pt idx="94">
                  <c:v>4.998272094950277</c:v>
                </c:pt>
                <c:pt idx="95">
                  <c:v>5.0258044106894673</c:v>
                </c:pt>
                <c:pt idx="96">
                  <c:v>5.0533391948538657</c:v>
                </c:pt>
                <c:pt idx="97">
                  <c:v>5.0808761907674214</c:v>
                </c:pt>
                <c:pt idx="98">
                  <c:v>5.108415154197278</c:v>
                </c:pt>
                <c:pt idx="99">
                  <c:v>5.1359558527444991</c:v>
                </c:pt>
                <c:pt idx="100">
                  <c:v>5.1634980652674525</c:v>
                </c:pt>
                <c:pt idx="101">
                  <c:v>5.1910415813359592</c:v>
                </c:pt>
                <c:pt idx="102">
                  <c:v>5.218586200714328</c:v>
                </c:pt>
                <c:pt idx="103">
                  <c:v>5.246131732871631</c:v>
                </c:pt>
                <c:pt idx="104">
                  <c:v>5.2736779965175948</c:v>
                </c:pt>
                <c:pt idx="105">
                  <c:v>5.3012248191626377</c:v>
                </c:pt>
                <c:pt idx="106">
                  <c:v>5.3287720367006592</c:v>
                </c:pt>
                <c:pt idx="107">
                  <c:v>5.3563194930132836</c:v>
                </c:pt>
                <c:pt idx="108">
                  <c:v>5.3838670395943309</c:v>
                </c:pt>
                <c:pt idx="109">
                  <c:v>5.4114145351933756</c:v>
                </c:pt>
                <c:pt idx="110">
                  <c:v>5.4389618454773254</c:v>
                </c:pt>
                <c:pt idx="111">
                  <c:v>5.4665088427090147</c:v>
                </c:pt>
                <c:pt idx="112">
                  <c:v>5.4940554054418538</c:v>
                </c:pt>
                <c:pt idx="113">
                  <c:v>5.5216014182296789</c:v>
                </c:pt>
                <c:pt idx="114">
                  <c:v>5.549146771350955</c:v>
                </c:pt>
                <c:pt idx="115">
                  <c:v>5.5766913605465227</c:v>
                </c:pt>
                <c:pt idx="116">
                  <c:v>5.6042350867702204</c:v>
                </c:pt>
                <c:pt idx="117">
                  <c:v>5.6317778559516238</c:v>
                </c:pt>
                <c:pt idx="118">
                  <c:v>5.6593195787702957</c:v>
                </c:pt>
                <c:pt idx="119">
                  <c:v>5.6868601704409265</c:v>
                </c:pt>
                <c:pt idx="120">
                  <c:v>5.7143995505087641</c:v>
                </c:pt>
                <c:pt idx="121">
                  <c:v>5.7419376426548396</c:v>
                </c:pt>
                <c:pt idx="122">
                  <c:v>5.7694743745104251</c:v>
                </c:pt>
                <c:pt idx="123">
                  <c:v>5.7970096774802879</c:v>
                </c:pt>
                <c:pt idx="124">
                  <c:v>5.8245434865742602</c:v>
                </c:pt>
                <c:pt idx="125">
                  <c:v>5.8520757402466952</c:v>
                </c:pt>
                <c:pt idx="126">
                  <c:v>5.8796063802434295</c:v>
                </c:pt>
                <c:pt idx="127">
                  <c:v>5.9071353514558496</c:v>
                </c:pt>
                <c:pt idx="128">
                  <c:v>5.9346626017817021</c:v>
                </c:pt>
                <c:pt idx="129">
                  <c:v>5.9621880819923216</c:v>
                </c:pt>
                <c:pt idx="130">
                  <c:v>5.9897117456059483</c:v>
                </c:pt>
                <c:pt idx="131">
                  <c:v>6.0172335487668303</c:v>
                </c:pt>
                <c:pt idx="132">
                  <c:v>6.0447534501298232</c:v>
                </c:pt>
                <c:pt idx="133">
                  <c:v>6.0722714107502131</c:v>
                </c:pt>
                <c:pt idx="134">
                  <c:v>6.0997873939785325</c:v>
                </c:pt>
                <c:pt idx="135">
                  <c:v>6.1273013653600721</c:v>
                </c:pt>
                <c:pt idx="136">
                  <c:v>6.1548132925389218</c:v>
                </c:pt>
                <c:pt idx="137">
                  <c:v>6.1823231451662686</c:v>
                </c:pt>
                <c:pt idx="138">
                  <c:v>6.2098308948127867</c:v>
                </c:pt>
                <c:pt idx="139">
                  <c:v>6.2373365148849018</c:v>
                </c:pt>
                <c:pt idx="140">
                  <c:v>6.2648399805447461</c:v>
                </c:pt>
                <c:pt idx="141">
                  <c:v>6.2923412686336331</c:v>
                </c:pt>
                <c:pt idx="142">
                  <c:v>6.3198403575988946</c:v>
                </c:pt>
                <c:pt idx="143">
                  <c:v>6.3473372274238997</c:v>
                </c:pt>
                <c:pt idx="144">
                  <c:v>6.3748318595611311</c:v>
                </c:pt>
                <c:pt idx="145">
                  <c:v>6.4023242368681554</c:v>
                </c:pt>
                <c:pt idx="146">
                  <c:v>6.4298143435463659</c:v>
                </c:pt>
                <c:pt idx="147">
                  <c:v>6.4573021650823677</c:v>
                </c:pt>
                <c:pt idx="148">
                  <c:v>6.4847876881918811</c:v>
                </c:pt>
                <c:pt idx="149">
                  <c:v>6.512270900766044</c:v>
                </c:pt>
                <c:pt idx="150">
                  <c:v>6.5397517918200165</c:v>
                </c:pt>
                <c:pt idx="151">
                  <c:v>6.5672303514437669</c:v>
                </c:pt>
                <c:pt idx="152">
                  <c:v>6.5947065707549548</c:v>
                </c:pt>
                <c:pt idx="153">
                  <c:v>6.6221804418538035</c:v>
                </c:pt>
                <c:pt idx="154">
                  <c:v>6.6496519577798852</c:v>
                </c:pt>
                <c:pt idx="155">
                  <c:v>6.6771211124707257</c:v>
                </c:pt>
                <c:pt idx="156">
                  <c:v>6.7045879007221432</c:v>
                </c:pt>
                <c:pt idx="157">
                  <c:v>6.7320523181502629</c:v>
                </c:pt>
                <c:pt idx="158">
                  <c:v>6.7595143611551052</c:v>
                </c:pt>
                <c:pt idx="159">
                  <c:v>6.7869740268857015</c:v>
                </c:pt>
                <c:pt idx="160">
                  <c:v>6.8144313132066721</c:v>
                </c:pt>
                <c:pt idx="161">
                  <c:v>6.8418862186661684</c:v>
                </c:pt>
                <c:pt idx="162">
                  <c:v>6.8693387424651657</c:v>
                </c:pt>
                <c:pt idx="163">
                  <c:v>6.8967888844280161</c:v>
                </c:pt>
                <c:pt idx="164">
                  <c:v>6.9242366449742256</c:v>
                </c:pt>
                <c:pt idx="165">
                  <c:v>6.9516820250913849</c:v>
                </c:pt>
                <c:pt idx="166">
                  <c:v>6.9791250263092159</c:v>
                </c:pt>
                <c:pt idx="167">
                  <c:v>7.0065656506746858</c:v>
                </c:pt>
                <c:pt idx="168">
                  <c:v>7.0340039007281483</c:v>
                </c:pt>
                <c:pt idx="169">
                  <c:v>7.0614397794804482</c:v>
                </c:pt>
                <c:pt idx="170">
                  <c:v>7.0888732903909712</c:v>
                </c:pt>
                <c:pt idx="171">
                  <c:v>7.1163044373465798</c:v>
                </c:pt>
                <c:pt idx="172">
                  <c:v>7.1437332246414265</c:v>
                </c:pt>
                <c:pt idx="173">
                  <c:v>7.1711596569575633</c:v>
                </c:pt>
                <c:pt idx="174">
                  <c:v>7.1985837393463585</c:v>
                </c:pt>
                <c:pt idx="175">
                  <c:v>7.2260054772106663</c:v>
                </c:pt>
                <c:pt idx="176">
                  <c:v>7.2534248762877045</c:v>
                </c:pt>
                <c:pt idx="177">
                  <c:v>7.2808419426326454</c:v>
                </c:pt>
                <c:pt idx="178">
                  <c:v>7.3082566826028561</c:v>
                </c:pt>
                <c:pt idx="179">
                  <c:v>7.3356691028427905</c:v>
                </c:pt>
                <c:pt idx="180">
                  <c:v>7.3630792102694747</c:v>
                </c:pt>
                <c:pt idx="181">
                  <c:v>7.3904870120585979</c:v>
                </c:pt>
                <c:pt idx="182">
                  <c:v>7.417892515631145</c:v>
                </c:pt>
                <c:pt idx="183">
                  <c:v>7.4452957286405868</c:v>
                </c:pt>
                <c:pt idx="184">
                  <c:v>7.4726966589605794</c:v>
                </c:pt>
                <c:pt idx="185">
                  <c:v>7.5000953146731586</c:v>
                </c:pt>
                <c:pt idx="186">
                  <c:v>7.5274917040574039</c:v>
                </c:pt>
                <c:pt idx="187">
                  <c:v>7.5548858355785757</c:v>
                </c:pt>
                <c:pt idx="188">
                  <c:v>7.5822777178776857</c:v>
                </c:pt>
                <c:pt idx="189">
                  <c:v>7.6096673597614766</c:v>
                </c:pt>
                <c:pt idx="190">
                  <c:v>7.6370547701928144</c:v>
                </c:pt>
                <c:pt idx="191">
                  <c:v>7.6644399582814744</c:v>
                </c:pt>
                <c:pt idx="192">
                  <c:v>7.6918229332752874</c:v>
                </c:pt>
                <c:pt idx="193">
                  <c:v>7.7192037045516564</c:v>
                </c:pt>
                <c:pt idx="194">
                  <c:v>7.7465822816094025</c:v>
                </c:pt>
                <c:pt idx="195">
                  <c:v>7.7739586740609514</c:v>
                </c:pt>
                <c:pt idx="196">
                  <c:v>7.801332891624833</c:v>
                </c:pt>
                <c:pt idx="197">
                  <c:v>7.8287049441184848</c:v>
                </c:pt>
                <c:pt idx="198">
                  <c:v>7.8560748414513455</c:v>
                </c:pt>
                <c:pt idx="199">
                  <c:v>7.8834425936182413</c:v>
                </c:pt>
                <c:pt idx="200">
                  <c:v>7.9108082106930198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01-4995-8D1B-32BA3094CE07}"/>
            </c:ext>
          </c:extLst>
        </c:ser>
        <c:ser>
          <c:idx val="1"/>
          <c:order val="3"/>
          <c:tx>
            <c:v>Shunt Loss</c:v>
          </c:tx>
          <c:spPr>
            <a:ln w="38100">
              <a:solidFill>
                <a:srgbClr val="002060"/>
              </a:solidFill>
              <a:prstDash val="sysDot"/>
            </a:ln>
          </c:spPr>
          <c:marker>
            <c:symbol val="none"/>
          </c:marker>
          <c:cat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9.1950000000000003</c:v>
                </c:pt>
                <c:pt idx="2">
                  <c:v>9.39</c:v>
                </c:pt>
                <c:pt idx="3">
                  <c:v>9.5850000000000009</c:v>
                </c:pt>
                <c:pt idx="4">
                  <c:v>9.7799999999999994</c:v>
                </c:pt>
                <c:pt idx="5">
                  <c:v>9.9749999999999996</c:v>
                </c:pt>
                <c:pt idx="6">
                  <c:v>10.17</c:v>
                </c:pt>
                <c:pt idx="7">
                  <c:v>10.365</c:v>
                </c:pt>
                <c:pt idx="8">
                  <c:v>10.56</c:v>
                </c:pt>
                <c:pt idx="9">
                  <c:v>10.754999999999999</c:v>
                </c:pt>
                <c:pt idx="10">
                  <c:v>10.95</c:v>
                </c:pt>
                <c:pt idx="11">
                  <c:v>11.145</c:v>
                </c:pt>
                <c:pt idx="12">
                  <c:v>11.34</c:v>
                </c:pt>
                <c:pt idx="13">
                  <c:v>11.535</c:v>
                </c:pt>
                <c:pt idx="14">
                  <c:v>11.73</c:v>
                </c:pt>
                <c:pt idx="15">
                  <c:v>11.925000000000001</c:v>
                </c:pt>
                <c:pt idx="16">
                  <c:v>12.120000000000001</c:v>
                </c:pt>
                <c:pt idx="17">
                  <c:v>12.315000000000001</c:v>
                </c:pt>
                <c:pt idx="18">
                  <c:v>12.51</c:v>
                </c:pt>
                <c:pt idx="19">
                  <c:v>12.705</c:v>
                </c:pt>
                <c:pt idx="20">
                  <c:v>12.9</c:v>
                </c:pt>
                <c:pt idx="21">
                  <c:v>13.094999999999999</c:v>
                </c:pt>
                <c:pt idx="22">
                  <c:v>13.29</c:v>
                </c:pt>
                <c:pt idx="23">
                  <c:v>13.484999999999999</c:v>
                </c:pt>
                <c:pt idx="24">
                  <c:v>13.68</c:v>
                </c:pt>
                <c:pt idx="25">
                  <c:v>13.875</c:v>
                </c:pt>
                <c:pt idx="26">
                  <c:v>14.07</c:v>
                </c:pt>
                <c:pt idx="27">
                  <c:v>14.265000000000001</c:v>
                </c:pt>
                <c:pt idx="28">
                  <c:v>14.46</c:v>
                </c:pt>
                <c:pt idx="29">
                  <c:v>14.654999999999999</c:v>
                </c:pt>
                <c:pt idx="30">
                  <c:v>14.85</c:v>
                </c:pt>
                <c:pt idx="31">
                  <c:v>15.045</c:v>
                </c:pt>
                <c:pt idx="32">
                  <c:v>15.24</c:v>
                </c:pt>
                <c:pt idx="33">
                  <c:v>15.435</c:v>
                </c:pt>
                <c:pt idx="34">
                  <c:v>15.63</c:v>
                </c:pt>
                <c:pt idx="35">
                  <c:v>15.824999999999999</c:v>
                </c:pt>
                <c:pt idx="36">
                  <c:v>16.02</c:v>
                </c:pt>
                <c:pt idx="37">
                  <c:v>16.215</c:v>
                </c:pt>
                <c:pt idx="38">
                  <c:v>16.41</c:v>
                </c:pt>
                <c:pt idx="39">
                  <c:v>16.605</c:v>
                </c:pt>
                <c:pt idx="40">
                  <c:v>16.8</c:v>
                </c:pt>
                <c:pt idx="41">
                  <c:v>16.994999999999997</c:v>
                </c:pt>
                <c:pt idx="42">
                  <c:v>17.189999999999998</c:v>
                </c:pt>
                <c:pt idx="43">
                  <c:v>17.384999999999998</c:v>
                </c:pt>
                <c:pt idx="44">
                  <c:v>17.579999999999998</c:v>
                </c:pt>
                <c:pt idx="45">
                  <c:v>17.774999999999999</c:v>
                </c:pt>
                <c:pt idx="46">
                  <c:v>17.97</c:v>
                </c:pt>
                <c:pt idx="47">
                  <c:v>18.164999999999999</c:v>
                </c:pt>
                <c:pt idx="48">
                  <c:v>18.36</c:v>
                </c:pt>
                <c:pt idx="49">
                  <c:v>18.555</c:v>
                </c:pt>
                <c:pt idx="50">
                  <c:v>18.75</c:v>
                </c:pt>
                <c:pt idx="51">
                  <c:v>18.945</c:v>
                </c:pt>
                <c:pt idx="52">
                  <c:v>19.14</c:v>
                </c:pt>
                <c:pt idx="53">
                  <c:v>19.335000000000001</c:v>
                </c:pt>
                <c:pt idx="54">
                  <c:v>19.53</c:v>
                </c:pt>
                <c:pt idx="55">
                  <c:v>19.725000000000001</c:v>
                </c:pt>
                <c:pt idx="56">
                  <c:v>19.920000000000002</c:v>
                </c:pt>
                <c:pt idx="57">
                  <c:v>20.114999999999998</c:v>
                </c:pt>
                <c:pt idx="58">
                  <c:v>20.309999999999999</c:v>
                </c:pt>
                <c:pt idx="59">
                  <c:v>20.504999999999999</c:v>
                </c:pt>
                <c:pt idx="60">
                  <c:v>20.7</c:v>
                </c:pt>
                <c:pt idx="61">
                  <c:v>20.895</c:v>
                </c:pt>
                <c:pt idx="62">
                  <c:v>21.09</c:v>
                </c:pt>
                <c:pt idx="63">
                  <c:v>21.285</c:v>
                </c:pt>
                <c:pt idx="64">
                  <c:v>21.48</c:v>
                </c:pt>
                <c:pt idx="65">
                  <c:v>21.675000000000001</c:v>
                </c:pt>
                <c:pt idx="66">
                  <c:v>21.87</c:v>
                </c:pt>
                <c:pt idx="67">
                  <c:v>22.065000000000001</c:v>
                </c:pt>
                <c:pt idx="68">
                  <c:v>22.26</c:v>
                </c:pt>
                <c:pt idx="69">
                  <c:v>22.454999999999998</c:v>
                </c:pt>
                <c:pt idx="70">
                  <c:v>22.65</c:v>
                </c:pt>
                <c:pt idx="71">
                  <c:v>22.844999999999999</c:v>
                </c:pt>
                <c:pt idx="72">
                  <c:v>23.04</c:v>
                </c:pt>
                <c:pt idx="73">
                  <c:v>23.234999999999999</c:v>
                </c:pt>
                <c:pt idx="74">
                  <c:v>23.43</c:v>
                </c:pt>
                <c:pt idx="75">
                  <c:v>23.625</c:v>
                </c:pt>
                <c:pt idx="76">
                  <c:v>23.82</c:v>
                </c:pt>
                <c:pt idx="77">
                  <c:v>24.015000000000001</c:v>
                </c:pt>
                <c:pt idx="78">
                  <c:v>24.21</c:v>
                </c:pt>
                <c:pt idx="79">
                  <c:v>24.405000000000001</c:v>
                </c:pt>
                <c:pt idx="80">
                  <c:v>24.6</c:v>
                </c:pt>
                <c:pt idx="81">
                  <c:v>24.795000000000002</c:v>
                </c:pt>
                <c:pt idx="82">
                  <c:v>24.99</c:v>
                </c:pt>
                <c:pt idx="83">
                  <c:v>25.184999999999999</c:v>
                </c:pt>
                <c:pt idx="84">
                  <c:v>25.38</c:v>
                </c:pt>
                <c:pt idx="85">
                  <c:v>25.574999999999999</c:v>
                </c:pt>
                <c:pt idx="86">
                  <c:v>25.77</c:v>
                </c:pt>
                <c:pt idx="87">
                  <c:v>25.965</c:v>
                </c:pt>
                <c:pt idx="88">
                  <c:v>26.16</c:v>
                </c:pt>
                <c:pt idx="89">
                  <c:v>26.355</c:v>
                </c:pt>
                <c:pt idx="90">
                  <c:v>26.55</c:v>
                </c:pt>
                <c:pt idx="91">
                  <c:v>26.745000000000001</c:v>
                </c:pt>
                <c:pt idx="92">
                  <c:v>26.94</c:v>
                </c:pt>
                <c:pt idx="93">
                  <c:v>27.135000000000002</c:v>
                </c:pt>
                <c:pt idx="94">
                  <c:v>27.33</c:v>
                </c:pt>
                <c:pt idx="95">
                  <c:v>27.524999999999999</c:v>
                </c:pt>
                <c:pt idx="96">
                  <c:v>27.72</c:v>
                </c:pt>
                <c:pt idx="97">
                  <c:v>27.914999999999999</c:v>
                </c:pt>
                <c:pt idx="98">
                  <c:v>28.11</c:v>
                </c:pt>
                <c:pt idx="99">
                  <c:v>28.305</c:v>
                </c:pt>
                <c:pt idx="100">
                  <c:v>28.5</c:v>
                </c:pt>
                <c:pt idx="101">
                  <c:v>28.695</c:v>
                </c:pt>
                <c:pt idx="102">
                  <c:v>28.89</c:v>
                </c:pt>
                <c:pt idx="103">
                  <c:v>29.085000000000001</c:v>
                </c:pt>
                <c:pt idx="104">
                  <c:v>29.28</c:v>
                </c:pt>
                <c:pt idx="105">
                  <c:v>29.475000000000001</c:v>
                </c:pt>
                <c:pt idx="106">
                  <c:v>29.67</c:v>
                </c:pt>
                <c:pt idx="107">
                  <c:v>29.865000000000002</c:v>
                </c:pt>
                <c:pt idx="108">
                  <c:v>30.060000000000002</c:v>
                </c:pt>
                <c:pt idx="109">
                  <c:v>30.255000000000003</c:v>
                </c:pt>
                <c:pt idx="110">
                  <c:v>30.450000000000003</c:v>
                </c:pt>
                <c:pt idx="111">
                  <c:v>30.645000000000003</c:v>
                </c:pt>
                <c:pt idx="112">
                  <c:v>30.840000000000003</c:v>
                </c:pt>
                <c:pt idx="113">
                  <c:v>31.034999999999997</c:v>
                </c:pt>
                <c:pt idx="114">
                  <c:v>31.229999999999997</c:v>
                </c:pt>
                <c:pt idx="115">
                  <c:v>31.424999999999997</c:v>
                </c:pt>
                <c:pt idx="116">
                  <c:v>31.619999999999997</c:v>
                </c:pt>
                <c:pt idx="117">
                  <c:v>31.814999999999998</c:v>
                </c:pt>
                <c:pt idx="118">
                  <c:v>32.01</c:v>
                </c:pt>
                <c:pt idx="119">
                  <c:v>32.204999999999998</c:v>
                </c:pt>
                <c:pt idx="120">
                  <c:v>32.4</c:v>
                </c:pt>
                <c:pt idx="121">
                  <c:v>32.594999999999999</c:v>
                </c:pt>
                <c:pt idx="122">
                  <c:v>32.79</c:v>
                </c:pt>
                <c:pt idx="123">
                  <c:v>32.984999999999999</c:v>
                </c:pt>
                <c:pt idx="124">
                  <c:v>33.18</c:v>
                </c:pt>
                <c:pt idx="125">
                  <c:v>33.375</c:v>
                </c:pt>
                <c:pt idx="126">
                  <c:v>33.57</c:v>
                </c:pt>
                <c:pt idx="127">
                  <c:v>33.765000000000001</c:v>
                </c:pt>
                <c:pt idx="128">
                  <c:v>33.96</c:v>
                </c:pt>
                <c:pt idx="129">
                  <c:v>34.155000000000001</c:v>
                </c:pt>
                <c:pt idx="130">
                  <c:v>34.35</c:v>
                </c:pt>
                <c:pt idx="131">
                  <c:v>34.545000000000002</c:v>
                </c:pt>
                <c:pt idx="132">
                  <c:v>34.74</c:v>
                </c:pt>
                <c:pt idx="133">
                  <c:v>34.935000000000002</c:v>
                </c:pt>
                <c:pt idx="134">
                  <c:v>35.130000000000003</c:v>
                </c:pt>
                <c:pt idx="135">
                  <c:v>35.325000000000003</c:v>
                </c:pt>
                <c:pt idx="136">
                  <c:v>35.520000000000003</c:v>
                </c:pt>
                <c:pt idx="137">
                  <c:v>35.715000000000003</c:v>
                </c:pt>
                <c:pt idx="138">
                  <c:v>35.909999999999997</c:v>
                </c:pt>
                <c:pt idx="139">
                  <c:v>36.104999999999997</c:v>
                </c:pt>
                <c:pt idx="140">
                  <c:v>36.299999999999997</c:v>
                </c:pt>
                <c:pt idx="141">
                  <c:v>36.494999999999997</c:v>
                </c:pt>
                <c:pt idx="142">
                  <c:v>36.69</c:v>
                </c:pt>
                <c:pt idx="143">
                  <c:v>36.884999999999998</c:v>
                </c:pt>
                <c:pt idx="144">
                  <c:v>37.08</c:v>
                </c:pt>
                <c:pt idx="145">
                  <c:v>37.274999999999999</c:v>
                </c:pt>
                <c:pt idx="146">
                  <c:v>37.47</c:v>
                </c:pt>
                <c:pt idx="147">
                  <c:v>37.664999999999999</c:v>
                </c:pt>
                <c:pt idx="148">
                  <c:v>37.86</c:v>
                </c:pt>
                <c:pt idx="149">
                  <c:v>38.055</c:v>
                </c:pt>
                <c:pt idx="150">
                  <c:v>38.25</c:v>
                </c:pt>
                <c:pt idx="151">
                  <c:v>38.445</c:v>
                </c:pt>
                <c:pt idx="152">
                  <c:v>38.64</c:v>
                </c:pt>
                <c:pt idx="153">
                  <c:v>38.835000000000001</c:v>
                </c:pt>
                <c:pt idx="154">
                  <c:v>39.03</c:v>
                </c:pt>
                <c:pt idx="155">
                  <c:v>39.225000000000001</c:v>
                </c:pt>
                <c:pt idx="156">
                  <c:v>39.42</c:v>
                </c:pt>
                <c:pt idx="157">
                  <c:v>39.615000000000002</c:v>
                </c:pt>
                <c:pt idx="158">
                  <c:v>39.81</c:v>
                </c:pt>
                <c:pt idx="159">
                  <c:v>40.005000000000003</c:v>
                </c:pt>
                <c:pt idx="160">
                  <c:v>40.200000000000003</c:v>
                </c:pt>
                <c:pt idx="161">
                  <c:v>40.395000000000003</c:v>
                </c:pt>
                <c:pt idx="162">
                  <c:v>40.590000000000003</c:v>
                </c:pt>
                <c:pt idx="163">
                  <c:v>40.784999999999997</c:v>
                </c:pt>
                <c:pt idx="164">
                  <c:v>40.98</c:v>
                </c:pt>
                <c:pt idx="165">
                  <c:v>41.174999999999997</c:v>
                </c:pt>
                <c:pt idx="166">
                  <c:v>41.37</c:v>
                </c:pt>
                <c:pt idx="167">
                  <c:v>41.564999999999998</c:v>
                </c:pt>
                <c:pt idx="168">
                  <c:v>41.76</c:v>
                </c:pt>
                <c:pt idx="169">
                  <c:v>41.954999999999998</c:v>
                </c:pt>
                <c:pt idx="170">
                  <c:v>42.15</c:v>
                </c:pt>
                <c:pt idx="171">
                  <c:v>42.344999999999999</c:v>
                </c:pt>
                <c:pt idx="172">
                  <c:v>42.54</c:v>
                </c:pt>
                <c:pt idx="173">
                  <c:v>42.734999999999999</c:v>
                </c:pt>
                <c:pt idx="174">
                  <c:v>42.93</c:v>
                </c:pt>
                <c:pt idx="175">
                  <c:v>43.125</c:v>
                </c:pt>
                <c:pt idx="176">
                  <c:v>43.32</c:v>
                </c:pt>
                <c:pt idx="177">
                  <c:v>43.515000000000001</c:v>
                </c:pt>
                <c:pt idx="178">
                  <c:v>43.71</c:v>
                </c:pt>
                <c:pt idx="179">
                  <c:v>43.905000000000001</c:v>
                </c:pt>
                <c:pt idx="180">
                  <c:v>44.1</c:v>
                </c:pt>
                <c:pt idx="181">
                  <c:v>44.295000000000002</c:v>
                </c:pt>
                <c:pt idx="182">
                  <c:v>44.49</c:v>
                </c:pt>
                <c:pt idx="183">
                  <c:v>44.685000000000002</c:v>
                </c:pt>
                <c:pt idx="184">
                  <c:v>44.88</c:v>
                </c:pt>
                <c:pt idx="185">
                  <c:v>45.075000000000003</c:v>
                </c:pt>
                <c:pt idx="186">
                  <c:v>45.27</c:v>
                </c:pt>
                <c:pt idx="187">
                  <c:v>45.465000000000003</c:v>
                </c:pt>
                <c:pt idx="188">
                  <c:v>45.66</c:v>
                </c:pt>
                <c:pt idx="189">
                  <c:v>45.854999999999997</c:v>
                </c:pt>
                <c:pt idx="190">
                  <c:v>46.05</c:v>
                </c:pt>
                <c:pt idx="191">
                  <c:v>46.244999999999997</c:v>
                </c:pt>
                <c:pt idx="192">
                  <c:v>46.44</c:v>
                </c:pt>
                <c:pt idx="193">
                  <c:v>46.634999999999998</c:v>
                </c:pt>
                <c:pt idx="194">
                  <c:v>46.83</c:v>
                </c:pt>
                <c:pt idx="195">
                  <c:v>47.024999999999999</c:v>
                </c:pt>
                <c:pt idx="196">
                  <c:v>47.22</c:v>
                </c:pt>
                <c:pt idx="197">
                  <c:v>47.414999999999999</c:v>
                </c:pt>
                <c:pt idx="198">
                  <c:v>47.61</c:v>
                </c:pt>
                <c:pt idx="199">
                  <c:v>47.805</c:v>
                </c:pt>
                <c:pt idx="200">
                  <c:v>48</c:v>
                </c:pt>
              </c:numCache>
            </c:numRef>
          </c:cat>
          <c:val>
            <c:numRef>
              <c:f>'Efficiency vs VIN Calculations'!$BL$9:$BL$209</c:f>
              <c:numCache>
                <c:formatCode>0.000</c:formatCode>
                <c:ptCount val="201"/>
                <c:pt idx="0">
                  <c:v>0.91928497141819931</c:v>
                </c:pt>
                <c:pt idx="1">
                  <c:v>0.83594872512630369</c:v>
                </c:pt>
                <c:pt idx="2">
                  <c:v>0.75869620681940009</c:v>
                </c:pt>
                <c:pt idx="3">
                  <c:v>0.68699928068034044</c:v>
                </c:pt>
                <c:pt idx="4">
                  <c:v>0.62038450737939321</c:v>
                </c:pt>
                <c:pt idx="5">
                  <c:v>0.55842654596797381</c:v>
                </c:pt>
                <c:pt idx="6">
                  <c:v>0.50074245252212035</c:v>
                </c:pt>
                <c:pt idx="7">
                  <c:v>0.44698673919400916</c:v>
                </c:pt>
                <c:pt idx="8">
                  <c:v>0.39684708014782344</c:v>
                </c:pt>
                <c:pt idx="9">
                  <c:v>0.35004056951706797</c:v>
                </c:pt>
                <c:pt idx="10">
                  <c:v>0.30631045184106453</c:v>
                </c:pt>
                <c:pt idx="11">
                  <c:v>0.26542325806400635</c:v>
                </c:pt>
                <c:pt idx="12">
                  <c:v>0.22716629062219199</c:v>
                </c:pt>
                <c:pt idx="13">
                  <c:v>0.19134540981164927</c:v>
                </c:pt>
                <c:pt idx="14">
                  <c:v>0.15778308084525786</c:v>
                </c:pt>
                <c:pt idx="15">
                  <c:v>0.21095754490891894</c:v>
                </c:pt>
                <c:pt idx="16">
                  <c:v>0.18280035358458888</c:v>
                </c:pt>
                <c:pt idx="17">
                  <c:v>0.15634878796982568</c:v>
                </c:pt>
                <c:pt idx="18">
                  <c:v>0.13148617027288861</c:v>
                </c:pt>
                <c:pt idx="19">
                  <c:v>0.10810358683921309</c:v>
                </c:pt>
                <c:pt idx="20">
                  <c:v>0.10681443644931782</c:v>
                </c:pt>
                <c:pt idx="21">
                  <c:v>0.12525133362351809</c:v>
                </c:pt>
                <c:pt idx="22">
                  <c:v>0.14317984483078172</c:v>
                </c:pt>
                <c:pt idx="23">
                  <c:v>0.16063066236202869</c:v>
                </c:pt>
                <c:pt idx="24">
                  <c:v>0.17763168712279637</c:v>
                </c:pt>
                <c:pt idx="25">
                  <c:v>0.19420833490797146</c:v>
                </c:pt>
                <c:pt idx="26">
                  <c:v>0.21038380510681484</c:v>
                </c:pt>
                <c:pt idx="27">
                  <c:v>0.22617931686125575</c:v>
                </c:pt>
                <c:pt idx="28">
                  <c:v>0.24161431697655025</c:v>
                </c:pt>
                <c:pt idx="29">
                  <c:v>0.14473254368552388</c:v>
                </c:pt>
                <c:pt idx="30">
                  <c:v>0.15862968732094909</c:v>
                </c:pt>
                <c:pt idx="31">
                  <c:v>0.17218487515620781</c:v>
                </c:pt>
                <c:pt idx="32">
                  <c:v>0.1854119074632998</c:v>
                </c:pt>
                <c:pt idx="33">
                  <c:v>0.19832378692444888</c:v>
                </c:pt>
                <c:pt idx="34">
                  <c:v>0.2109327785613436</c:v>
                </c:pt>
                <c:pt idx="35">
                  <c:v>0.22325046420512495</c:v>
                </c:pt>
                <c:pt idx="36">
                  <c:v>0.23528779208230816</c:v>
                </c:pt>
                <c:pt idx="37">
                  <c:v>0.24705512202385149</c:v>
                </c:pt>
                <c:pt idx="38">
                  <c:v>0.25856226674544752</c:v>
                </c:pt>
                <c:pt idx="39">
                  <c:v>0.26981852959554431</c:v>
                </c:pt>
                <c:pt idx="40">
                  <c:v>0.28083273912258827</c:v>
                </c:pt>
                <c:pt idx="41">
                  <c:v>0.29161328077357701</c:v>
                </c:pt>
                <c:pt idx="42">
                  <c:v>0.30216812600149129</c:v>
                </c:pt>
                <c:pt idx="43">
                  <c:v>0.31250485902885933</c:v>
                </c:pt>
                <c:pt idx="44">
                  <c:v>0.32263070148805245</c:v>
                </c:pt>
                <c:pt idx="45">
                  <c:v>0.33255253513543181</c:v>
                </c:pt>
                <c:pt idx="46">
                  <c:v>0.34227692281574212</c:v>
                </c:pt>
                <c:pt idx="47">
                  <c:v>0.35181012783485005</c:v>
                </c:pt>
                <c:pt idx="48">
                  <c:v>0.36115813188271711</c:v>
                </c:pt>
                <c:pt idx="49">
                  <c:v>0.37032665163413303</c:v>
                </c:pt>
                <c:pt idx="50">
                  <c:v>0.37932115414199247</c:v>
                </c:pt>
                <c:pt idx="51">
                  <c:v>0.38814687112655727</c:v>
                </c:pt>
                <c:pt idx="52">
                  <c:v>0.39680881225405673</c:v>
                </c:pt>
                <c:pt idx="53">
                  <c:v>0.40531177748898239</c:v>
                </c:pt>
                <c:pt idx="54">
                  <c:v>0.41366036859640776</c:v>
                </c:pt>
                <c:pt idx="55">
                  <c:v>0.42185899986346664</c:v>
                </c:pt>
                <c:pt idx="56">
                  <c:v>0.42991190810271712</c:v>
                </c:pt>
                <c:pt idx="57">
                  <c:v>0.43782316199433741</c:v>
                </c:pt>
                <c:pt idx="58">
                  <c:v>0.44559667081894672</c:v>
                </c:pt>
                <c:pt idx="59">
                  <c:v>0.45323619262817955</c:v>
                </c:pt>
                <c:pt idx="60">
                  <c:v>0.46074534189597727</c:v>
                </c:pt>
                <c:pt idx="61">
                  <c:v>0.46812759668978687</c:v>
                </c:pt>
                <c:pt idx="62">
                  <c:v>0.4753863053974598</c:v>
                </c:pt>
                <c:pt idx="63">
                  <c:v>0.48252469304257845</c:v>
                </c:pt>
                <c:pt idx="64">
                  <c:v>0.48954586721816984</c:v>
                </c:pt>
                <c:pt idx="65">
                  <c:v>0.49645282366624827</c:v>
                </c:pt>
                <c:pt idx="66">
                  <c:v>0.50324845152836195</c:v>
                </c:pt>
                <c:pt idx="67">
                  <c:v>0.50993553829025728</c:v>
                </c:pt>
                <c:pt idx="68">
                  <c:v>0.51651677444189614</c:v>
                </c:pt>
                <c:pt idx="69">
                  <c:v>0.52299475787236893</c:v>
                </c:pt>
                <c:pt idx="70">
                  <c:v>0.52937199801768764</c:v>
                </c:pt>
                <c:pt idx="71">
                  <c:v>0.53565091977804347</c:v>
                </c:pt>
                <c:pt idx="72">
                  <c:v>0.5418338672198213</c:v>
                </c:pt>
                <c:pt idx="73">
                  <c:v>0.54792310707649161</c:v>
                </c:pt>
                <c:pt idx="74">
                  <c:v>0.55392083206142717</c:v>
                </c:pt>
                <c:pt idx="75">
                  <c:v>0.55982916400471905</c:v>
                </c:pt>
                <c:pt idx="76">
                  <c:v>0.56565015682515751</c:v>
                </c:pt>
                <c:pt idx="77">
                  <c:v>0.57138579934773348</c:v>
                </c:pt>
                <c:pt idx="78">
                  <c:v>0.57703801797625609</c:v>
                </c:pt>
                <c:pt idx="79">
                  <c:v>0.58260867922998993</c:v>
                </c:pt>
                <c:pt idx="80">
                  <c:v>0.58809959215258922</c:v>
                </c:pt>
                <c:pt idx="81">
                  <c:v>0.59351251060100951</c:v>
                </c:pt>
                <c:pt idx="82">
                  <c:v>0.59884913542155038</c:v>
                </c:pt>
                <c:pt idx="83">
                  <c:v>0.60411111651968474</c:v>
                </c:pt>
                <c:pt idx="84">
                  <c:v>0.60930005482987415</c:v>
                </c:pt>
                <c:pt idx="85">
                  <c:v>0.6144175041911486</c:v>
                </c:pt>
                <c:pt idx="86">
                  <c:v>0.61946497313384352</c:v>
                </c:pt>
                <c:pt idx="87">
                  <c:v>0.62444392658252368</c:v>
                </c:pt>
                <c:pt idx="88">
                  <c:v>0.62935578747980292</c:v>
                </c:pt>
                <c:pt idx="89">
                  <c:v>0.63420193833544214</c:v>
                </c:pt>
                <c:pt idx="90">
                  <c:v>0.63898372270484716</c:v>
                </c:pt>
                <c:pt idx="91">
                  <c:v>0.64370244660081044</c:v>
                </c:pt>
                <c:pt idx="92">
                  <c:v>0.64835937984209624</c:v>
                </c:pt>
                <c:pt idx="93">
                  <c:v>0.65295575734225419</c:v>
                </c:pt>
                <c:pt idx="94">
                  <c:v>0.65749278034182079</c:v>
                </c:pt>
                <c:pt idx="95">
                  <c:v>0.66197161758688516</c:v>
                </c:pt>
                <c:pt idx="96">
                  <c:v>0.66639340645680933</c:v>
                </c:pt>
                <c:pt idx="97">
                  <c:v>0.67075925404371994</c:v>
                </c:pt>
                <c:pt idx="98">
                  <c:v>0.67507023818624201</c:v>
                </c:pt>
                <c:pt idx="99">
                  <c:v>0.67932740845978357</c:v>
                </c:pt>
                <c:pt idx="100">
                  <c:v>0.68353178712556129</c:v>
                </c:pt>
                <c:pt idx="101">
                  <c:v>0.6876843700404125</c:v>
                </c:pt>
                <c:pt idx="102">
                  <c:v>0.69178612752933066</c:v>
                </c:pt>
                <c:pt idx="103">
                  <c:v>0.69583800522254979</c:v>
                </c:pt>
                <c:pt idx="104">
                  <c:v>0.69984092485889315</c:v>
                </c:pt>
                <c:pt idx="105">
                  <c:v>0.70379578505701024</c:v>
                </c:pt>
                <c:pt idx="106">
                  <c:v>0.70770346205603374</c:v>
                </c:pt>
                <c:pt idx="107">
                  <c:v>0.71156481042710384</c:v>
                </c:pt>
                <c:pt idx="108">
                  <c:v>0.71538066375712106</c:v>
                </c:pt>
                <c:pt idx="109">
                  <c:v>0.71915183530602866</c:v>
                </c:pt>
                <c:pt idx="110">
                  <c:v>0.72287911863883725</c:v>
                </c:pt>
                <c:pt idx="111">
                  <c:v>0.72656328823355576</c:v>
                </c:pt>
                <c:pt idx="112">
                  <c:v>0.73020510006611705</c:v>
                </c:pt>
                <c:pt idx="113">
                  <c:v>0.73380529217334067</c:v>
                </c:pt>
                <c:pt idx="114">
                  <c:v>0.7373645851949111</c:v>
                </c:pt>
                <c:pt idx="115">
                  <c:v>0.74088368289530271</c:v>
                </c:pt>
                <c:pt idx="116">
                  <c:v>0.74436327266654001</c:v>
                </c:pt>
                <c:pt idx="117">
                  <c:v>0.74780402601262186</c:v>
                </c:pt>
                <c:pt idx="118">
                  <c:v>0.75120659901641507</c:v>
                </c:pt>
                <c:pt idx="119">
                  <c:v>0.75457163278976414</c:v>
                </c:pt>
                <c:pt idx="120">
                  <c:v>0.75789975390753928</c:v>
                </c:pt>
                <c:pt idx="121">
                  <c:v>0.76119157482630417</c:v>
                </c:pt>
                <c:pt idx="122">
                  <c:v>0.7644476942882461</c:v>
                </c:pt>
                <c:pt idx="123">
                  <c:v>0.76766869771099444</c:v>
                </c:pt>
                <c:pt idx="124">
                  <c:v>0.77085515756390477</c:v>
                </c:pt>
                <c:pt idx="125">
                  <c:v>0.77400763373136849</c:v>
                </c:pt>
                <c:pt idx="126">
                  <c:v>0.77712667386368628</c:v>
                </c:pt>
                <c:pt idx="127">
                  <c:v>0.78021281371600049</c:v>
                </c:pt>
                <c:pt idx="128">
                  <c:v>0.78326657747577499</c:v>
                </c:pt>
                <c:pt idx="129">
                  <c:v>0.78628847807928204</c:v>
                </c:pt>
                <c:pt idx="130">
                  <c:v>0.78927901751753271</c:v>
                </c:pt>
                <c:pt idx="131">
                  <c:v>0.79223868713206602</c:v>
                </c:pt>
                <c:pt idx="132">
                  <c:v>0.79516796790100197</c:v>
                </c:pt>
                <c:pt idx="133">
                  <c:v>0.79806733071572988</c:v>
                </c:pt>
                <c:pt idx="134">
                  <c:v>0.80093723664860506</c:v>
                </c:pt>
                <c:pt idx="135">
                  <c:v>0.80377813721199309</c:v>
                </c:pt>
                <c:pt idx="136">
                  <c:v>0.80659047460899314</c:v>
                </c:pt>
                <c:pt idx="137">
                  <c:v>0.80937468197616347</c:v>
                </c:pt>
                <c:pt idx="138">
                  <c:v>0.81213118361854497</c:v>
                </c:pt>
                <c:pt idx="139">
                  <c:v>0.81486039523727261</c:v>
                </c:pt>
                <c:pt idx="140">
                  <c:v>0.81756272415005771</c:v>
                </c:pt>
                <c:pt idx="141">
                  <c:v>0.82023856950479368</c:v>
                </c:pt>
                <c:pt idx="142">
                  <c:v>0.82288832248655597</c:v>
                </c:pt>
                <c:pt idx="143">
                  <c:v>0.82551236651821847</c:v>
                </c:pt>
                <c:pt idx="144">
                  <c:v>0.82811107745493628</c:v>
                </c:pt>
                <c:pt idx="145">
                  <c:v>0.83068482377270425</c:v>
                </c:pt>
                <c:pt idx="146">
                  <c:v>0.8332339667512132</c:v>
                </c:pt>
                <c:pt idx="147">
                  <c:v>0.83575886065120397</c:v>
                </c:pt>
                <c:pt idx="148">
                  <c:v>0.83825985288651217</c:v>
                </c:pt>
                <c:pt idx="149">
                  <c:v>0.84073728419100024</c:v>
                </c:pt>
                <c:pt idx="150">
                  <c:v>0.84319148878054495</c:v>
                </c:pt>
                <c:pt idx="151">
                  <c:v>0.84562279451026456</c:v>
                </c:pt>
                <c:pt idx="152">
                  <c:v>0.84803152302713913</c:v>
                </c:pt>
                <c:pt idx="153">
                  <c:v>0.85041798991819739</c:v>
                </c:pt>
                <c:pt idx="154">
                  <c:v>0.85278250485440721</c:v>
                </c:pt>
                <c:pt idx="155">
                  <c:v>0.85512537173043124</c:v>
                </c:pt>
                <c:pt idx="156">
                  <c:v>0.85744688880037401</c:v>
                </c:pt>
                <c:pt idx="157">
                  <c:v>0.85974734880966841</c:v>
                </c:pt>
                <c:pt idx="158">
                  <c:v>0.86202703912322221</c:v>
                </c:pt>
                <c:pt idx="159">
                  <c:v>0.8642862418499544</c:v>
                </c:pt>
                <c:pt idx="160">
                  <c:v>0.86652523396384218</c:v>
                </c:pt>
                <c:pt idx="161">
                  <c:v>0.86874428742158738</c:v>
                </c:pt>
                <c:pt idx="162">
                  <c:v>0.87094366927702316</c:v>
                </c:pt>
                <c:pt idx="163">
                  <c:v>0.87312364179235635</c:v>
                </c:pt>
                <c:pt idx="164">
                  <c:v>0.87528446254636239</c:v>
                </c:pt>
                <c:pt idx="165">
                  <c:v>0.87742638453961652</c:v>
                </c:pt>
                <c:pt idx="166">
                  <c:v>0.8795496562968671</c:v>
                </c:pt>
                <c:pt idx="167">
                  <c:v>0.88165452196663763</c:v>
                </c:pt>
                <c:pt idx="168">
                  <c:v>0.8837412214181517</c:v>
                </c:pt>
                <c:pt idx="169">
                  <c:v>0.88580999033565522</c:v>
                </c:pt>
                <c:pt idx="170">
                  <c:v>0.88786106031022838</c:v>
                </c:pt>
                <c:pt idx="171">
                  <c:v>0.88989465892916053</c:v>
                </c:pt>
                <c:pt idx="172">
                  <c:v>0.89191100986296756</c:v>
                </c:pt>
                <c:pt idx="173">
                  <c:v>0.89391033295012035</c:v>
                </c:pt>
                <c:pt idx="174">
                  <c:v>0.89589284427955873</c:v>
                </c:pt>
                <c:pt idx="175">
                  <c:v>0.89785875627106004</c:v>
                </c:pt>
                <c:pt idx="176">
                  <c:v>0.89980827775352268</c:v>
                </c:pt>
                <c:pt idx="177">
                  <c:v>0.90174161404123521</c:v>
                </c:pt>
                <c:pt idx="178">
                  <c:v>0.90365896700818438</c:v>
                </c:pt>
                <c:pt idx="179">
                  <c:v>0.90556053516047208</c:v>
                </c:pt>
                <c:pt idx="180">
                  <c:v>0.90744651370688045</c:v>
                </c:pt>
                <c:pt idx="181">
                  <c:v>0.9093170946276643</c:v>
                </c:pt>
                <c:pt idx="182">
                  <c:v>0.91117246674159946</c:v>
                </c:pt>
                <c:pt idx="183">
                  <c:v>0.91301281577135673</c:v>
                </c:pt>
                <c:pt idx="184">
                  <c:v>0.91483832440724178</c:v>
                </c:pt>
                <c:pt idx="185">
                  <c:v>0.91664917236934984</c:v>
                </c:pt>
                <c:pt idx="186">
                  <c:v>0.91844553646818394</c:v>
                </c:pt>
                <c:pt idx="187">
                  <c:v>0.92022759066378224</c:v>
                </c:pt>
                <c:pt idx="188">
                  <c:v>0.92199550612339032</c:v>
                </c:pt>
                <c:pt idx="189">
                  <c:v>0.92374945127772956</c:v>
                </c:pt>
                <c:pt idx="190">
                  <c:v>0.92548959187589819</c:v>
                </c:pt>
                <c:pt idx="191">
                  <c:v>0.92721609103894009</c:v>
                </c:pt>
                <c:pt idx="192">
                  <c:v>0.92892910931212513</c:v>
                </c:pt>
                <c:pt idx="193">
                  <c:v>0.93062880471597687</c:v>
                </c:pt>
                <c:pt idx="194">
                  <c:v>0.93231533279607681</c:v>
                </c:pt>
                <c:pt idx="195">
                  <c:v>0.93398884667168658</c:v>
                </c:pt>
                <c:pt idx="196">
                  <c:v>0.93564949708322021</c:v>
                </c:pt>
                <c:pt idx="197">
                  <c:v>0.9372974324385912</c:v>
                </c:pt>
                <c:pt idx="198">
                  <c:v>0.93893279885847714</c:v>
                </c:pt>
                <c:pt idx="199">
                  <c:v>0.94055574022052013</c:v>
                </c:pt>
                <c:pt idx="200">
                  <c:v>0.94216639820250148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01-4995-8D1B-32BA3094CE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951872"/>
        <c:axId val="157949952"/>
      </c:lineChart>
      <c:catAx>
        <c:axId val="157945856"/>
        <c:scaling>
          <c:orientation val="minMax"/>
        </c:scaling>
        <c:delete val="0"/>
        <c:axPos val="b"/>
        <c:majorGridlines>
          <c:spPr>
            <a:ln w="15875">
              <a:solidFill>
                <a:srgbClr val="969696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300" b="1" i="0" u="none" strike="noStrike" baseline="0">
                    <a:solidFill>
                      <a:srgbClr val="0000FF"/>
                    </a:solidFill>
                    <a:latin typeface="Arial" pitchFamily="34" charset="0"/>
                    <a:ea typeface="Calibri"/>
                    <a:cs typeface="Arial" pitchFamily="34" charset="0"/>
                  </a:defRPr>
                </a:pPr>
                <a:r>
                  <a:rPr lang="en-US" sz="1300">
                    <a:solidFill>
                      <a:srgbClr val="0000FF"/>
                    </a:solidFill>
                    <a:latin typeface="Arial" pitchFamily="34" charset="0"/>
                    <a:cs typeface="Arial" pitchFamily="34" charset="0"/>
                  </a:rPr>
                  <a:t>Input Voltage (V)</a:t>
                </a:r>
              </a:p>
            </c:rich>
          </c:tx>
          <c:layout>
            <c:manualLayout>
              <c:xMode val="edge"/>
              <c:yMode val="edge"/>
              <c:x val="0.41625343343709942"/>
              <c:y val="0.9457191357373133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in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FF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endParaRPr lang="en-US"/>
          </a:p>
        </c:txPr>
        <c:crossAx val="157947776"/>
        <c:crosses val="autoZero"/>
        <c:auto val="1"/>
        <c:lblAlgn val="ctr"/>
        <c:lblOffset val="100"/>
        <c:tickLblSkip val="50"/>
        <c:tickMarkSkip val="25"/>
        <c:noMultiLvlLbl val="1"/>
      </c:catAx>
      <c:valAx>
        <c:axId val="157947776"/>
        <c:scaling>
          <c:orientation val="minMax"/>
          <c:max val="100"/>
          <c:min val="80"/>
        </c:scaling>
        <c:delete val="0"/>
        <c:axPos val="l"/>
        <c:majorGridlines>
          <c:spPr>
            <a:ln w="15875">
              <a:solidFill>
                <a:srgbClr val="808080"/>
              </a:solidFill>
              <a:prstDash val="solid"/>
            </a:ln>
          </c:spPr>
        </c:majorGridlines>
        <c:minorGridlines/>
        <c:title>
          <c:tx>
            <c:rich>
              <a:bodyPr/>
              <a:lstStyle/>
              <a:p>
                <a:pPr>
                  <a:defRPr sz="1300" b="1" i="0" u="none" strike="noStrike" baseline="0">
                    <a:solidFill>
                      <a:srgbClr val="FF0000"/>
                    </a:solidFill>
                    <a:latin typeface="Arial" pitchFamily="34" charset="0"/>
                    <a:ea typeface="Calibri"/>
                    <a:cs typeface="Arial" pitchFamily="34" charset="0"/>
                  </a:defRPr>
                </a:pPr>
                <a:r>
                  <a:rPr lang="en-US" sz="1300" b="1">
                    <a:solidFill>
                      <a:srgbClr val="FF0000"/>
                    </a:solidFill>
                    <a:latin typeface="Arial" pitchFamily="34" charset="0"/>
                    <a:cs typeface="Arial" pitchFamily="34" charset="0"/>
                  </a:rPr>
                  <a:t>Efficiency (%)</a:t>
                </a:r>
              </a:p>
            </c:rich>
          </c:tx>
          <c:layout>
            <c:manualLayout>
              <c:xMode val="edge"/>
              <c:yMode val="edge"/>
              <c:x val="1.2871858674081443E-2"/>
              <c:y val="0.3763817791568839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FF000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endParaRPr lang="en-US"/>
          </a:p>
        </c:txPr>
        <c:crossAx val="157945856"/>
        <c:crosses val="autoZero"/>
        <c:crossBetween val="between"/>
        <c:majorUnit val="5"/>
        <c:minorUnit val="2.5"/>
      </c:valAx>
      <c:valAx>
        <c:axId val="157949952"/>
        <c:scaling>
          <c:orientation val="minMax"/>
          <c:min val="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 sz="1400" b="1"/>
                </a:pPr>
                <a:r>
                  <a:rPr lang="en-US" sz="1400" b="1"/>
                  <a:t>Power Loss (W)</a:t>
                </a:r>
              </a:p>
            </c:rich>
          </c:tx>
          <c:layout>
            <c:manualLayout>
              <c:xMode val="edge"/>
              <c:yMode val="edge"/>
              <c:x val="0.95594291793250197"/>
              <c:y val="0.37048873366731228"/>
            </c:manualLayout>
          </c:layout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1100" b="1">
                <a:solidFill>
                  <a:sysClr val="windowText" lastClr="000000"/>
                </a:solidFill>
              </a:defRPr>
            </a:pPr>
            <a:endParaRPr lang="en-US"/>
          </a:p>
        </c:txPr>
        <c:crossAx val="157951872"/>
        <c:crosses val="max"/>
        <c:crossBetween val="between"/>
      </c:valAx>
      <c:catAx>
        <c:axId val="157951872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157949952"/>
        <c:crosses val="autoZero"/>
        <c:auto val="1"/>
        <c:lblAlgn val="ctr"/>
        <c:lblOffset val="100"/>
        <c:noMultiLvlLbl val="0"/>
      </c:catAx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37214586160317298"/>
          <c:y val="1.1892546194234431E-2"/>
          <c:w val="0.6110537765428794"/>
          <c:h val="9.0576560908423698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Arial" pitchFamily="34" charset="0"/>
              <a:ea typeface="Calibri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solidFill>
        <a:srgbClr val="808080"/>
      </a:solidFill>
    </a:ln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 paperSize="5"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200"/>
              <a:t> MOSFET Temp Rise</a:t>
            </a:r>
          </a:p>
        </c:rich>
      </c:tx>
      <c:layout>
        <c:manualLayout>
          <c:xMode val="edge"/>
          <c:yMode val="edge"/>
          <c:x val="0.42625201261607004"/>
          <c:y val="5.397174465617833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64104795743185"/>
          <c:y val="0.15757606845026328"/>
          <c:w val="0.85614122031885154"/>
          <c:h val="0.71717313204926625"/>
        </c:manualLayout>
      </c:layout>
      <c:scatterChart>
        <c:scatterStyle val="lineMarker"/>
        <c:varyColors val="0"/>
        <c:ser>
          <c:idx val="0"/>
          <c:order val="0"/>
          <c:tx>
            <c:v>High-side MOSFET</c:v>
          </c:tx>
          <c:spPr>
            <a:ln w="31750">
              <a:solidFill>
                <a:srgbClr val="000080"/>
              </a:solidFill>
              <a:prstDash val="dash"/>
            </a:ln>
          </c:spPr>
          <c:marker>
            <c:symbol val="none"/>
          </c:marker>
          <c:xVal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9.1950000000000003</c:v>
                </c:pt>
                <c:pt idx="2">
                  <c:v>9.39</c:v>
                </c:pt>
                <c:pt idx="3">
                  <c:v>9.5850000000000009</c:v>
                </c:pt>
                <c:pt idx="4">
                  <c:v>9.7799999999999994</c:v>
                </c:pt>
                <c:pt idx="5">
                  <c:v>9.9749999999999996</c:v>
                </c:pt>
                <c:pt idx="6">
                  <c:v>10.17</c:v>
                </c:pt>
                <c:pt idx="7">
                  <c:v>10.365</c:v>
                </c:pt>
                <c:pt idx="8">
                  <c:v>10.56</c:v>
                </c:pt>
                <c:pt idx="9">
                  <c:v>10.754999999999999</c:v>
                </c:pt>
                <c:pt idx="10">
                  <c:v>10.95</c:v>
                </c:pt>
                <c:pt idx="11">
                  <c:v>11.145</c:v>
                </c:pt>
                <c:pt idx="12">
                  <c:v>11.34</c:v>
                </c:pt>
                <c:pt idx="13">
                  <c:v>11.535</c:v>
                </c:pt>
                <c:pt idx="14">
                  <c:v>11.73</c:v>
                </c:pt>
                <c:pt idx="15">
                  <c:v>11.925000000000001</c:v>
                </c:pt>
                <c:pt idx="16">
                  <c:v>12.120000000000001</c:v>
                </c:pt>
                <c:pt idx="17">
                  <c:v>12.315000000000001</c:v>
                </c:pt>
                <c:pt idx="18">
                  <c:v>12.51</c:v>
                </c:pt>
                <c:pt idx="19">
                  <c:v>12.705</c:v>
                </c:pt>
                <c:pt idx="20">
                  <c:v>12.9</c:v>
                </c:pt>
                <c:pt idx="21">
                  <c:v>13.094999999999999</c:v>
                </c:pt>
                <c:pt idx="22">
                  <c:v>13.29</c:v>
                </c:pt>
                <c:pt idx="23">
                  <c:v>13.484999999999999</c:v>
                </c:pt>
                <c:pt idx="24">
                  <c:v>13.68</c:v>
                </c:pt>
                <c:pt idx="25">
                  <c:v>13.875</c:v>
                </c:pt>
                <c:pt idx="26">
                  <c:v>14.07</c:v>
                </c:pt>
                <c:pt idx="27">
                  <c:v>14.265000000000001</c:v>
                </c:pt>
                <c:pt idx="28">
                  <c:v>14.46</c:v>
                </c:pt>
                <c:pt idx="29">
                  <c:v>14.654999999999999</c:v>
                </c:pt>
                <c:pt idx="30">
                  <c:v>14.85</c:v>
                </c:pt>
                <c:pt idx="31">
                  <c:v>15.045</c:v>
                </c:pt>
                <c:pt idx="32">
                  <c:v>15.24</c:v>
                </c:pt>
                <c:pt idx="33">
                  <c:v>15.435</c:v>
                </c:pt>
                <c:pt idx="34">
                  <c:v>15.63</c:v>
                </c:pt>
                <c:pt idx="35">
                  <c:v>15.824999999999999</c:v>
                </c:pt>
                <c:pt idx="36">
                  <c:v>16.02</c:v>
                </c:pt>
                <c:pt idx="37">
                  <c:v>16.215</c:v>
                </c:pt>
                <c:pt idx="38">
                  <c:v>16.41</c:v>
                </c:pt>
                <c:pt idx="39">
                  <c:v>16.605</c:v>
                </c:pt>
                <c:pt idx="40">
                  <c:v>16.8</c:v>
                </c:pt>
                <c:pt idx="41">
                  <c:v>16.994999999999997</c:v>
                </c:pt>
                <c:pt idx="42">
                  <c:v>17.189999999999998</c:v>
                </c:pt>
                <c:pt idx="43">
                  <c:v>17.384999999999998</c:v>
                </c:pt>
                <c:pt idx="44">
                  <c:v>17.579999999999998</c:v>
                </c:pt>
                <c:pt idx="45">
                  <c:v>17.774999999999999</c:v>
                </c:pt>
                <c:pt idx="46">
                  <c:v>17.97</c:v>
                </c:pt>
                <c:pt idx="47">
                  <c:v>18.164999999999999</c:v>
                </c:pt>
                <c:pt idx="48">
                  <c:v>18.36</c:v>
                </c:pt>
                <c:pt idx="49">
                  <c:v>18.555</c:v>
                </c:pt>
                <c:pt idx="50">
                  <c:v>18.75</c:v>
                </c:pt>
                <c:pt idx="51">
                  <c:v>18.945</c:v>
                </c:pt>
                <c:pt idx="52">
                  <c:v>19.14</c:v>
                </c:pt>
                <c:pt idx="53">
                  <c:v>19.335000000000001</c:v>
                </c:pt>
                <c:pt idx="54">
                  <c:v>19.53</c:v>
                </c:pt>
                <c:pt idx="55">
                  <c:v>19.725000000000001</c:v>
                </c:pt>
                <c:pt idx="56">
                  <c:v>19.920000000000002</c:v>
                </c:pt>
                <c:pt idx="57">
                  <c:v>20.114999999999998</c:v>
                </c:pt>
                <c:pt idx="58">
                  <c:v>20.309999999999999</c:v>
                </c:pt>
                <c:pt idx="59">
                  <c:v>20.504999999999999</c:v>
                </c:pt>
                <c:pt idx="60">
                  <c:v>20.7</c:v>
                </c:pt>
                <c:pt idx="61">
                  <c:v>20.895</c:v>
                </c:pt>
                <c:pt idx="62">
                  <c:v>21.09</c:v>
                </c:pt>
                <c:pt idx="63">
                  <c:v>21.285</c:v>
                </c:pt>
                <c:pt idx="64">
                  <c:v>21.48</c:v>
                </c:pt>
                <c:pt idx="65">
                  <c:v>21.675000000000001</c:v>
                </c:pt>
                <c:pt idx="66">
                  <c:v>21.87</c:v>
                </c:pt>
                <c:pt idx="67">
                  <c:v>22.065000000000001</c:v>
                </c:pt>
                <c:pt idx="68">
                  <c:v>22.26</c:v>
                </c:pt>
                <c:pt idx="69">
                  <c:v>22.454999999999998</c:v>
                </c:pt>
                <c:pt idx="70">
                  <c:v>22.65</c:v>
                </c:pt>
                <c:pt idx="71">
                  <c:v>22.844999999999999</c:v>
                </c:pt>
                <c:pt idx="72">
                  <c:v>23.04</c:v>
                </c:pt>
                <c:pt idx="73">
                  <c:v>23.234999999999999</c:v>
                </c:pt>
                <c:pt idx="74">
                  <c:v>23.43</c:v>
                </c:pt>
                <c:pt idx="75">
                  <c:v>23.625</c:v>
                </c:pt>
                <c:pt idx="76">
                  <c:v>23.82</c:v>
                </c:pt>
                <c:pt idx="77">
                  <c:v>24.015000000000001</c:v>
                </c:pt>
                <c:pt idx="78">
                  <c:v>24.21</c:v>
                </c:pt>
                <c:pt idx="79">
                  <c:v>24.405000000000001</c:v>
                </c:pt>
                <c:pt idx="80">
                  <c:v>24.6</c:v>
                </c:pt>
                <c:pt idx="81">
                  <c:v>24.795000000000002</c:v>
                </c:pt>
                <c:pt idx="82">
                  <c:v>24.99</c:v>
                </c:pt>
                <c:pt idx="83">
                  <c:v>25.184999999999999</c:v>
                </c:pt>
                <c:pt idx="84">
                  <c:v>25.38</c:v>
                </c:pt>
                <c:pt idx="85">
                  <c:v>25.574999999999999</c:v>
                </c:pt>
                <c:pt idx="86">
                  <c:v>25.77</c:v>
                </c:pt>
                <c:pt idx="87">
                  <c:v>25.965</c:v>
                </c:pt>
                <c:pt idx="88">
                  <c:v>26.16</c:v>
                </c:pt>
                <c:pt idx="89">
                  <c:v>26.355</c:v>
                </c:pt>
                <c:pt idx="90">
                  <c:v>26.55</c:v>
                </c:pt>
                <c:pt idx="91">
                  <c:v>26.745000000000001</c:v>
                </c:pt>
                <c:pt idx="92">
                  <c:v>26.94</c:v>
                </c:pt>
                <c:pt idx="93">
                  <c:v>27.135000000000002</c:v>
                </c:pt>
                <c:pt idx="94">
                  <c:v>27.33</c:v>
                </c:pt>
                <c:pt idx="95">
                  <c:v>27.524999999999999</c:v>
                </c:pt>
                <c:pt idx="96">
                  <c:v>27.72</c:v>
                </c:pt>
                <c:pt idx="97">
                  <c:v>27.914999999999999</c:v>
                </c:pt>
                <c:pt idx="98">
                  <c:v>28.11</c:v>
                </c:pt>
                <c:pt idx="99">
                  <c:v>28.305</c:v>
                </c:pt>
                <c:pt idx="100">
                  <c:v>28.5</c:v>
                </c:pt>
                <c:pt idx="101">
                  <c:v>28.695</c:v>
                </c:pt>
                <c:pt idx="102">
                  <c:v>28.89</c:v>
                </c:pt>
                <c:pt idx="103">
                  <c:v>29.085000000000001</c:v>
                </c:pt>
                <c:pt idx="104">
                  <c:v>29.28</c:v>
                </c:pt>
                <c:pt idx="105">
                  <c:v>29.475000000000001</c:v>
                </c:pt>
                <c:pt idx="106">
                  <c:v>29.67</c:v>
                </c:pt>
                <c:pt idx="107">
                  <c:v>29.865000000000002</c:v>
                </c:pt>
                <c:pt idx="108">
                  <c:v>30.060000000000002</c:v>
                </c:pt>
                <c:pt idx="109">
                  <c:v>30.255000000000003</c:v>
                </c:pt>
                <c:pt idx="110">
                  <c:v>30.450000000000003</c:v>
                </c:pt>
                <c:pt idx="111">
                  <c:v>30.645000000000003</c:v>
                </c:pt>
                <c:pt idx="112">
                  <c:v>30.840000000000003</c:v>
                </c:pt>
                <c:pt idx="113">
                  <c:v>31.034999999999997</c:v>
                </c:pt>
                <c:pt idx="114">
                  <c:v>31.229999999999997</c:v>
                </c:pt>
                <c:pt idx="115">
                  <c:v>31.424999999999997</c:v>
                </c:pt>
                <c:pt idx="116">
                  <c:v>31.619999999999997</c:v>
                </c:pt>
                <c:pt idx="117">
                  <c:v>31.814999999999998</c:v>
                </c:pt>
                <c:pt idx="118">
                  <c:v>32.01</c:v>
                </c:pt>
                <c:pt idx="119">
                  <c:v>32.204999999999998</c:v>
                </c:pt>
                <c:pt idx="120">
                  <c:v>32.4</c:v>
                </c:pt>
                <c:pt idx="121">
                  <c:v>32.594999999999999</c:v>
                </c:pt>
                <c:pt idx="122">
                  <c:v>32.79</c:v>
                </c:pt>
                <c:pt idx="123">
                  <c:v>32.984999999999999</c:v>
                </c:pt>
                <c:pt idx="124">
                  <c:v>33.18</c:v>
                </c:pt>
                <c:pt idx="125">
                  <c:v>33.375</c:v>
                </c:pt>
                <c:pt idx="126">
                  <c:v>33.57</c:v>
                </c:pt>
                <c:pt idx="127">
                  <c:v>33.765000000000001</c:v>
                </c:pt>
                <c:pt idx="128">
                  <c:v>33.96</c:v>
                </c:pt>
                <c:pt idx="129">
                  <c:v>34.155000000000001</c:v>
                </c:pt>
                <c:pt idx="130">
                  <c:v>34.35</c:v>
                </c:pt>
                <c:pt idx="131">
                  <c:v>34.545000000000002</c:v>
                </c:pt>
                <c:pt idx="132">
                  <c:v>34.74</c:v>
                </c:pt>
                <c:pt idx="133">
                  <c:v>34.935000000000002</c:v>
                </c:pt>
                <c:pt idx="134">
                  <c:v>35.130000000000003</c:v>
                </c:pt>
                <c:pt idx="135">
                  <c:v>35.325000000000003</c:v>
                </c:pt>
                <c:pt idx="136">
                  <c:v>35.520000000000003</c:v>
                </c:pt>
                <c:pt idx="137">
                  <c:v>35.715000000000003</c:v>
                </c:pt>
                <c:pt idx="138">
                  <c:v>35.909999999999997</c:v>
                </c:pt>
                <c:pt idx="139">
                  <c:v>36.104999999999997</c:v>
                </c:pt>
                <c:pt idx="140">
                  <c:v>36.299999999999997</c:v>
                </c:pt>
                <c:pt idx="141">
                  <c:v>36.494999999999997</c:v>
                </c:pt>
                <c:pt idx="142">
                  <c:v>36.69</c:v>
                </c:pt>
                <c:pt idx="143">
                  <c:v>36.884999999999998</c:v>
                </c:pt>
                <c:pt idx="144">
                  <c:v>37.08</c:v>
                </c:pt>
                <c:pt idx="145">
                  <c:v>37.274999999999999</c:v>
                </c:pt>
                <c:pt idx="146">
                  <c:v>37.47</c:v>
                </c:pt>
                <c:pt idx="147">
                  <c:v>37.664999999999999</c:v>
                </c:pt>
                <c:pt idx="148">
                  <c:v>37.86</c:v>
                </c:pt>
                <c:pt idx="149">
                  <c:v>38.055</c:v>
                </c:pt>
                <c:pt idx="150">
                  <c:v>38.25</c:v>
                </c:pt>
                <c:pt idx="151">
                  <c:v>38.445</c:v>
                </c:pt>
                <c:pt idx="152">
                  <c:v>38.64</c:v>
                </c:pt>
                <c:pt idx="153">
                  <c:v>38.835000000000001</c:v>
                </c:pt>
                <c:pt idx="154">
                  <c:v>39.03</c:v>
                </c:pt>
                <c:pt idx="155">
                  <c:v>39.225000000000001</c:v>
                </c:pt>
                <c:pt idx="156">
                  <c:v>39.42</c:v>
                </c:pt>
                <c:pt idx="157">
                  <c:v>39.615000000000002</c:v>
                </c:pt>
                <c:pt idx="158">
                  <c:v>39.81</c:v>
                </c:pt>
                <c:pt idx="159">
                  <c:v>40.005000000000003</c:v>
                </c:pt>
                <c:pt idx="160">
                  <c:v>40.200000000000003</c:v>
                </c:pt>
                <c:pt idx="161">
                  <c:v>40.395000000000003</c:v>
                </c:pt>
                <c:pt idx="162">
                  <c:v>40.590000000000003</c:v>
                </c:pt>
                <c:pt idx="163">
                  <c:v>40.784999999999997</c:v>
                </c:pt>
                <c:pt idx="164">
                  <c:v>40.98</c:v>
                </c:pt>
                <c:pt idx="165">
                  <c:v>41.174999999999997</c:v>
                </c:pt>
                <c:pt idx="166">
                  <c:v>41.37</c:v>
                </c:pt>
                <c:pt idx="167">
                  <c:v>41.564999999999998</c:v>
                </c:pt>
                <c:pt idx="168">
                  <c:v>41.76</c:v>
                </c:pt>
                <c:pt idx="169">
                  <c:v>41.954999999999998</c:v>
                </c:pt>
                <c:pt idx="170">
                  <c:v>42.15</c:v>
                </c:pt>
                <c:pt idx="171">
                  <c:v>42.344999999999999</c:v>
                </c:pt>
                <c:pt idx="172">
                  <c:v>42.54</c:v>
                </c:pt>
                <c:pt idx="173">
                  <c:v>42.734999999999999</c:v>
                </c:pt>
                <c:pt idx="174">
                  <c:v>42.93</c:v>
                </c:pt>
                <c:pt idx="175">
                  <c:v>43.125</c:v>
                </c:pt>
                <c:pt idx="176">
                  <c:v>43.32</c:v>
                </c:pt>
                <c:pt idx="177">
                  <c:v>43.515000000000001</c:v>
                </c:pt>
                <c:pt idx="178">
                  <c:v>43.71</c:v>
                </c:pt>
                <c:pt idx="179">
                  <c:v>43.905000000000001</c:v>
                </c:pt>
                <c:pt idx="180">
                  <c:v>44.1</c:v>
                </c:pt>
                <c:pt idx="181">
                  <c:v>44.295000000000002</c:v>
                </c:pt>
                <c:pt idx="182">
                  <c:v>44.49</c:v>
                </c:pt>
                <c:pt idx="183">
                  <c:v>44.685000000000002</c:v>
                </c:pt>
                <c:pt idx="184">
                  <c:v>44.88</c:v>
                </c:pt>
                <c:pt idx="185">
                  <c:v>45.075000000000003</c:v>
                </c:pt>
                <c:pt idx="186">
                  <c:v>45.27</c:v>
                </c:pt>
                <c:pt idx="187">
                  <c:v>45.465000000000003</c:v>
                </c:pt>
                <c:pt idx="188">
                  <c:v>45.66</c:v>
                </c:pt>
                <c:pt idx="189">
                  <c:v>45.854999999999997</c:v>
                </c:pt>
                <c:pt idx="190">
                  <c:v>46.05</c:v>
                </c:pt>
                <c:pt idx="191">
                  <c:v>46.244999999999997</c:v>
                </c:pt>
                <c:pt idx="192">
                  <c:v>46.44</c:v>
                </c:pt>
                <c:pt idx="193">
                  <c:v>46.634999999999998</c:v>
                </c:pt>
                <c:pt idx="194">
                  <c:v>46.83</c:v>
                </c:pt>
                <c:pt idx="195">
                  <c:v>47.024999999999999</c:v>
                </c:pt>
                <c:pt idx="196">
                  <c:v>47.22</c:v>
                </c:pt>
                <c:pt idx="197">
                  <c:v>47.414999999999999</c:v>
                </c:pt>
                <c:pt idx="198">
                  <c:v>47.61</c:v>
                </c:pt>
                <c:pt idx="199">
                  <c:v>47.805</c:v>
                </c:pt>
                <c:pt idx="200">
                  <c:v>48</c:v>
                </c:pt>
              </c:numCache>
            </c:numRef>
          </c:xVal>
          <c:yVal>
            <c:numRef>
              <c:f>'Efficiency vs VIN Calculations'!$BE$9:$BE$209</c:f>
              <c:numCache>
                <c:formatCode>0.0</c:formatCode>
                <c:ptCount val="201"/>
                <c:pt idx="0">
                  <c:v>200.77759861519166</c:v>
                </c:pt>
                <c:pt idx="1">
                  <c:v>195.63361947226358</c:v>
                </c:pt>
                <c:pt idx="2">
                  <c:v>190.76949860468221</c:v>
                </c:pt>
                <c:pt idx="3">
                  <c:v>186.16251168046773</c:v>
                </c:pt>
                <c:pt idx="4">
                  <c:v>181.7923635933154</c:v>
                </c:pt>
                <c:pt idx="5">
                  <c:v>177.64086956863454</c:v>
                </c:pt>
                <c:pt idx="6">
                  <c:v>173.69168533561356</c:v>
                </c:pt>
                <c:pt idx="7">
                  <c:v>169.93007775542998</c:v>
                </c:pt>
                <c:pt idx="8">
                  <c:v>166.34272898220627</c:v>
                </c:pt>
                <c:pt idx="9">
                  <c:v>162.91756855679287</c:v>
                </c:pt>
                <c:pt idx="10">
                  <c:v>159.64362887875021</c:v>
                </c:pt>
                <c:pt idx="11">
                  <c:v>156.51092033253556</c:v>
                </c:pt>
                <c:pt idx="12">
                  <c:v>153.51032300776299</c:v>
                </c:pt>
                <c:pt idx="13">
                  <c:v>150.63349248692751</c:v>
                </c:pt>
                <c:pt idx="14">
                  <c:v>147.87277760499268</c:v>
                </c:pt>
                <c:pt idx="15">
                  <c:v>82.969696856185806</c:v>
                </c:pt>
                <c:pt idx="16">
                  <c:v>83.0335851227685</c:v>
                </c:pt>
                <c:pt idx="17">
                  <c:v>83.114562355703711</c:v>
                </c:pt>
                <c:pt idx="18">
                  <c:v>83.21139213289662</c:v>
                </c:pt>
                <c:pt idx="19">
                  <c:v>83.322925687727448</c:v>
                </c:pt>
                <c:pt idx="20">
                  <c:v>100.74889172912664</c:v>
                </c:pt>
                <c:pt idx="21">
                  <c:v>100.61244729983727</c:v>
                </c:pt>
                <c:pt idx="22">
                  <c:v>100.51574769092591</c:v>
                </c:pt>
                <c:pt idx="23">
                  <c:v>100.45576311053546</c:v>
                </c:pt>
                <c:pt idx="24">
                  <c:v>100.42975793862092</c:v>
                </c:pt>
                <c:pt idx="25">
                  <c:v>100.43525704440719</c:v>
                </c:pt>
                <c:pt idx="26">
                  <c:v>100.47001650762817</c:v>
                </c:pt>
                <c:pt idx="27">
                  <c:v>100.53199809768864</c:v>
                </c:pt>
                <c:pt idx="28">
                  <c:v>100.6193469698176</c:v>
                </c:pt>
                <c:pt idx="29">
                  <c:v>147.58614331852834</c:v>
                </c:pt>
                <c:pt idx="30">
                  <c:v>148.35554737656605</c:v>
                </c:pt>
                <c:pt idx="31">
                  <c:v>149.14340314079701</c:v>
                </c:pt>
                <c:pt idx="32">
                  <c:v>149.94878733882143</c:v>
                </c:pt>
                <c:pt idx="33">
                  <c:v>150.77083914277526</c:v>
                </c:pt>
                <c:pt idx="34">
                  <c:v>151.6087549184403</c:v>
                </c:pt>
                <c:pt idx="35">
                  <c:v>152.46178349603156</c:v>
                </c:pt>
                <c:pt idx="36">
                  <c:v>153.32922190338869</c:v>
                </c:pt>
                <c:pt idx="37">
                  <c:v>154.21041150983405</c:v>
                </c:pt>
                <c:pt idx="38">
                  <c:v>155.10473453543966</c:v>
                </c:pt>
                <c:pt idx="39">
                  <c:v>156.01161088603033</c:v>
                </c:pt>
                <c:pt idx="40">
                  <c:v>156.93049527907661</c:v>
                </c:pt>
                <c:pt idx="41">
                  <c:v>157.86087462980933</c:v>
                </c:pt>
                <c:pt idx="42">
                  <c:v>158.80226567051201</c:v>
                </c:pt>
                <c:pt idx="43">
                  <c:v>159.75421277910277</c:v>
                </c:pt>
                <c:pt idx="44">
                  <c:v>160.716285995861</c:v>
                </c:pt>
                <c:pt idx="45">
                  <c:v>161.68807920955558</c:v>
                </c:pt>
                <c:pt idx="46">
                  <c:v>162.66920849632658</c:v>
                </c:pt>
                <c:pt idx="47">
                  <c:v>163.65931059651274</c:v>
                </c:pt>
                <c:pt idx="48">
                  <c:v>164.6580415162299</c:v>
                </c:pt>
                <c:pt idx="49">
                  <c:v>165.66507524192517</c:v>
                </c:pt>
                <c:pt idx="50">
                  <c:v>166.68010255738346</c:v>
                </c:pt>
                <c:pt idx="51">
                  <c:v>167.70282995376479</c:v>
                </c:pt>
                <c:pt idx="52">
                  <c:v>168.73297862422757</c:v>
                </c:pt>
                <c:pt idx="53">
                  <c:v>169.77028353555747</c:v>
                </c:pt>
                <c:pt idx="54">
                  <c:v>170.81449256998548</c:v>
                </c:pt>
                <c:pt idx="55">
                  <c:v>171.86536573106036</c:v>
                </c:pt>
                <c:pt idx="56">
                  <c:v>172.92267440804602</c:v>
                </c:pt>
                <c:pt idx="57">
                  <c:v>173.98620069385123</c:v>
                </c:pt>
                <c:pt idx="58">
                  <c:v>175.05573675198272</c:v>
                </c:pt>
                <c:pt idx="59">
                  <c:v>176.13108422843862</c:v>
                </c:pt>
                <c:pt idx="60">
                  <c:v>177.2120537048462</c:v>
                </c:pt>
                <c:pt idx="61">
                  <c:v>178.29846418948938</c:v>
                </c:pt>
                <c:pt idx="62">
                  <c:v>179.39014264318195</c:v>
                </c:pt>
                <c:pt idx="63">
                  <c:v>180.48692353721694</c:v>
                </c:pt>
                <c:pt idx="64">
                  <c:v>181.58864844087401</c:v>
                </c:pt>
                <c:pt idx="65">
                  <c:v>182.69516563618851</c:v>
                </c:pt>
                <c:pt idx="66">
                  <c:v>183.80632975788976</c:v>
                </c:pt>
                <c:pt idx="67">
                  <c:v>184.92200145659604</c:v>
                </c:pt>
                <c:pt idx="68">
                  <c:v>186.0420470835208</c:v>
                </c:pt>
                <c:pt idx="69">
                  <c:v>187.16633839509092</c:v>
                </c:pt>
                <c:pt idx="70">
                  <c:v>188.29475227601455</c:v>
                </c:pt>
                <c:pt idx="71">
                  <c:v>189.42717047945638</c:v>
                </c:pt>
                <c:pt idx="72">
                  <c:v>190.56347938309023</c:v>
                </c:pt>
                <c:pt idx="73">
                  <c:v>191.70356975989881</c:v>
                </c:pt>
                <c:pt idx="74">
                  <c:v>192.84733656268128</c:v>
                </c:pt>
                <c:pt idx="75">
                  <c:v>193.99467872131387</c:v>
                </c:pt>
                <c:pt idx="76">
                  <c:v>195.14549895188262</c:v>
                </c:pt>
                <c:pt idx="77">
                  <c:v>196.29970357687836</c:v>
                </c:pt>
                <c:pt idx="78">
                  <c:v>197.45720235570516</c:v>
                </c:pt>
                <c:pt idx="79">
                  <c:v>198.61790832481211</c:v>
                </c:pt>
                <c:pt idx="80">
                  <c:v>199.78173764681108</c:v>
                </c:pt>
                <c:pt idx="81">
                  <c:v>200.94860946799002</c:v>
                </c:pt>
                <c:pt idx="82">
                  <c:v>202.11844578367652</c:v>
                </c:pt>
                <c:pt idx="83">
                  <c:v>203.29117131094688</c:v>
                </c:pt>
                <c:pt idx="84">
                  <c:v>204.46671336821103</c:v>
                </c:pt>
                <c:pt idx="85">
                  <c:v>205.64500176124082</c:v>
                </c:pt>
                <c:pt idx="86">
                  <c:v>206.82596867523779</c:v>
                </c:pt>
                <c:pt idx="87">
                  <c:v>208.00954857256579</c:v>
                </c:pt>
                <c:pt idx="88">
                  <c:v>209.19567809580224</c:v>
                </c:pt>
                <c:pt idx="89">
                  <c:v>210.38429597578218</c:v>
                </c:pt>
                <c:pt idx="90">
                  <c:v>211.57534294433697</c:v>
                </c:pt>
                <c:pt idx="91">
                  <c:v>212.76876165144446</c:v>
                </c:pt>
                <c:pt idx="92">
                  <c:v>213.96449658653233</c:v>
                </c:pt>
                <c:pt idx="93">
                  <c:v>215.16249400368807</c:v>
                </c:pt>
                <c:pt idx="94">
                  <c:v>216.36270185055088</c:v>
                </c:pt>
                <c:pt idx="95">
                  <c:v>217.56506970067218</c:v>
                </c:pt>
                <c:pt idx="96">
                  <c:v>218.76954868914655</c:v>
                </c:pt>
                <c:pt idx="97">
                  <c:v>219.97609145132796</c:v>
                </c:pt>
                <c:pt idx="98">
                  <c:v>221.18465206445848</c:v>
                </c:pt>
                <c:pt idx="99">
                  <c:v>222.39518599204649</c:v>
                </c:pt>
                <c:pt idx="100">
                  <c:v>223.60765003084359</c:v>
                </c:pt>
                <c:pt idx="101">
                  <c:v>224.82200226027683</c:v>
                </c:pt>
                <c:pt idx="102">
                  <c:v>226.03820199420426</c:v>
                </c:pt>
                <c:pt idx="103">
                  <c:v>227.2562097348673</c:v>
                </c:pt>
                <c:pt idx="104">
                  <c:v>228.47598712892392</c:v>
                </c:pt>
                <c:pt idx="105">
                  <c:v>229.69749692545136</c:v>
                </c:pt>
                <c:pt idx="106">
                  <c:v>230.92070293581583</c:v>
                </c:pt>
                <c:pt idx="107">
                  <c:v>232.14556999531081</c:v>
                </c:pt>
                <c:pt idx="108">
                  <c:v>233.3720639264742</c:v>
                </c:pt>
                <c:pt idx="109">
                  <c:v>234.60015150399568</c:v>
                </c:pt>
                <c:pt idx="110">
                  <c:v>235.82980042113607</c:v>
                </c:pt>
                <c:pt idx="111">
                  <c:v>237.0609792575805</c:v>
                </c:pt>
                <c:pt idx="112">
                  <c:v>238.29365744865402</c:v>
                </c:pt>
                <c:pt idx="113">
                  <c:v>239.52780525583216</c:v>
                </c:pt>
                <c:pt idx="114">
                  <c:v>240.76339373848268</c:v>
                </c:pt>
                <c:pt idx="115">
                  <c:v>242.00039472677707</c:v>
                </c:pt>
                <c:pt idx="116">
                  <c:v>243.23878079571665</c:v>
                </c:pt>
                <c:pt idx="117">
                  <c:v>244.47852524021783</c:v>
                </c:pt>
                <c:pt idx="118">
                  <c:v>245.71960205120743</c:v>
                </c:pt>
                <c:pt idx="119">
                  <c:v>246.96198589267874</c:v>
                </c:pt>
                <c:pt idx="120">
                  <c:v>248.2056520796628</c:v>
                </c:pt>
                <c:pt idx="121">
                  <c:v>249.4505765570743</c:v>
                </c:pt>
                <c:pt idx="122">
                  <c:v>250.69673587938811</c:v>
                </c:pt>
                <c:pt idx="123">
                  <c:v>251.94410719111079</c:v>
                </c:pt>
                <c:pt idx="124">
                  <c:v>253.19266820800922</c:v>
                </c:pt>
                <c:pt idx="125">
                  <c:v>254.44239719906233</c:v>
                </c:pt>
                <c:pt idx="126">
                  <c:v>255.69327296910313</c:v>
                </c:pt>
                <c:pt idx="127">
                  <c:v>256.94527484212017</c:v>
                </c:pt>
                <c:pt idx="128">
                  <c:v>258.19838264518876</c:v>
                </c:pt>
                <c:pt idx="129">
                  <c:v>259.45257669300423</c:v>
                </c:pt>
                <c:pt idx="130">
                  <c:v>260.7078377729913</c:v>
                </c:pt>
                <c:pt idx="131">
                  <c:v>261.96414713096289</c:v>
                </c:pt>
                <c:pt idx="132">
                  <c:v>263.2214864573063</c:v>
                </c:pt>
                <c:pt idx="133">
                  <c:v>264.47983787367309</c:v>
                </c:pt>
                <c:pt idx="134">
                  <c:v>265.73918392015059</c:v>
                </c:pt>
                <c:pt idx="135">
                  <c:v>266.99950754289608</c:v>
                </c:pt>
                <c:pt idx="136">
                  <c:v>268.2607920822129</c:v>
                </c:pt>
                <c:pt idx="137">
                  <c:v>269.52302126104939</c:v>
                </c:pt>
                <c:pt idx="138">
                  <c:v>270.7861791739054</c:v>
                </c:pt>
                <c:pt idx="139">
                  <c:v>272.05025027612686</c:v>
                </c:pt>
                <c:pt idx="140">
                  <c:v>273.31521937357365</c:v>
                </c:pt>
                <c:pt idx="141">
                  <c:v>274.58107161264547</c:v>
                </c:pt>
                <c:pt idx="142">
                  <c:v>275.84779247065143</c:v>
                </c:pt>
                <c:pt idx="143">
                  <c:v>277.11536774650847</c:v>
                </c:pt>
                <c:pt idx="144">
                  <c:v>278.38378355175627</c:v>
                </c:pt>
                <c:pt idx="145">
                  <c:v>279.65302630187603</c:v>
                </c:pt>
                <c:pt idx="146">
                  <c:v>280.92308270790011</c:v>
                </c:pt>
                <c:pt idx="147">
                  <c:v>282.19393976830281</c:v>
                </c:pt>
                <c:pt idx="148">
                  <c:v>283.46558476115911</c:v>
                </c:pt>
                <c:pt idx="149">
                  <c:v>284.73800523656291</c:v>
                </c:pt>
                <c:pt idx="150">
                  <c:v>286.01118900929328</c:v>
                </c:pt>
                <c:pt idx="151">
                  <c:v>287.28512415172014</c:v>
                </c:pt>
                <c:pt idx="152">
                  <c:v>288.55979898693988</c:v>
                </c:pt>
                <c:pt idx="153">
                  <c:v>289.83520208213145</c:v>
                </c:pt>
                <c:pt idx="154">
                  <c:v>291.11132224212622</c:v>
                </c:pt>
                <c:pt idx="155">
                  <c:v>292.38814850318187</c:v>
                </c:pt>
                <c:pt idx="156">
                  <c:v>293.66567012695396</c:v>
                </c:pt>
                <c:pt idx="157">
                  <c:v>294.94387659465661</c:v>
                </c:pt>
                <c:pt idx="158">
                  <c:v>296.2227576014069</c:v>
                </c:pt>
                <c:pt idx="159">
                  <c:v>297.5023030507445</c:v>
                </c:pt>
                <c:pt idx="160">
                  <c:v>298.78250304932152</c:v>
                </c:pt>
                <c:pt idx="161">
                  <c:v>300.06334790175561</c:v>
                </c:pt>
                <c:pt idx="162">
                  <c:v>301.34482810564072</c:v>
                </c:pt>
                <c:pt idx="163">
                  <c:v>302.62693434670956</c:v>
                </c:pt>
                <c:pt idx="164">
                  <c:v>303.909657494143</c:v>
                </c:pt>
                <c:pt idx="165">
                  <c:v>305.1929885960206</c:v>
                </c:pt>
                <c:pt idx="166">
                  <c:v>306.47691887490652</c:v>
                </c:pt>
                <c:pt idx="167">
                  <c:v>307.76143972356891</c:v>
                </c:pt>
                <c:pt idx="168">
                  <c:v>309.04654270082415</c:v>
                </c:pt>
                <c:pt idx="169">
                  <c:v>310.33221952750489</c:v>
                </c:pt>
                <c:pt idx="170">
                  <c:v>311.6184620825461</c:v>
                </c:pt>
                <c:pt idx="171">
                  <c:v>312.90526239918461</c:v>
                </c:pt>
                <c:pt idx="172">
                  <c:v>314.19261266127006</c:v>
                </c:pt>
                <c:pt idx="173">
                  <c:v>315.48050519968137</c:v>
                </c:pt>
                <c:pt idx="174">
                  <c:v>316.76893248884687</c:v>
                </c:pt>
                <c:pt idx="175">
                  <c:v>318.05788714336353</c:v>
                </c:pt>
                <c:pt idx="176">
                  <c:v>319.34736191471211</c:v>
                </c:pt>
                <c:pt idx="177">
                  <c:v>320.63734968806585</c:v>
                </c:pt>
                <c:pt idx="178">
                  <c:v>321.92784347918837</c:v>
                </c:pt>
                <c:pt idx="179">
                  <c:v>323.21883643141865</c:v>
                </c:pt>
                <c:pt idx="180">
                  <c:v>324.51032181274036</c:v>
                </c:pt>
                <c:pt idx="181">
                  <c:v>325.80229301293195</c:v>
                </c:pt>
                <c:pt idx="182">
                  <c:v>327.09474354079555</c:v>
                </c:pt>
                <c:pt idx="183">
                  <c:v>328.38766702146216</c:v>
                </c:pt>
                <c:pt idx="184">
                  <c:v>329.68105719377013</c:v>
                </c:pt>
                <c:pt idx="185">
                  <c:v>330.97490790771542</c:v>
                </c:pt>
                <c:pt idx="186">
                  <c:v>332.26921312196998</c:v>
                </c:pt>
                <c:pt idx="187">
                  <c:v>333.56396690146818</c:v>
                </c:pt>
                <c:pt idx="188">
                  <c:v>334.85916341505657</c:v>
                </c:pt>
                <c:pt idx="189">
                  <c:v>336.15479693320776</c:v>
                </c:pt>
                <c:pt idx="190">
                  <c:v>337.45086182579354</c:v>
                </c:pt>
                <c:pt idx="191">
                  <c:v>338.74735255991811</c:v>
                </c:pt>
                <c:pt idx="192">
                  <c:v>340.04426369780748</c:v>
                </c:pt>
                <c:pt idx="193">
                  <c:v>341.34158989475429</c:v>
                </c:pt>
                <c:pt idx="194">
                  <c:v>342.63932589711681</c:v>
                </c:pt>
                <c:pt idx="195">
                  <c:v>343.93746654036858</c:v>
                </c:pt>
                <c:pt idx="196">
                  <c:v>345.23600674719972</c:v>
                </c:pt>
                <c:pt idx="197">
                  <c:v>346.53494152566617</c:v>
                </c:pt>
                <c:pt idx="198">
                  <c:v>347.83426596738661</c:v>
                </c:pt>
                <c:pt idx="199">
                  <c:v>349.13397524578545</c:v>
                </c:pt>
                <c:pt idx="200">
                  <c:v>350.43406461437985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79C-4AA8-B027-F089379DDFE3}"/>
            </c:ext>
          </c:extLst>
        </c:ser>
        <c:ser>
          <c:idx val="1"/>
          <c:order val="1"/>
          <c:tx>
            <c:v>Low-side MOSFET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9.1950000000000003</c:v>
                </c:pt>
                <c:pt idx="2">
                  <c:v>9.39</c:v>
                </c:pt>
                <c:pt idx="3">
                  <c:v>9.5850000000000009</c:v>
                </c:pt>
                <c:pt idx="4">
                  <c:v>9.7799999999999994</c:v>
                </c:pt>
                <c:pt idx="5">
                  <c:v>9.9749999999999996</c:v>
                </c:pt>
                <c:pt idx="6">
                  <c:v>10.17</c:v>
                </c:pt>
                <c:pt idx="7">
                  <c:v>10.365</c:v>
                </c:pt>
                <c:pt idx="8">
                  <c:v>10.56</c:v>
                </c:pt>
                <c:pt idx="9">
                  <c:v>10.754999999999999</c:v>
                </c:pt>
                <c:pt idx="10">
                  <c:v>10.95</c:v>
                </c:pt>
                <c:pt idx="11">
                  <c:v>11.145</c:v>
                </c:pt>
                <c:pt idx="12">
                  <c:v>11.34</c:v>
                </c:pt>
                <c:pt idx="13">
                  <c:v>11.535</c:v>
                </c:pt>
                <c:pt idx="14">
                  <c:v>11.73</c:v>
                </c:pt>
                <c:pt idx="15">
                  <c:v>11.925000000000001</c:v>
                </c:pt>
                <c:pt idx="16">
                  <c:v>12.120000000000001</c:v>
                </c:pt>
                <c:pt idx="17">
                  <c:v>12.315000000000001</c:v>
                </c:pt>
                <c:pt idx="18">
                  <c:v>12.51</c:v>
                </c:pt>
                <c:pt idx="19">
                  <c:v>12.705</c:v>
                </c:pt>
                <c:pt idx="20">
                  <c:v>12.9</c:v>
                </c:pt>
                <c:pt idx="21">
                  <c:v>13.094999999999999</c:v>
                </c:pt>
                <c:pt idx="22">
                  <c:v>13.29</c:v>
                </c:pt>
                <c:pt idx="23">
                  <c:v>13.484999999999999</c:v>
                </c:pt>
                <c:pt idx="24">
                  <c:v>13.68</c:v>
                </c:pt>
                <c:pt idx="25">
                  <c:v>13.875</c:v>
                </c:pt>
                <c:pt idx="26">
                  <c:v>14.07</c:v>
                </c:pt>
                <c:pt idx="27">
                  <c:v>14.265000000000001</c:v>
                </c:pt>
                <c:pt idx="28">
                  <c:v>14.46</c:v>
                </c:pt>
                <c:pt idx="29">
                  <c:v>14.654999999999999</c:v>
                </c:pt>
                <c:pt idx="30">
                  <c:v>14.85</c:v>
                </c:pt>
                <c:pt idx="31">
                  <c:v>15.045</c:v>
                </c:pt>
                <c:pt idx="32">
                  <c:v>15.24</c:v>
                </c:pt>
                <c:pt idx="33">
                  <c:v>15.435</c:v>
                </c:pt>
                <c:pt idx="34">
                  <c:v>15.63</c:v>
                </c:pt>
                <c:pt idx="35">
                  <c:v>15.824999999999999</c:v>
                </c:pt>
                <c:pt idx="36">
                  <c:v>16.02</c:v>
                </c:pt>
                <c:pt idx="37">
                  <c:v>16.215</c:v>
                </c:pt>
                <c:pt idx="38">
                  <c:v>16.41</c:v>
                </c:pt>
                <c:pt idx="39">
                  <c:v>16.605</c:v>
                </c:pt>
                <c:pt idx="40">
                  <c:v>16.8</c:v>
                </c:pt>
                <c:pt idx="41">
                  <c:v>16.994999999999997</c:v>
                </c:pt>
                <c:pt idx="42">
                  <c:v>17.189999999999998</c:v>
                </c:pt>
                <c:pt idx="43">
                  <c:v>17.384999999999998</c:v>
                </c:pt>
                <c:pt idx="44">
                  <c:v>17.579999999999998</c:v>
                </c:pt>
                <c:pt idx="45">
                  <c:v>17.774999999999999</c:v>
                </c:pt>
                <c:pt idx="46">
                  <c:v>17.97</c:v>
                </c:pt>
                <c:pt idx="47">
                  <c:v>18.164999999999999</c:v>
                </c:pt>
                <c:pt idx="48">
                  <c:v>18.36</c:v>
                </c:pt>
                <c:pt idx="49">
                  <c:v>18.555</c:v>
                </c:pt>
                <c:pt idx="50">
                  <c:v>18.75</c:v>
                </c:pt>
                <c:pt idx="51">
                  <c:v>18.945</c:v>
                </c:pt>
                <c:pt idx="52">
                  <c:v>19.14</c:v>
                </c:pt>
                <c:pt idx="53">
                  <c:v>19.335000000000001</c:v>
                </c:pt>
                <c:pt idx="54">
                  <c:v>19.53</c:v>
                </c:pt>
                <c:pt idx="55">
                  <c:v>19.725000000000001</c:v>
                </c:pt>
                <c:pt idx="56">
                  <c:v>19.920000000000002</c:v>
                </c:pt>
                <c:pt idx="57">
                  <c:v>20.114999999999998</c:v>
                </c:pt>
                <c:pt idx="58">
                  <c:v>20.309999999999999</c:v>
                </c:pt>
                <c:pt idx="59">
                  <c:v>20.504999999999999</c:v>
                </c:pt>
                <c:pt idx="60">
                  <c:v>20.7</c:v>
                </c:pt>
                <c:pt idx="61">
                  <c:v>20.895</c:v>
                </c:pt>
                <c:pt idx="62">
                  <c:v>21.09</c:v>
                </c:pt>
                <c:pt idx="63">
                  <c:v>21.285</c:v>
                </c:pt>
                <c:pt idx="64">
                  <c:v>21.48</c:v>
                </c:pt>
                <c:pt idx="65">
                  <c:v>21.675000000000001</c:v>
                </c:pt>
                <c:pt idx="66">
                  <c:v>21.87</c:v>
                </c:pt>
                <c:pt idx="67">
                  <c:v>22.065000000000001</c:v>
                </c:pt>
                <c:pt idx="68">
                  <c:v>22.26</c:v>
                </c:pt>
                <c:pt idx="69">
                  <c:v>22.454999999999998</c:v>
                </c:pt>
                <c:pt idx="70">
                  <c:v>22.65</c:v>
                </c:pt>
                <c:pt idx="71">
                  <c:v>22.844999999999999</c:v>
                </c:pt>
                <c:pt idx="72">
                  <c:v>23.04</c:v>
                </c:pt>
                <c:pt idx="73">
                  <c:v>23.234999999999999</c:v>
                </c:pt>
                <c:pt idx="74">
                  <c:v>23.43</c:v>
                </c:pt>
                <c:pt idx="75">
                  <c:v>23.625</c:v>
                </c:pt>
                <c:pt idx="76">
                  <c:v>23.82</c:v>
                </c:pt>
                <c:pt idx="77">
                  <c:v>24.015000000000001</c:v>
                </c:pt>
                <c:pt idx="78">
                  <c:v>24.21</c:v>
                </c:pt>
                <c:pt idx="79">
                  <c:v>24.405000000000001</c:v>
                </c:pt>
                <c:pt idx="80">
                  <c:v>24.6</c:v>
                </c:pt>
                <c:pt idx="81">
                  <c:v>24.795000000000002</c:v>
                </c:pt>
                <c:pt idx="82">
                  <c:v>24.99</c:v>
                </c:pt>
                <c:pt idx="83">
                  <c:v>25.184999999999999</c:v>
                </c:pt>
                <c:pt idx="84">
                  <c:v>25.38</c:v>
                </c:pt>
                <c:pt idx="85">
                  <c:v>25.574999999999999</c:v>
                </c:pt>
                <c:pt idx="86">
                  <c:v>25.77</c:v>
                </c:pt>
                <c:pt idx="87">
                  <c:v>25.965</c:v>
                </c:pt>
                <c:pt idx="88">
                  <c:v>26.16</c:v>
                </c:pt>
                <c:pt idx="89">
                  <c:v>26.355</c:v>
                </c:pt>
                <c:pt idx="90">
                  <c:v>26.55</c:v>
                </c:pt>
                <c:pt idx="91">
                  <c:v>26.745000000000001</c:v>
                </c:pt>
                <c:pt idx="92">
                  <c:v>26.94</c:v>
                </c:pt>
                <c:pt idx="93">
                  <c:v>27.135000000000002</c:v>
                </c:pt>
                <c:pt idx="94">
                  <c:v>27.33</c:v>
                </c:pt>
                <c:pt idx="95">
                  <c:v>27.524999999999999</c:v>
                </c:pt>
                <c:pt idx="96">
                  <c:v>27.72</c:v>
                </c:pt>
                <c:pt idx="97">
                  <c:v>27.914999999999999</c:v>
                </c:pt>
                <c:pt idx="98">
                  <c:v>28.11</c:v>
                </c:pt>
                <c:pt idx="99">
                  <c:v>28.305</c:v>
                </c:pt>
                <c:pt idx="100">
                  <c:v>28.5</c:v>
                </c:pt>
                <c:pt idx="101">
                  <c:v>28.695</c:v>
                </c:pt>
                <c:pt idx="102">
                  <c:v>28.89</c:v>
                </c:pt>
                <c:pt idx="103">
                  <c:v>29.085000000000001</c:v>
                </c:pt>
                <c:pt idx="104">
                  <c:v>29.28</c:v>
                </c:pt>
                <c:pt idx="105">
                  <c:v>29.475000000000001</c:v>
                </c:pt>
                <c:pt idx="106">
                  <c:v>29.67</c:v>
                </c:pt>
                <c:pt idx="107">
                  <c:v>29.865000000000002</c:v>
                </c:pt>
                <c:pt idx="108">
                  <c:v>30.060000000000002</c:v>
                </c:pt>
                <c:pt idx="109">
                  <c:v>30.255000000000003</c:v>
                </c:pt>
                <c:pt idx="110">
                  <c:v>30.450000000000003</c:v>
                </c:pt>
                <c:pt idx="111">
                  <c:v>30.645000000000003</c:v>
                </c:pt>
                <c:pt idx="112">
                  <c:v>30.840000000000003</c:v>
                </c:pt>
                <c:pt idx="113">
                  <c:v>31.034999999999997</c:v>
                </c:pt>
                <c:pt idx="114">
                  <c:v>31.229999999999997</c:v>
                </c:pt>
                <c:pt idx="115">
                  <c:v>31.424999999999997</c:v>
                </c:pt>
                <c:pt idx="116">
                  <c:v>31.619999999999997</c:v>
                </c:pt>
                <c:pt idx="117">
                  <c:v>31.814999999999998</c:v>
                </c:pt>
                <c:pt idx="118">
                  <c:v>32.01</c:v>
                </c:pt>
                <c:pt idx="119">
                  <c:v>32.204999999999998</c:v>
                </c:pt>
                <c:pt idx="120">
                  <c:v>32.4</c:v>
                </c:pt>
                <c:pt idx="121">
                  <c:v>32.594999999999999</c:v>
                </c:pt>
                <c:pt idx="122">
                  <c:v>32.79</c:v>
                </c:pt>
                <c:pt idx="123">
                  <c:v>32.984999999999999</c:v>
                </c:pt>
                <c:pt idx="124">
                  <c:v>33.18</c:v>
                </c:pt>
                <c:pt idx="125">
                  <c:v>33.375</c:v>
                </c:pt>
                <c:pt idx="126">
                  <c:v>33.57</c:v>
                </c:pt>
                <c:pt idx="127">
                  <c:v>33.765000000000001</c:v>
                </c:pt>
                <c:pt idx="128">
                  <c:v>33.96</c:v>
                </c:pt>
                <c:pt idx="129">
                  <c:v>34.155000000000001</c:v>
                </c:pt>
                <c:pt idx="130">
                  <c:v>34.35</c:v>
                </c:pt>
                <c:pt idx="131">
                  <c:v>34.545000000000002</c:v>
                </c:pt>
                <c:pt idx="132">
                  <c:v>34.74</c:v>
                </c:pt>
                <c:pt idx="133">
                  <c:v>34.935000000000002</c:v>
                </c:pt>
                <c:pt idx="134">
                  <c:v>35.130000000000003</c:v>
                </c:pt>
                <c:pt idx="135">
                  <c:v>35.325000000000003</c:v>
                </c:pt>
                <c:pt idx="136">
                  <c:v>35.520000000000003</c:v>
                </c:pt>
                <c:pt idx="137">
                  <c:v>35.715000000000003</c:v>
                </c:pt>
                <c:pt idx="138">
                  <c:v>35.909999999999997</c:v>
                </c:pt>
                <c:pt idx="139">
                  <c:v>36.104999999999997</c:v>
                </c:pt>
                <c:pt idx="140">
                  <c:v>36.299999999999997</c:v>
                </c:pt>
                <c:pt idx="141">
                  <c:v>36.494999999999997</c:v>
                </c:pt>
                <c:pt idx="142">
                  <c:v>36.69</c:v>
                </c:pt>
                <c:pt idx="143">
                  <c:v>36.884999999999998</c:v>
                </c:pt>
                <c:pt idx="144">
                  <c:v>37.08</c:v>
                </c:pt>
                <c:pt idx="145">
                  <c:v>37.274999999999999</c:v>
                </c:pt>
                <c:pt idx="146">
                  <c:v>37.47</c:v>
                </c:pt>
                <c:pt idx="147">
                  <c:v>37.664999999999999</c:v>
                </c:pt>
                <c:pt idx="148">
                  <c:v>37.86</c:v>
                </c:pt>
                <c:pt idx="149">
                  <c:v>38.055</c:v>
                </c:pt>
                <c:pt idx="150">
                  <c:v>38.25</c:v>
                </c:pt>
                <c:pt idx="151">
                  <c:v>38.445</c:v>
                </c:pt>
                <c:pt idx="152">
                  <c:v>38.64</c:v>
                </c:pt>
                <c:pt idx="153">
                  <c:v>38.835000000000001</c:v>
                </c:pt>
                <c:pt idx="154">
                  <c:v>39.03</c:v>
                </c:pt>
                <c:pt idx="155">
                  <c:v>39.225000000000001</c:v>
                </c:pt>
                <c:pt idx="156">
                  <c:v>39.42</c:v>
                </c:pt>
                <c:pt idx="157">
                  <c:v>39.615000000000002</c:v>
                </c:pt>
                <c:pt idx="158">
                  <c:v>39.81</c:v>
                </c:pt>
                <c:pt idx="159">
                  <c:v>40.005000000000003</c:v>
                </c:pt>
                <c:pt idx="160">
                  <c:v>40.200000000000003</c:v>
                </c:pt>
                <c:pt idx="161">
                  <c:v>40.395000000000003</c:v>
                </c:pt>
                <c:pt idx="162">
                  <c:v>40.590000000000003</c:v>
                </c:pt>
                <c:pt idx="163">
                  <c:v>40.784999999999997</c:v>
                </c:pt>
                <c:pt idx="164">
                  <c:v>40.98</c:v>
                </c:pt>
                <c:pt idx="165">
                  <c:v>41.174999999999997</c:v>
                </c:pt>
                <c:pt idx="166">
                  <c:v>41.37</c:v>
                </c:pt>
                <c:pt idx="167">
                  <c:v>41.564999999999998</c:v>
                </c:pt>
                <c:pt idx="168">
                  <c:v>41.76</c:v>
                </c:pt>
                <c:pt idx="169">
                  <c:v>41.954999999999998</c:v>
                </c:pt>
                <c:pt idx="170">
                  <c:v>42.15</c:v>
                </c:pt>
                <c:pt idx="171">
                  <c:v>42.344999999999999</c:v>
                </c:pt>
                <c:pt idx="172">
                  <c:v>42.54</c:v>
                </c:pt>
                <c:pt idx="173">
                  <c:v>42.734999999999999</c:v>
                </c:pt>
                <c:pt idx="174">
                  <c:v>42.93</c:v>
                </c:pt>
                <c:pt idx="175">
                  <c:v>43.125</c:v>
                </c:pt>
                <c:pt idx="176">
                  <c:v>43.32</c:v>
                </c:pt>
                <c:pt idx="177">
                  <c:v>43.515000000000001</c:v>
                </c:pt>
                <c:pt idx="178">
                  <c:v>43.71</c:v>
                </c:pt>
                <c:pt idx="179">
                  <c:v>43.905000000000001</c:v>
                </c:pt>
                <c:pt idx="180">
                  <c:v>44.1</c:v>
                </c:pt>
                <c:pt idx="181">
                  <c:v>44.295000000000002</c:v>
                </c:pt>
                <c:pt idx="182">
                  <c:v>44.49</c:v>
                </c:pt>
                <c:pt idx="183">
                  <c:v>44.685000000000002</c:v>
                </c:pt>
                <c:pt idx="184">
                  <c:v>44.88</c:v>
                </c:pt>
                <c:pt idx="185">
                  <c:v>45.075000000000003</c:v>
                </c:pt>
                <c:pt idx="186">
                  <c:v>45.27</c:v>
                </c:pt>
                <c:pt idx="187">
                  <c:v>45.465000000000003</c:v>
                </c:pt>
                <c:pt idx="188">
                  <c:v>45.66</c:v>
                </c:pt>
                <c:pt idx="189">
                  <c:v>45.854999999999997</c:v>
                </c:pt>
                <c:pt idx="190">
                  <c:v>46.05</c:v>
                </c:pt>
                <c:pt idx="191">
                  <c:v>46.244999999999997</c:v>
                </c:pt>
                <c:pt idx="192">
                  <c:v>46.44</c:v>
                </c:pt>
                <c:pt idx="193">
                  <c:v>46.634999999999998</c:v>
                </c:pt>
                <c:pt idx="194">
                  <c:v>46.83</c:v>
                </c:pt>
                <c:pt idx="195">
                  <c:v>47.024999999999999</c:v>
                </c:pt>
                <c:pt idx="196">
                  <c:v>47.22</c:v>
                </c:pt>
                <c:pt idx="197">
                  <c:v>47.414999999999999</c:v>
                </c:pt>
                <c:pt idx="198">
                  <c:v>47.61</c:v>
                </c:pt>
                <c:pt idx="199">
                  <c:v>47.805</c:v>
                </c:pt>
                <c:pt idx="200">
                  <c:v>48</c:v>
                </c:pt>
              </c:numCache>
            </c:numRef>
          </c:xVal>
          <c:yVal>
            <c:numRef>
              <c:f>'Efficiency vs VIN Calculations'!$BF$9:$BF$209</c:f>
              <c:numCache>
                <c:formatCode>0.0</c:formatCode>
                <c:ptCount val="201"/>
                <c:pt idx="0">
                  <c:v>18.669023124570277</c:v>
                </c:pt>
                <c:pt idx="1">
                  <c:v>18.257374010948549</c:v>
                </c:pt>
                <c:pt idx="2">
                  <c:v>17.86277421628013</c:v>
                </c:pt>
                <c:pt idx="3">
                  <c:v>17.48419059250082</c:v>
                </c:pt>
                <c:pt idx="4">
                  <c:v>17.120674334072142</c:v>
                </c:pt>
                <c:pt idx="5">
                  <c:v>16.771353614879956</c:v>
                </c:pt>
                <c:pt idx="6">
                  <c:v>16.435427012742029</c:v>
                </c:pt>
                <c:pt idx="7">
                  <c:v>16.112157630997803</c:v>
                </c:pt>
                <c:pt idx="8">
                  <c:v>15.800867837574451</c:v>
                </c:pt>
                <c:pt idx="9">
                  <c:v>15.500934551550266</c:v>
                </c:pt>
                <c:pt idx="10">
                  <c:v>15.211785015698018</c:v>
                </c:pt>
                <c:pt idx="11">
                  <c:v>14.932893000913317</c:v>
                </c:pt>
                <c:pt idx="12">
                  <c:v>14.663775394934698</c:v>
                </c:pt>
                <c:pt idx="13">
                  <c:v>14.403989133454711</c:v>
                </c:pt>
                <c:pt idx="14">
                  <c:v>14.15312843670292</c:v>
                </c:pt>
                <c:pt idx="15">
                  <c:v>11.721193984985828</c:v>
                </c:pt>
                <c:pt idx="16">
                  <c:v>11.513717232053008</c:v>
                </c:pt>
                <c:pt idx="17">
                  <c:v>11.313673690015943</c:v>
                </c:pt>
                <c:pt idx="18">
                  <c:v>11.120992232483177</c:v>
                </c:pt>
                <c:pt idx="19">
                  <c:v>10.93563976547558</c:v>
                </c:pt>
                <c:pt idx="20">
                  <c:v>1.8579601610670922</c:v>
                </c:pt>
                <c:pt idx="21">
                  <c:v>2.4517127136473849</c:v>
                </c:pt>
                <c:pt idx="22">
                  <c:v>3.0314717354762193</c:v>
                </c:pt>
                <c:pt idx="23">
                  <c:v>3.598051763057931</c:v>
                </c:pt>
                <c:pt idx="24">
                  <c:v>4.1521953626418471</c:v>
                </c:pt>
                <c:pt idx="25">
                  <c:v>4.6945806271661183</c:v>
                </c:pt>
                <c:pt idx="26">
                  <c:v>5.2258278168015027</c:v>
                </c:pt>
                <c:pt idx="27">
                  <c:v>5.7465052477621503</c:v>
                </c:pt>
                <c:pt idx="28">
                  <c:v>6.2571345205714595</c:v>
                </c:pt>
                <c:pt idx="29">
                  <c:v>4.6687891423181362</c:v>
                </c:pt>
                <c:pt idx="30">
                  <c:v>5.1262761795784542</c:v>
                </c:pt>
                <c:pt idx="31">
                  <c:v>5.5740924727060399</c:v>
                </c:pt>
                <c:pt idx="32">
                  <c:v>6.0125857009265724</c:v>
                </c:pt>
                <c:pt idx="33">
                  <c:v>6.4420849525139463</c:v>
                </c:pt>
                <c:pt idx="34">
                  <c:v>6.8629020475067044</c:v>
                </c:pt>
                <c:pt idx="35">
                  <c:v>7.2753327454331522</c:v>
                </c:pt>
                <c:pt idx="36">
                  <c:v>7.679657849594383</c:v>
                </c:pt>
                <c:pt idx="37">
                  <c:v>8.0761442181599286</c:v>
                </c:pt>
                <c:pt idx="38">
                  <c:v>8.4650456911949288</c:v>
                </c:pt>
                <c:pt idx="39">
                  <c:v>8.8466039417389641</c:v>
                </c:pt>
                <c:pt idx="40">
                  <c:v>9.2210492581780326</c:v>
                </c:pt>
                <c:pt idx="41">
                  <c:v>9.588601264376301</c:v>
                </c:pt>
                <c:pt idx="42">
                  <c:v>9.9494695833504725</c:v>
                </c:pt>
                <c:pt idx="43">
                  <c:v>10.303854449665101</c:v>
                </c:pt>
                <c:pt idx="44">
                  <c:v>10.651947275192134</c:v>
                </c:pt>
                <c:pt idx="45">
                  <c:v>10.993931172403734</c:v>
                </c:pt>
                <c:pt idx="46">
                  <c:v>11.329981438946216</c:v>
                </c:pt>
                <c:pt idx="47">
                  <c:v>11.660266006869151</c:v>
                </c:pt>
                <c:pt idx="48">
                  <c:v>11.98494585955047</c:v>
                </c:pt>
                <c:pt idx="49">
                  <c:v>12.304175419061835</c:v>
                </c:pt>
                <c:pt idx="50">
                  <c:v>12.618102906453837</c:v>
                </c:pt>
                <c:pt idx="51">
                  <c:v>12.926870677204141</c:v>
                </c:pt>
                <c:pt idx="52">
                  <c:v>13.230615533860066</c:v>
                </c:pt>
                <c:pt idx="53">
                  <c:v>13.529469017717865</c:v>
                </c:pt>
                <c:pt idx="54">
                  <c:v>13.823557681211227</c:v>
                </c:pt>
                <c:pt idx="55">
                  <c:v>14.113003342528637</c:v>
                </c:pt>
                <c:pt idx="56">
                  <c:v>14.397923323842896</c:v>
                </c:pt>
                <c:pt idx="57">
                  <c:v>14.678430674412221</c:v>
                </c:pt>
                <c:pt idx="58">
                  <c:v>14.954634379701876</c:v>
                </c:pt>
                <c:pt idx="59">
                  <c:v>15.226639557574604</c:v>
                </c:pt>
                <c:pt idx="60">
                  <c:v>15.49454764250827</c:v>
                </c:pt>
                <c:pt idx="61">
                  <c:v>15.758456558717118</c:v>
                </c:pt>
                <c:pt idx="62">
                  <c:v>16.018460882979234</c:v>
                </c:pt>
                <c:pt idx="63">
                  <c:v>16.274651997905792</c:v>
                </c:pt>
                <c:pt idx="64">
                  <c:v>16.527118236327251</c:v>
                </c:pt>
                <c:pt idx="65">
                  <c:v>16.775945017416223</c:v>
                </c:pt>
                <c:pt idx="66">
                  <c:v>17.021214975116926</c:v>
                </c:pt>
                <c:pt idx="67">
                  <c:v>17.263008079405715</c:v>
                </c:pt>
                <c:pt idx="68">
                  <c:v>17.501401750865423</c:v>
                </c:pt>
                <c:pt idx="69">
                  <c:v>17.736470969018985</c:v>
                </c:pt>
                <c:pt idx="70">
                  <c:v>17.968288374832927</c:v>
                </c:pt>
                <c:pt idx="71">
                  <c:v>18.196924367770208</c:v>
                </c:pt>
                <c:pt idx="72">
                  <c:v>18.422447197743114</c:v>
                </c:pt>
                <c:pt idx="73">
                  <c:v>18.644923052290565</c:v>
                </c:pt>
                <c:pt idx="74">
                  <c:v>18.86441613928012</c:v>
                </c:pt>
                <c:pt idx="75">
                  <c:v>19.080988765413235</c:v>
                </c:pt>
                <c:pt idx="76">
                  <c:v>19.294701410791792</c:v>
                </c:pt>
                <c:pt idx="77">
                  <c:v>19.505612799785446</c:v>
                </c:pt>
                <c:pt idx="78">
                  <c:v>19.7137799684226</c:v>
                </c:pt>
                <c:pt idx="79">
                  <c:v>19.919258328511596</c:v>
                </c:pt>
                <c:pt idx="80">
                  <c:v>20.122101728685053</c:v>
                </c:pt>
                <c:pt idx="81">
                  <c:v>20.322362512546217</c:v>
                </c:pt>
                <c:pt idx="82">
                  <c:v>20.52009157408456</c:v>
                </c:pt>
                <c:pt idx="83">
                  <c:v>20.715338410516299</c:v>
                </c:pt>
                <c:pt idx="84">
                  <c:v>20.908151172695177</c:v>
                </c:pt>
                <c:pt idx="85">
                  <c:v>21.098576713229225</c:v>
                </c:pt>
                <c:pt idx="86">
                  <c:v>21.286660632430209</c:v>
                </c:pt>
                <c:pt idx="87">
                  <c:v>21.472447322214446</c:v>
                </c:pt>
                <c:pt idx="88">
                  <c:v>21.655980008066038</c:v>
                </c:pt>
                <c:pt idx="89">
                  <c:v>21.837300789166068</c:v>
                </c:pt>
                <c:pt idx="90">
                  <c:v>22.016450676785499</c:v>
                </c:pt>
                <c:pt idx="91">
                  <c:v>22.193469631032837</c:v>
                </c:pt>
                <c:pt idx="92">
                  <c:v>22.36839659604216</c:v>
                </c:pt>
                <c:pt idx="93">
                  <c:v>22.54126953368208</c:v>
                </c:pt>
                <c:pt idx="94">
                  <c:v>22.712125455860843</c:v>
                </c:pt>
                <c:pt idx="95">
                  <c:v>22.881000455498857</c:v>
                </c:pt>
                <c:pt idx="96">
                  <c:v>23.047929736235172</c:v>
                </c:pt>
                <c:pt idx="97">
                  <c:v>23.212947640930775</c:v>
                </c:pt>
                <c:pt idx="98">
                  <c:v>23.376087679027883</c:v>
                </c:pt>
                <c:pt idx="99">
                  <c:v>23.537382552820819</c:v>
                </c:pt>
                <c:pt idx="100">
                  <c:v>23.696864182691211</c:v>
                </c:pt>
                <c:pt idx="101">
                  <c:v>23.854563731356741</c:v>
                </c:pt>
                <c:pt idx="102">
                  <c:v>24.010511627180382</c:v>
                </c:pt>
                <c:pt idx="103">
                  <c:v>24.164737586584266</c:v>
                </c:pt>
                <c:pt idx="104">
                  <c:v>24.317270635609699</c:v>
                </c:pt>
                <c:pt idx="105">
                  <c:v>24.468139130662873</c:v>
                </c:pt>
                <c:pt idx="106">
                  <c:v>24.61737077848337</c:v>
                </c:pt>
                <c:pt idx="107">
                  <c:v>24.764992655370992</c:v>
                </c:pt>
                <c:pt idx="108">
                  <c:v>24.911031225703827</c:v>
                </c:pt>
                <c:pt idx="109">
                  <c:v>25.055512359779563</c:v>
                </c:pt>
                <c:pt idx="110">
                  <c:v>25.198461351009723</c:v>
                </c:pt>
                <c:pt idx="111">
                  <c:v>25.339902932495299</c:v>
                </c:pt>
                <c:pt idx="112">
                  <c:v>25.479861293010625</c:v>
                </c:pt>
                <c:pt idx="113">
                  <c:v>25.618360092421099</c:v>
                </c:pt>
                <c:pt idx="114">
                  <c:v>25.75542247655887</c:v>
                </c:pt>
                <c:pt idx="115">
                  <c:v>25.891071091579498</c:v>
                </c:pt>
                <c:pt idx="116">
                  <c:v>26.025328097821671</c:v>
                </c:pt>
                <c:pt idx="117">
                  <c:v>26.158215183190286</c:v>
                </c:pt>
                <c:pt idx="118">
                  <c:v>26.289753576083235</c:v>
                </c:pt>
                <c:pt idx="119">
                  <c:v>26.419964057880048</c:v>
                </c:pt>
                <c:pt idx="120">
                  <c:v>26.548866975010803</c:v>
                </c:pt>
                <c:pt idx="121">
                  <c:v>26.676482250622048</c:v>
                </c:pt>
                <c:pt idx="122">
                  <c:v>26.802829395855799</c:v>
                </c:pt>
                <c:pt idx="123">
                  <c:v>26.927927520757517</c:v>
                </c:pt>
                <c:pt idx="124">
                  <c:v>27.051795344827273</c:v>
                </c:pt>
                <c:pt idx="125">
                  <c:v>27.174451207228344</c:v>
                </c:pt>
                <c:pt idx="126">
                  <c:v>27.295913076666761</c:v>
                </c:pt>
                <c:pt idx="127">
                  <c:v>27.416198560954246</c:v>
                </c:pt>
                <c:pt idx="128">
                  <c:v>27.535324916266934</c:v>
                </c:pt>
                <c:pt idx="129">
                  <c:v>27.653309056111485</c:v>
                </c:pt>
                <c:pt idx="130">
                  <c:v>27.770167560009686</c:v>
                </c:pt>
                <c:pt idx="131">
                  <c:v>27.885916681912025</c:v>
                </c:pt>
                <c:pt idx="132">
                  <c:v>28.000572358350656</c:v>
                </c:pt>
                <c:pt idx="133">
                  <c:v>28.11415021634097</c:v>
                </c:pt>
                <c:pt idx="134">
                  <c:v>28.226665581041786</c:v>
                </c:pt>
                <c:pt idx="135">
                  <c:v>28.338133483182197</c:v>
                </c:pt>
                <c:pt idx="136">
                  <c:v>28.448568666264123</c:v>
                </c:pt>
                <c:pt idx="137">
                  <c:v>28.557985593548548</c:v>
                </c:pt>
                <c:pt idx="138">
                  <c:v>28.666398454833157</c:v>
                </c:pt>
                <c:pt idx="139">
                  <c:v>28.773821173028807</c:v>
                </c:pt>
                <c:pt idx="140">
                  <c:v>28.880267410542192</c:v>
                </c:pt>
                <c:pt idx="141">
                  <c:v>28.985750575471116</c:v>
                </c:pt>
                <c:pt idx="142">
                  <c:v>29.090283827619501</c:v>
                </c:pt>
                <c:pt idx="143">
                  <c:v>29.193880084337891</c:v>
                </c:pt>
                <c:pt idx="144">
                  <c:v>29.296552026195812</c:v>
                </c:pt>
                <c:pt idx="145">
                  <c:v>29.39831210249157</c:v>
                </c:pt>
                <c:pt idx="146">
                  <c:v>29.499172536605261</c:v>
                </c:pt>
                <c:pt idx="147">
                  <c:v>29.599145331200216</c:v>
                </c:pt>
                <c:pt idx="148">
                  <c:v>29.69824227327776</c:v>
                </c:pt>
                <c:pt idx="149">
                  <c:v>29.796474939090821</c:v>
                </c:pt>
                <c:pt idx="150">
                  <c:v>29.893854698920375</c:v>
                </c:pt>
                <c:pt idx="151">
                  <c:v>29.990392721719839</c:v>
                </c:pt>
                <c:pt idx="152">
                  <c:v>30.086099979631392</c:v>
                </c:pt>
                <c:pt idx="153">
                  <c:v>30.180987252378777</c:v>
                </c:pt>
                <c:pt idx="154">
                  <c:v>30.27506513154022</c:v>
                </c:pt>
                <c:pt idx="155">
                  <c:v>30.368344024705785</c:v>
                </c:pt>
                <c:pt idx="156">
                  <c:v>30.46083415952242</c:v>
                </c:pt>
                <c:pt idx="157">
                  <c:v>30.552545587630764</c:v>
                </c:pt>
                <c:pt idx="158">
                  <c:v>30.643488188496754</c:v>
                </c:pt>
                <c:pt idx="159">
                  <c:v>30.733671673141689</c:v>
                </c:pt>
                <c:pt idx="160">
                  <c:v>30.823105587773796</c:v>
                </c:pt>
                <c:pt idx="161">
                  <c:v>30.911799317324352</c:v>
                </c:pt>
                <c:pt idx="162">
                  <c:v>30.99976208889149</c:v>
                </c:pt>
                <c:pt idx="163">
                  <c:v>31.087002975094347</c:v>
                </c:pt>
                <c:pt idx="164">
                  <c:v>31.17353089734063</c:v>
                </c:pt>
                <c:pt idx="165">
                  <c:v>31.259354629009884</c:v>
                </c:pt>
                <c:pt idx="166">
                  <c:v>31.344482798555291</c:v>
                </c:pt>
                <c:pt idx="167">
                  <c:v>31.428923892526413</c:v>
                </c:pt>
                <c:pt idx="168">
                  <c:v>31.512686258515338</c:v>
                </c:pt>
                <c:pt idx="169">
                  <c:v>31.595778108028288</c:v>
                </c:pt>
                <c:pt idx="170">
                  <c:v>31.678207519285234</c:v>
                </c:pt>
                <c:pt idx="171">
                  <c:v>31.759982439949439</c:v>
                </c:pt>
                <c:pt idx="172">
                  <c:v>31.841110689789172</c:v>
                </c:pt>
                <c:pt idx="173">
                  <c:v>31.92159996327338</c:v>
                </c:pt>
                <c:pt idx="174">
                  <c:v>32.001457832103455</c:v>
                </c:pt>
                <c:pt idx="175">
                  <c:v>32.080691747682948</c:v>
                </c:pt>
                <c:pt idx="176">
                  <c:v>32.159309043526775</c:v>
                </c:pt>
                <c:pt idx="177">
                  <c:v>32.237316937612064</c:v>
                </c:pt>
                <c:pt idx="178">
                  <c:v>32.314722534671951</c:v>
                </c:pt>
                <c:pt idx="179">
                  <c:v>32.391532828434386</c:v>
                </c:pt>
                <c:pt idx="180">
                  <c:v>32.467754703806776</c:v>
                </c:pt>
                <c:pt idx="181">
                  <c:v>32.543394939009005</c:v>
                </c:pt>
                <c:pt idx="182">
                  <c:v>32.618460207655453</c:v>
                </c:pt>
                <c:pt idx="183">
                  <c:v>32.692957080787771</c:v>
                </c:pt>
                <c:pt idx="184">
                  <c:v>32.766892028859914</c:v>
                </c:pt>
                <c:pt idx="185">
                  <c:v>32.840271423676469</c:v>
                </c:pt>
                <c:pt idx="186">
                  <c:v>32.913101540285773</c:v>
                </c:pt>
                <c:pt idx="187">
                  <c:v>32.985388558829101</c:v>
                </c:pt>
                <c:pt idx="188">
                  <c:v>33.0571385663469</c:v>
                </c:pt>
                <c:pt idx="189">
                  <c:v>33.128357558543449</c:v>
                </c:pt>
                <c:pt idx="190">
                  <c:v>33.199051441511109</c:v>
                </c:pt>
                <c:pt idx="191">
                  <c:v>33.269226033415009</c:v>
                </c:pt>
                <c:pt idx="192">
                  <c:v>33.338887066139442</c:v>
                </c:pt>
                <c:pt idx="193">
                  <c:v>33.408040186897075</c:v>
                </c:pt>
                <c:pt idx="194">
                  <c:v>33.476690959801623</c:v>
                </c:pt>
                <c:pt idx="195">
                  <c:v>33.544844867405288</c:v>
                </c:pt>
                <c:pt idx="196">
                  <c:v>33.612507312201892</c:v>
                </c:pt>
                <c:pt idx="197">
                  <c:v>33.679683618096242</c:v>
                </c:pt>
                <c:pt idx="198">
                  <c:v>33.746379031841158</c:v>
                </c:pt>
                <c:pt idx="199">
                  <c:v>33.812598724442481</c:v>
                </c:pt>
                <c:pt idx="200">
                  <c:v>33.878347792533297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79C-4AA8-B027-F089379DDF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47648"/>
        <c:axId val="141949568"/>
      </c:scatterChart>
      <c:valAx>
        <c:axId val="141947648"/>
        <c:scaling>
          <c:orientation val="minMax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Input</a:t>
                </a:r>
                <a:r>
                  <a:rPr lang="en-US" sz="1100" baseline="0"/>
                  <a:t> Voltage (V)</a:t>
                </a:r>
                <a:endParaRPr lang="en-US" sz="1100"/>
              </a:p>
            </c:rich>
          </c:tx>
          <c:layout>
            <c:manualLayout>
              <c:xMode val="edge"/>
              <c:yMode val="edge"/>
              <c:x val="0.47052333022741466"/>
              <c:y val="0.9379852666345700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949568"/>
        <c:crosses val="autoZero"/>
        <c:crossBetween val="midCat"/>
      </c:valAx>
      <c:valAx>
        <c:axId val="1419495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Temperature (</a:t>
                </a:r>
                <a:r>
                  <a:rPr lang="en-US" sz="1100">
                    <a:sym typeface="Symbol"/>
                  </a:rPr>
                  <a:t></a:t>
                </a:r>
                <a:r>
                  <a:rPr lang="en-US" sz="1100"/>
                  <a:t>C)</a:t>
                </a:r>
              </a:p>
            </c:rich>
          </c:tx>
          <c:layout>
            <c:manualLayout>
              <c:xMode val="edge"/>
              <c:yMode val="edge"/>
              <c:x val="1.3813487878384515E-2"/>
              <c:y val="0.403849932959563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947648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76235382341913138"/>
          <c:y val="3.6399592062826468E-2"/>
          <c:w val="0.19862061359977062"/>
          <c:h val="8.282849492298320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200"/>
              <a:t>MOSFET &amp;</a:t>
            </a:r>
            <a:r>
              <a:rPr lang="en-US" sz="1200" baseline="0"/>
              <a:t> Inductor</a:t>
            </a:r>
            <a:r>
              <a:rPr lang="en-US" sz="1200"/>
              <a:t> Power Dissipation</a:t>
            </a:r>
          </a:p>
        </c:rich>
      </c:tx>
      <c:layout>
        <c:manualLayout>
          <c:xMode val="edge"/>
          <c:yMode val="edge"/>
          <c:x val="0.3164215172691891"/>
          <c:y val="3.561827956989247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00636942675162"/>
          <c:y val="0.15927440521547717"/>
          <c:w val="0.8471337579617837"/>
          <c:h val="0.70362972493790654"/>
        </c:manualLayout>
      </c:layout>
      <c:scatterChart>
        <c:scatterStyle val="lineMarker"/>
        <c:varyColors val="0"/>
        <c:ser>
          <c:idx val="2"/>
          <c:order val="0"/>
          <c:tx>
            <c:v>High-side MOSFET</c:v>
          </c:tx>
          <c:spPr>
            <a:ln w="25400">
              <a:solidFill>
                <a:srgbClr val="000080"/>
              </a:solidFill>
              <a:prstDash val="dash"/>
            </a:ln>
          </c:spPr>
          <c:marker>
            <c:symbol val="none"/>
          </c:marker>
          <c:xVal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9.1950000000000003</c:v>
                </c:pt>
                <c:pt idx="2">
                  <c:v>9.39</c:v>
                </c:pt>
                <c:pt idx="3">
                  <c:v>9.5850000000000009</c:v>
                </c:pt>
                <c:pt idx="4">
                  <c:v>9.7799999999999994</c:v>
                </c:pt>
                <c:pt idx="5">
                  <c:v>9.9749999999999996</c:v>
                </c:pt>
                <c:pt idx="6">
                  <c:v>10.17</c:v>
                </c:pt>
                <c:pt idx="7">
                  <c:v>10.365</c:v>
                </c:pt>
                <c:pt idx="8">
                  <c:v>10.56</c:v>
                </c:pt>
                <c:pt idx="9">
                  <c:v>10.754999999999999</c:v>
                </c:pt>
                <c:pt idx="10">
                  <c:v>10.95</c:v>
                </c:pt>
                <c:pt idx="11">
                  <c:v>11.145</c:v>
                </c:pt>
                <c:pt idx="12">
                  <c:v>11.34</c:v>
                </c:pt>
                <c:pt idx="13">
                  <c:v>11.535</c:v>
                </c:pt>
                <c:pt idx="14">
                  <c:v>11.73</c:v>
                </c:pt>
                <c:pt idx="15">
                  <c:v>11.925000000000001</c:v>
                </c:pt>
                <c:pt idx="16">
                  <c:v>12.120000000000001</c:v>
                </c:pt>
                <c:pt idx="17">
                  <c:v>12.315000000000001</c:v>
                </c:pt>
                <c:pt idx="18">
                  <c:v>12.51</c:v>
                </c:pt>
                <c:pt idx="19">
                  <c:v>12.705</c:v>
                </c:pt>
                <c:pt idx="20">
                  <c:v>12.9</c:v>
                </c:pt>
                <c:pt idx="21">
                  <c:v>13.094999999999999</c:v>
                </c:pt>
                <c:pt idx="22">
                  <c:v>13.29</c:v>
                </c:pt>
                <c:pt idx="23">
                  <c:v>13.484999999999999</c:v>
                </c:pt>
                <c:pt idx="24">
                  <c:v>13.68</c:v>
                </c:pt>
                <c:pt idx="25">
                  <c:v>13.875</c:v>
                </c:pt>
                <c:pt idx="26">
                  <c:v>14.07</c:v>
                </c:pt>
                <c:pt idx="27">
                  <c:v>14.265000000000001</c:v>
                </c:pt>
                <c:pt idx="28">
                  <c:v>14.46</c:v>
                </c:pt>
                <c:pt idx="29">
                  <c:v>14.654999999999999</c:v>
                </c:pt>
                <c:pt idx="30">
                  <c:v>14.85</c:v>
                </c:pt>
                <c:pt idx="31">
                  <c:v>15.045</c:v>
                </c:pt>
                <c:pt idx="32">
                  <c:v>15.24</c:v>
                </c:pt>
                <c:pt idx="33">
                  <c:v>15.435</c:v>
                </c:pt>
                <c:pt idx="34">
                  <c:v>15.63</c:v>
                </c:pt>
                <c:pt idx="35">
                  <c:v>15.824999999999999</c:v>
                </c:pt>
                <c:pt idx="36">
                  <c:v>16.02</c:v>
                </c:pt>
                <c:pt idx="37">
                  <c:v>16.215</c:v>
                </c:pt>
                <c:pt idx="38">
                  <c:v>16.41</c:v>
                </c:pt>
                <c:pt idx="39">
                  <c:v>16.605</c:v>
                </c:pt>
                <c:pt idx="40">
                  <c:v>16.8</c:v>
                </c:pt>
                <c:pt idx="41">
                  <c:v>16.994999999999997</c:v>
                </c:pt>
                <c:pt idx="42">
                  <c:v>17.189999999999998</c:v>
                </c:pt>
                <c:pt idx="43">
                  <c:v>17.384999999999998</c:v>
                </c:pt>
                <c:pt idx="44">
                  <c:v>17.579999999999998</c:v>
                </c:pt>
                <c:pt idx="45">
                  <c:v>17.774999999999999</c:v>
                </c:pt>
                <c:pt idx="46">
                  <c:v>17.97</c:v>
                </c:pt>
                <c:pt idx="47">
                  <c:v>18.164999999999999</c:v>
                </c:pt>
                <c:pt idx="48">
                  <c:v>18.36</c:v>
                </c:pt>
                <c:pt idx="49">
                  <c:v>18.555</c:v>
                </c:pt>
                <c:pt idx="50">
                  <c:v>18.75</c:v>
                </c:pt>
                <c:pt idx="51">
                  <c:v>18.945</c:v>
                </c:pt>
                <c:pt idx="52">
                  <c:v>19.14</c:v>
                </c:pt>
                <c:pt idx="53">
                  <c:v>19.335000000000001</c:v>
                </c:pt>
                <c:pt idx="54">
                  <c:v>19.53</c:v>
                </c:pt>
                <c:pt idx="55">
                  <c:v>19.725000000000001</c:v>
                </c:pt>
                <c:pt idx="56">
                  <c:v>19.920000000000002</c:v>
                </c:pt>
                <c:pt idx="57">
                  <c:v>20.114999999999998</c:v>
                </c:pt>
                <c:pt idx="58">
                  <c:v>20.309999999999999</c:v>
                </c:pt>
                <c:pt idx="59">
                  <c:v>20.504999999999999</c:v>
                </c:pt>
                <c:pt idx="60">
                  <c:v>20.7</c:v>
                </c:pt>
                <c:pt idx="61">
                  <c:v>20.895</c:v>
                </c:pt>
                <c:pt idx="62">
                  <c:v>21.09</c:v>
                </c:pt>
                <c:pt idx="63">
                  <c:v>21.285</c:v>
                </c:pt>
                <c:pt idx="64">
                  <c:v>21.48</c:v>
                </c:pt>
                <c:pt idx="65">
                  <c:v>21.675000000000001</c:v>
                </c:pt>
                <c:pt idx="66">
                  <c:v>21.87</c:v>
                </c:pt>
                <c:pt idx="67">
                  <c:v>22.065000000000001</c:v>
                </c:pt>
                <c:pt idx="68">
                  <c:v>22.26</c:v>
                </c:pt>
                <c:pt idx="69">
                  <c:v>22.454999999999998</c:v>
                </c:pt>
                <c:pt idx="70">
                  <c:v>22.65</c:v>
                </c:pt>
                <c:pt idx="71">
                  <c:v>22.844999999999999</c:v>
                </c:pt>
                <c:pt idx="72">
                  <c:v>23.04</c:v>
                </c:pt>
                <c:pt idx="73">
                  <c:v>23.234999999999999</c:v>
                </c:pt>
                <c:pt idx="74">
                  <c:v>23.43</c:v>
                </c:pt>
                <c:pt idx="75">
                  <c:v>23.625</c:v>
                </c:pt>
                <c:pt idx="76">
                  <c:v>23.82</c:v>
                </c:pt>
                <c:pt idx="77">
                  <c:v>24.015000000000001</c:v>
                </c:pt>
                <c:pt idx="78">
                  <c:v>24.21</c:v>
                </c:pt>
                <c:pt idx="79">
                  <c:v>24.405000000000001</c:v>
                </c:pt>
                <c:pt idx="80">
                  <c:v>24.6</c:v>
                </c:pt>
                <c:pt idx="81">
                  <c:v>24.795000000000002</c:v>
                </c:pt>
                <c:pt idx="82">
                  <c:v>24.99</c:v>
                </c:pt>
                <c:pt idx="83">
                  <c:v>25.184999999999999</c:v>
                </c:pt>
                <c:pt idx="84">
                  <c:v>25.38</c:v>
                </c:pt>
                <c:pt idx="85">
                  <c:v>25.574999999999999</c:v>
                </c:pt>
                <c:pt idx="86">
                  <c:v>25.77</c:v>
                </c:pt>
                <c:pt idx="87">
                  <c:v>25.965</c:v>
                </c:pt>
                <c:pt idx="88">
                  <c:v>26.16</c:v>
                </c:pt>
                <c:pt idx="89">
                  <c:v>26.355</c:v>
                </c:pt>
                <c:pt idx="90">
                  <c:v>26.55</c:v>
                </c:pt>
                <c:pt idx="91">
                  <c:v>26.745000000000001</c:v>
                </c:pt>
                <c:pt idx="92">
                  <c:v>26.94</c:v>
                </c:pt>
                <c:pt idx="93">
                  <c:v>27.135000000000002</c:v>
                </c:pt>
                <c:pt idx="94">
                  <c:v>27.33</c:v>
                </c:pt>
                <c:pt idx="95">
                  <c:v>27.524999999999999</c:v>
                </c:pt>
                <c:pt idx="96">
                  <c:v>27.72</c:v>
                </c:pt>
                <c:pt idx="97">
                  <c:v>27.914999999999999</c:v>
                </c:pt>
                <c:pt idx="98">
                  <c:v>28.11</c:v>
                </c:pt>
                <c:pt idx="99">
                  <c:v>28.305</c:v>
                </c:pt>
                <c:pt idx="100">
                  <c:v>28.5</c:v>
                </c:pt>
                <c:pt idx="101">
                  <c:v>28.695</c:v>
                </c:pt>
                <c:pt idx="102">
                  <c:v>28.89</c:v>
                </c:pt>
                <c:pt idx="103">
                  <c:v>29.085000000000001</c:v>
                </c:pt>
                <c:pt idx="104">
                  <c:v>29.28</c:v>
                </c:pt>
                <c:pt idx="105">
                  <c:v>29.475000000000001</c:v>
                </c:pt>
                <c:pt idx="106">
                  <c:v>29.67</c:v>
                </c:pt>
                <c:pt idx="107">
                  <c:v>29.865000000000002</c:v>
                </c:pt>
                <c:pt idx="108">
                  <c:v>30.060000000000002</c:v>
                </c:pt>
                <c:pt idx="109">
                  <c:v>30.255000000000003</c:v>
                </c:pt>
                <c:pt idx="110">
                  <c:v>30.450000000000003</c:v>
                </c:pt>
                <c:pt idx="111">
                  <c:v>30.645000000000003</c:v>
                </c:pt>
                <c:pt idx="112">
                  <c:v>30.840000000000003</c:v>
                </c:pt>
                <c:pt idx="113">
                  <c:v>31.034999999999997</c:v>
                </c:pt>
                <c:pt idx="114">
                  <c:v>31.229999999999997</c:v>
                </c:pt>
                <c:pt idx="115">
                  <c:v>31.424999999999997</c:v>
                </c:pt>
                <c:pt idx="116">
                  <c:v>31.619999999999997</c:v>
                </c:pt>
                <c:pt idx="117">
                  <c:v>31.814999999999998</c:v>
                </c:pt>
                <c:pt idx="118">
                  <c:v>32.01</c:v>
                </c:pt>
                <c:pt idx="119">
                  <c:v>32.204999999999998</c:v>
                </c:pt>
                <c:pt idx="120">
                  <c:v>32.4</c:v>
                </c:pt>
                <c:pt idx="121">
                  <c:v>32.594999999999999</c:v>
                </c:pt>
                <c:pt idx="122">
                  <c:v>32.79</c:v>
                </c:pt>
                <c:pt idx="123">
                  <c:v>32.984999999999999</c:v>
                </c:pt>
                <c:pt idx="124">
                  <c:v>33.18</c:v>
                </c:pt>
                <c:pt idx="125">
                  <c:v>33.375</c:v>
                </c:pt>
                <c:pt idx="126">
                  <c:v>33.57</c:v>
                </c:pt>
                <c:pt idx="127">
                  <c:v>33.765000000000001</c:v>
                </c:pt>
                <c:pt idx="128">
                  <c:v>33.96</c:v>
                </c:pt>
                <c:pt idx="129">
                  <c:v>34.155000000000001</c:v>
                </c:pt>
                <c:pt idx="130">
                  <c:v>34.35</c:v>
                </c:pt>
                <c:pt idx="131">
                  <c:v>34.545000000000002</c:v>
                </c:pt>
                <c:pt idx="132">
                  <c:v>34.74</c:v>
                </c:pt>
                <c:pt idx="133">
                  <c:v>34.935000000000002</c:v>
                </c:pt>
                <c:pt idx="134">
                  <c:v>35.130000000000003</c:v>
                </c:pt>
                <c:pt idx="135">
                  <c:v>35.325000000000003</c:v>
                </c:pt>
                <c:pt idx="136">
                  <c:v>35.520000000000003</c:v>
                </c:pt>
                <c:pt idx="137">
                  <c:v>35.715000000000003</c:v>
                </c:pt>
                <c:pt idx="138">
                  <c:v>35.909999999999997</c:v>
                </c:pt>
                <c:pt idx="139">
                  <c:v>36.104999999999997</c:v>
                </c:pt>
                <c:pt idx="140">
                  <c:v>36.299999999999997</c:v>
                </c:pt>
                <c:pt idx="141">
                  <c:v>36.494999999999997</c:v>
                </c:pt>
                <c:pt idx="142">
                  <c:v>36.69</c:v>
                </c:pt>
                <c:pt idx="143">
                  <c:v>36.884999999999998</c:v>
                </c:pt>
                <c:pt idx="144">
                  <c:v>37.08</c:v>
                </c:pt>
                <c:pt idx="145">
                  <c:v>37.274999999999999</c:v>
                </c:pt>
                <c:pt idx="146">
                  <c:v>37.47</c:v>
                </c:pt>
                <c:pt idx="147">
                  <c:v>37.664999999999999</c:v>
                </c:pt>
                <c:pt idx="148">
                  <c:v>37.86</c:v>
                </c:pt>
                <c:pt idx="149">
                  <c:v>38.055</c:v>
                </c:pt>
                <c:pt idx="150">
                  <c:v>38.25</c:v>
                </c:pt>
                <c:pt idx="151">
                  <c:v>38.445</c:v>
                </c:pt>
                <c:pt idx="152">
                  <c:v>38.64</c:v>
                </c:pt>
                <c:pt idx="153">
                  <c:v>38.835000000000001</c:v>
                </c:pt>
                <c:pt idx="154">
                  <c:v>39.03</c:v>
                </c:pt>
                <c:pt idx="155">
                  <c:v>39.225000000000001</c:v>
                </c:pt>
                <c:pt idx="156">
                  <c:v>39.42</c:v>
                </c:pt>
                <c:pt idx="157">
                  <c:v>39.615000000000002</c:v>
                </c:pt>
                <c:pt idx="158">
                  <c:v>39.81</c:v>
                </c:pt>
                <c:pt idx="159">
                  <c:v>40.005000000000003</c:v>
                </c:pt>
                <c:pt idx="160">
                  <c:v>40.200000000000003</c:v>
                </c:pt>
                <c:pt idx="161">
                  <c:v>40.395000000000003</c:v>
                </c:pt>
                <c:pt idx="162">
                  <c:v>40.590000000000003</c:v>
                </c:pt>
                <c:pt idx="163">
                  <c:v>40.784999999999997</c:v>
                </c:pt>
                <c:pt idx="164">
                  <c:v>40.98</c:v>
                </c:pt>
                <c:pt idx="165">
                  <c:v>41.174999999999997</c:v>
                </c:pt>
                <c:pt idx="166">
                  <c:v>41.37</c:v>
                </c:pt>
                <c:pt idx="167">
                  <c:v>41.564999999999998</c:v>
                </c:pt>
                <c:pt idx="168">
                  <c:v>41.76</c:v>
                </c:pt>
                <c:pt idx="169">
                  <c:v>41.954999999999998</c:v>
                </c:pt>
                <c:pt idx="170">
                  <c:v>42.15</c:v>
                </c:pt>
                <c:pt idx="171">
                  <c:v>42.344999999999999</c:v>
                </c:pt>
                <c:pt idx="172">
                  <c:v>42.54</c:v>
                </c:pt>
                <c:pt idx="173">
                  <c:v>42.734999999999999</c:v>
                </c:pt>
                <c:pt idx="174">
                  <c:v>42.93</c:v>
                </c:pt>
                <c:pt idx="175">
                  <c:v>43.125</c:v>
                </c:pt>
                <c:pt idx="176">
                  <c:v>43.32</c:v>
                </c:pt>
                <c:pt idx="177">
                  <c:v>43.515000000000001</c:v>
                </c:pt>
                <c:pt idx="178">
                  <c:v>43.71</c:v>
                </c:pt>
                <c:pt idx="179">
                  <c:v>43.905000000000001</c:v>
                </c:pt>
                <c:pt idx="180">
                  <c:v>44.1</c:v>
                </c:pt>
                <c:pt idx="181">
                  <c:v>44.295000000000002</c:v>
                </c:pt>
                <c:pt idx="182">
                  <c:v>44.49</c:v>
                </c:pt>
                <c:pt idx="183">
                  <c:v>44.685000000000002</c:v>
                </c:pt>
                <c:pt idx="184">
                  <c:v>44.88</c:v>
                </c:pt>
                <c:pt idx="185">
                  <c:v>45.075000000000003</c:v>
                </c:pt>
                <c:pt idx="186">
                  <c:v>45.27</c:v>
                </c:pt>
                <c:pt idx="187">
                  <c:v>45.465000000000003</c:v>
                </c:pt>
                <c:pt idx="188">
                  <c:v>45.66</c:v>
                </c:pt>
                <c:pt idx="189">
                  <c:v>45.854999999999997</c:v>
                </c:pt>
                <c:pt idx="190">
                  <c:v>46.05</c:v>
                </c:pt>
                <c:pt idx="191">
                  <c:v>46.244999999999997</c:v>
                </c:pt>
                <c:pt idx="192">
                  <c:v>46.44</c:v>
                </c:pt>
                <c:pt idx="193">
                  <c:v>46.634999999999998</c:v>
                </c:pt>
                <c:pt idx="194">
                  <c:v>46.83</c:v>
                </c:pt>
                <c:pt idx="195">
                  <c:v>47.024999999999999</c:v>
                </c:pt>
                <c:pt idx="196">
                  <c:v>47.22</c:v>
                </c:pt>
                <c:pt idx="197">
                  <c:v>47.414999999999999</c:v>
                </c:pt>
                <c:pt idx="198">
                  <c:v>47.61</c:v>
                </c:pt>
                <c:pt idx="199">
                  <c:v>47.805</c:v>
                </c:pt>
                <c:pt idx="200">
                  <c:v>48</c:v>
                </c:pt>
              </c:numCache>
            </c:numRef>
          </c:xVal>
          <c:yVal>
            <c:numRef>
              <c:f>'Efficiency vs VIN Calculations'!$AE$9:$AE$209</c:f>
              <c:numCache>
                <c:formatCode>0.000</c:formatCode>
                <c:ptCount val="201"/>
                <c:pt idx="0">
                  <c:v>3.0709420014311206</c:v>
                </c:pt>
                <c:pt idx="1">
                  <c:v>2.8679652397982283</c:v>
                </c:pt>
                <c:pt idx="2">
                  <c:v>2.6865063370885336</c:v>
                </c:pt>
                <c:pt idx="3">
                  <c:v>2.523414416018039</c:v>
                </c:pt>
                <c:pt idx="4">
                  <c:v>2.3761215883106113</c:v>
                </c:pt>
                <c:pt idx="5">
                  <c:v>2.2425144786752176</c:v>
                </c:pt>
                <c:pt idx="6">
                  <c:v>2.1208382793194649</c:v>
                </c:pt>
                <c:pt idx="7">
                  <c:v>2.0096241158801185</c:v>
                </c:pt>
                <c:pt idx="8">
                  <c:v>1.9076333752777757</c:v>
                </c:pt>
                <c:pt idx="9">
                  <c:v>1.8138145483974182</c:v>
                </c:pt>
                <c:pt idx="10">
                  <c:v>1.7272694248188991</c:v>
                </c:pt>
                <c:pt idx="11">
                  <c:v>1.6472263584151676</c:v>
                </c:pt>
                <c:pt idx="12">
                  <c:v>1.5730189370923304</c:v>
                </c:pt>
                <c:pt idx="13">
                  <c:v>1.5040688242755902</c:v>
                </c:pt>
                <c:pt idx="14">
                  <c:v>1.4398718507678656</c:v>
                </c:pt>
                <c:pt idx="15">
                  <c:v>1.6815570530435069</c:v>
                </c:pt>
                <c:pt idx="16">
                  <c:v>1.6330235662818493</c:v>
                </c:pt>
                <c:pt idx="17">
                  <c:v>1.5875105869113633</c:v>
                </c:pt>
                <c:pt idx="18">
                  <c:v>1.5447971632746307</c:v>
                </c:pt>
                <c:pt idx="19">
                  <c:v>1.5046874683747791</c:v>
                </c:pt>
                <c:pt idx="20">
                  <c:v>1.4800465845825326</c:v>
                </c:pt>
                <c:pt idx="21">
                  <c:v>1.4706145709967455</c:v>
                </c:pt>
                <c:pt idx="22">
                  <c:v>1.4619774538185182</c:v>
                </c:pt>
                <c:pt idx="23">
                  <c:v>1.454074637210709</c:v>
                </c:pt>
                <c:pt idx="24">
                  <c:v>1.4468514087724185</c:v>
                </c:pt>
                <c:pt idx="25">
                  <c:v>1.440258265888144</c:v>
                </c:pt>
                <c:pt idx="26">
                  <c:v>1.4342503301525631</c:v>
                </c:pt>
                <c:pt idx="27">
                  <c:v>1.4287868369537728</c:v>
                </c:pt>
                <c:pt idx="28">
                  <c:v>1.4238306893963517</c:v>
                </c:pt>
                <c:pt idx="29">
                  <c:v>1.9468041163705669</c:v>
                </c:pt>
                <c:pt idx="30">
                  <c:v>1.948785947531321</c:v>
                </c:pt>
                <c:pt idx="31">
                  <c:v>1.9511368128159403</c:v>
                </c:pt>
                <c:pt idx="32">
                  <c:v>1.9538382467764284</c:v>
                </c:pt>
                <c:pt idx="33">
                  <c:v>1.9568730328555046</c:v>
                </c:pt>
                <c:pt idx="34">
                  <c:v>1.9602250983688057</c:v>
                </c:pt>
                <c:pt idx="35">
                  <c:v>1.9638794199206311</c:v>
                </c:pt>
                <c:pt idx="36">
                  <c:v>1.9678219380677737</c:v>
                </c:pt>
                <c:pt idx="37">
                  <c:v>1.9720394801966805</c:v>
                </c:pt>
                <c:pt idx="38">
                  <c:v>1.976519690708793</c:v>
                </c:pt>
                <c:pt idx="39">
                  <c:v>1.9812509677206063</c:v>
                </c:pt>
                <c:pt idx="40">
                  <c:v>1.9862224055815323</c:v>
                </c:pt>
                <c:pt idx="41">
                  <c:v>1.9914237425961867</c:v>
                </c:pt>
                <c:pt idx="42">
                  <c:v>1.9968453134102404</c:v>
                </c:pt>
                <c:pt idx="43">
                  <c:v>2.0024780055820557</c:v>
                </c:pt>
                <c:pt idx="44">
                  <c:v>2.0083132199172202</c:v>
                </c:pt>
                <c:pt idx="45">
                  <c:v>2.0143428341911114</c:v>
                </c:pt>
                <c:pt idx="46">
                  <c:v>2.0205591699265315</c:v>
                </c:pt>
                <c:pt idx="47">
                  <c:v>2.0269549619302549</c:v>
                </c:pt>
                <c:pt idx="48">
                  <c:v>2.0335233303245976</c:v>
                </c:pt>
                <c:pt idx="49">
                  <c:v>2.0402577548385032</c:v>
                </c:pt>
                <c:pt idx="50">
                  <c:v>2.0471520511476693</c:v>
                </c:pt>
                <c:pt idx="51">
                  <c:v>2.0542003490752956</c:v>
                </c:pt>
                <c:pt idx="52">
                  <c:v>2.0613970724845512</c:v>
                </c:pt>
                <c:pt idx="53">
                  <c:v>2.0687369207111495</c:v>
                </c:pt>
                <c:pt idx="54">
                  <c:v>2.0762148513997092</c:v>
                </c:pt>
                <c:pt idx="55">
                  <c:v>2.0838260646212072</c:v>
                </c:pt>
                <c:pt idx="56">
                  <c:v>2.0915659881609203</c:v>
                </c:pt>
                <c:pt idx="57">
                  <c:v>2.0994302638770246</c:v>
                </c:pt>
                <c:pt idx="58">
                  <c:v>2.1074147350396544</c:v>
                </c:pt>
                <c:pt idx="59">
                  <c:v>2.1155154345687723</c:v>
                </c:pt>
                <c:pt idx="60">
                  <c:v>2.1237285740969236</c:v>
                </c:pt>
                <c:pt idx="61">
                  <c:v>2.1320505337897875</c:v>
                </c:pt>
                <c:pt idx="62">
                  <c:v>2.1404778528636386</c:v>
                </c:pt>
                <c:pt idx="63">
                  <c:v>2.1490072207443385</c:v>
                </c:pt>
                <c:pt idx="64">
                  <c:v>2.1576354688174799</c:v>
                </c:pt>
                <c:pt idx="65">
                  <c:v>2.1663595627237702</c:v>
                </c:pt>
                <c:pt idx="66">
                  <c:v>2.1751765951577946</c:v>
                </c:pt>
                <c:pt idx="67">
                  <c:v>2.1840837791319201</c:v>
                </c:pt>
                <c:pt idx="68">
                  <c:v>2.1930784416704157</c:v>
                </c:pt>
                <c:pt idx="69">
                  <c:v>2.2021580179018181</c:v>
                </c:pt>
                <c:pt idx="70">
                  <c:v>2.2113200455202913</c:v>
                </c:pt>
                <c:pt idx="71">
                  <c:v>2.2205621595891274</c:v>
                </c:pt>
                <c:pt idx="72">
                  <c:v>2.2298820876618044</c:v>
                </c:pt>
                <c:pt idx="73">
                  <c:v>2.2392776451979763</c:v>
                </c:pt>
                <c:pt idx="74">
                  <c:v>2.2487467312536253</c:v>
                </c:pt>
                <c:pt idx="75">
                  <c:v>2.2582873244262771</c:v>
                </c:pt>
                <c:pt idx="76">
                  <c:v>2.2678974790376523</c:v>
                </c:pt>
                <c:pt idx="77">
                  <c:v>2.2775753215375674</c:v>
                </c:pt>
                <c:pt idx="78">
                  <c:v>2.2873190471141034</c:v>
                </c:pt>
                <c:pt idx="79">
                  <c:v>2.297126916496242</c:v>
                </c:pt>
                <c:pt idx="80">
                  <c:v>2.3069972529362213</c:v>
                </c:pt>
                <c:pt idx="81">
                  <c:v>2.3169284393598</c:v>
                </c:pt>
                <c:pt idx="82">
                  <c:v>2.3269189156735304</c:v>
                </c:pt>
                <c:pt idx="83">
                  <c:v>2.3369671762189377</c:v>
                </c:pt>
                <c:pt idx="84">
                  <c:v>2.3470717673642203</c:v>
                </c:pt>
                <c:pt idx="85">
                  <c:v>2.3572312852248167</c:v>
                </c:pt>
                <c:pt idx="86">
                  <c:v>2.3674443735047555</c:v>
                </c:pt>
                <c:pt idx="87">
                  <c:v>2.3777097214513163</c:v>
                </c:pt>
                <c:pt idx="88">
                  <c:v>2.3880260619160447</c:v>
                </c:pt>
                <c:pt idx="89">
                  <c:v>2.3983921695156436</c:v>
                </c:pt>
                <c:pt idx="90">
                  <c:v>2.4088068588867384</c:v>
                </c:pt>
                <c:pt idx="91">
                  <c:v>2.4192689830288896</c:v>
                </c:pt>
                <c:pt idx="92">
                  <c:v>2.4297774317306469</c:v>
                </c:pt>
                <c:pt idx="93">
                  <c:v>2.4403311300737611</c:v>
                </c:pt>
                <c:pt idx="94">
                  <c:v>2.4509290370110173</c:v>
                </c:pt>
                <c:pt idx="95">
                  <c:v>2.4615701440134439</c:v>
                </c:pt>
                <c:pt idx="96">
                  <c:v>2.4722534737829314</c:v>
                </c:pt>
                <c:pt idx="97">
                  <c:v>2.4829780790265596</c:v>
                </c:pt>
                <c:pt idx="98">
                  <c:v>2.4937430412891692</c:v>
                </c:pt>
                <c:pt idx="99">
                  <c:v>2.5045474698409302</c:v>
                </c:pt>
                <c:pt idx="100">
                  <c:v>2.5153905006168711</c:v>
                </c:pt>
                <c:pt idx="101">
                  <c:v>2.5262712952055364</c:v>
                </c:pt>
                <c:pt idx="102">
                  <c:v>2.5371890398840846</c:v>
                </c:pt>
                <c:pt idx="103">
                  <c:v>2.5481429446973456</c:v>
                </c:pt>
                <c:pt idx="104">
                  <c:v>2.5591322425784777</c:v>
                </c:pt>
                <c:pt idx="105">
                  <c:v>2.5701561885090265</c:v>
                </c:pt>
                <c:pt idx="106">
                  <c:v>2.5812140587163159</c:v>
                </c:pt>
                <c:pt idx="107">
                  <c:v>2.5923051499062164</c:v>
                </c:pt>
                <c:pt idx="108">
                  <c:v>2.6034287785294836</c:v>
                </c:pt>
                <c:pt idx="109">
                  <c:v>2.6145842800799133</c:v>
                </c:pt>
                <c:pt idx="110">
                  <c:v>2.625771008422721</c:v>
                </c:pt>
                <c:pt idx="111">
                  <c:v>2.6369883351516101</c:v>
                </c:pt>
                <c:pt idx="112">
                  <c:v>2.6482356489730798</c:v>
                </c:pt>
                <c:pt idx="113">
                  <c:v>2.6595123551166426</c:v>
                </c:pt>
                <c:pt idx="114">
                  <c:v>2.6708178747696536</c:v>
                </c:pt>
                <c:pt idx="115">
                  <c:v>2.6821516445355416</c:v>
                </c:pt>
                <c:pt idx="116">
                  <c:v>2.6935131159143322</c:v>
                </c:pt>
                <c:pt idx="117">
                  <c:v>2.7049017548043564</c:v>
                </c:pt>
                <c:pt idx="118">
                  <c:v>2.7163170410241491</c:v>
                </c:pt>
                <c:pt idx="119">
                  <c:v>2.7277584678535738</c:v>
                </c:pt>
                <c:pt idx="120">
                  <c:v>2.7392255415932563</c:v>
                </c:pt>
                <c:pt idx="121">
                  <c:v>2.750717781141486</c:v>
                </c:pt>
                <c:pt idx="122">
                  <c:v>2.7622347175877615</c:v>
                </c:pt>
                <c:pt idx="123">
                  <c:v>2.7737758938222146</c:v>
                </c:pt>
                <c:pt idx="124">
                  <c:v>2.7853408641601836</c:v>
                </c:pt>
                <c:pt idx="125">
                  <c:v>2.7969291939812462</c:v>
                </c:pt>
                <c:pt idx="126">
                  <c:v>2.8085404593820624</c:v>
                </c:pt>
                <c:pt idx="127">
                  <c:v>2.8201742468424031</c:v>
                </c:pt>
                <c:pt idx="128">
                  <c:v>2.8318301529037742</c:v>
                </c:pt>
                <c:pt idx="129">
                  <c:v>2.8435077838600846</c:v>
                </c:pt>
                <c:pt idx="130">
                  <c:v>2.8552067554598253</c:v>
                </c:pt>
                <c:pt idx="131">
                  <c:v>2.8669266926192569</c:v>
                </c:pt>
                <c:pt idx="132">
                  <c:v>2.8786672291461262</c:v>
                </c:pt>
                <c:pt idx="133">
                  <c:v>2.8904280074734605</c:v>
                </c:pt>
                <c:pt idx="134">
                  <c:v>2.9022086784030106</c:v>
                </c:pt>
                <c:pt idx="135">
                  <c:v>2.9140089008579215</c:v>
                </c:pt>
                <c:pt idx="136">
                  <c:v>2.925828341644257</c:v>
                </c:pt>
                <c:pt idx="137">
                  <c:v>2.9376666752209872</c:v>
                </c:pt>
                <c:pt idx="138">
                  <c:v>2.9495235834781082</c:v>
                </c:pt>
                <c:pt idx="139">
                  <c:v>2.961398755522537</c:v>
                </c:pt>
                <c:pt idx="140">
                  <c:v>2.973291887471472</c:v>
                </c:pt>
                <c:pt idx="141">
                  <c:v>2.985202682252909</c:v>
                </c:pt>
                <c:pt idx="142">
                  <c:v>2.9971308494130282</c:v>
                </c:pt>
                <c:pt idx="143">
                  <c:v>3.0090761049301684</c:v>
                </c:pt>
                <c:pt idx="144">
                  <c:v>3.0210381710351251</c:v>
                </c:pt>
                <c:pt idx="145">
                  <c:v>3.03301677603752</c:v>
                </c:pt>
                <c:pt idx="146">
                  <c:v>3.0450116541580026</c:v>
                </c:pt>
                <c:pt idx="147">
                  <c:v>3.0570225453660562</c:v>
                </c:pt>
                <c:pt idx="148">
                  <c:v>3.0690491952231826</c:v>
                </c:pt>
                <c:pt idx="149">
                  <c:v>3.0810913547312575</c:v>
                </c:pt>
                <c:pt idx="150">
                  <c:v>3.0931487801858646</c:v>
                </c:pt>
                <c:pt idx="151">
                  <c:v>3.1052212330344022</c:v>
                </c:pt>
                <c:pt idx="152">
                  <c:v>3.1173084797387962</c:v>
                </c:pt>
                <c:pt idx="153">
                  <c:v>3.1294102916426279</c:v>
                </c:pt>
                <c:pt idx="154">
                  <c:v>3.1415264448425235</c:v>
                </c:pt>
                <c:pt idx="155">
                  <c:v>3.1536567200636378</c:v>
                </c:pt>
                <c:pt idx="156">
                  <c:v>3.165800902539079</c:v>
                </c:pt>
                <c:pt idx="157">
                  <c:v>3.1779587818931323</c:v>
                </c:pt>
                <c:pt idx="158">
                  <c:v>3.1901301520281375</c:v>
                </c:pt>
                <c:pt idx="159">
                  <c:v>3.2023148110148885</c:v>
                </c:pt>
                <c:pt idx="160">
                  <c:v>3.2145125609864289</c:v>
                </c:pt>
                <c:pt idx="161">
                  <c:v>3.2267232080351111</c:v>
                </c:pt>
                <c:pt idx="162">
                  <c:v>3.2389465621128135</c:v>
                </c:pt>
                <c:pt idx="163">
                  <c:v>3.2511824369341906</c:v>
                </c:pt>
                <c:pt idx="164">
                  <c:v>3.2634306498828609</c:v>
                </c:pt>
                <c:pt idx="165">
                  <c:v>3.2756910219204114</c:v>
                </c:pt>
                <c:pt idx="166">
                  <c:v>3.2879633774981309</c:v>
                </c:pt>
                <c:pt idx="167">
                  <c:v>3.3002475444713775</c:v>
                </c:pt>
                <c:pt idx="168">
                  <c:v>3.3125433540164817</c:v>
                </c:pt>
                <c:pt idx="169">
                  <c:v>3.3248506405500975</c:v>
                </c:pt>
                <c:pt idx="170">
                  <c:v>3.3371692416509218</c:v>
                </c:pt>
                <c:pt idx="171">
                  <c:v>3.3494989979836918</c:v>
                </c:pt>
                <c:pt idx="172">
                  <c:v>3.3618397532254001</c:v>
                </c:pt>
                <c:pt idx="173">
                  <c:v>3.3741913539936266</c:v>
                </c:pt>
                <c:pt idx="174">
                  <c:v>3.3865536497769373</c:v>
                </c:pt>
                <c:pt idx="175">
                  <c:v>3.39892649286727</c:v>
                </c:pt>
                <c:pt idx="176">
                  <c:v>3.4113097382942423</c:v>
                </c:pt>
                <c:pt idx="177">
                  <c:v>3.4237032437613171</c:v>
                </c:pt>
                <c:pt idx="178">
                  <c:v>3.4361068695837669</c:v>
                </c:pt>
                <c:pt idx="179">
                  <c:v>3.4485204786283723</c:v>
                </c:pt>
                <c:pt idx="180">
                  <c:v>3.460943936254806</c:v>
                </c:pt>
                <c:pt idx="181">
                  <c:v>3.4733771102586384</c:v>
                </c:pt>
                <c:pt idx="182">
                  <c:v>3.4858198708159107</c:v>
                </c:pt>
                <c:pt idx="183">
                  <c:v>3.4982720904292419</c:v>
                </c:pt>
                <c:pt idx="184">
                  <c:v>3.5107336438754024</c:v>
                </c:pt>
                <c:pt idx="185">
                  <c:v>3.5232044081543079</c:v>
                </c:pt>
                <c:pt idx="186">
                  <c:v>3.5356842624393998</c:v>
                </c:pt>
                <c:pt idx="187">
                  <c:v>3.5481730880293632</c:v>
                </c:pt>
                <c:pt idx="188">
                  <c:v>3.5606707683011316</c:v>
                </c:pt>
                <c:pt idx="189">
                  <c:v>3.5731771886641552</c:v>
                </c:pt>
                <c:pt idx="190">
                  <c:v>3.5856922365158708</c:v>
                </c:pt>
                <c:pt idx="191">
                  <c:v>3.598215801198362</c:v>
                </c:pt>
                <c:pt idx="192">
                  <c:v>3.6107477739561489</c:v>
                </c:pt>
                <c:pt idx="193">
                  <c:v>3.6232880478950857</c:v>
                </c:pt>
                <c:pt idx="194">
                  <c:v>3.6358365179423355</c:v>
                </c:pt>
                <c:pt idx="195">
                  <c:v>3.6483930808073719</c:v>
                </c:pt>
                <c:pt idx="196">
                  <c:v>3.6609576349439945</c:v>
                </c:pt>
                <c:pt idx="197">
                  <c:v>3.6735300805133231</c:v>
                </c:pt>
                <c:pt idx="198">
                  <c:v>3.686110319347732</c:v>
                </c:pt>
                <c:pt idx="199">
                  <c:v>3.6986982549157079</c:v>
                </c:pt>
                <c:pt idx="200">
                  <c:v>3.7112937922875964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4EF-4936-9B76-59ED7816AF7E}"/>
            </c:ext>
          </c:extLst>
        </c:ser>
        <c:ser>
          <c:idx val="3"/>
          <c:order val="1"/>
          <c:tx>
            <c:v>Low-side MOSFET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9.1950000000000003</c:v>
                </c:pt>
                <c:pt idx="2">
                  <c:v>9.39</c:v>
                </c:pt>
                <c:pt idx="3">
                  <c:v>9.5850000000000009</c:v>
                </c:pt>
                <c:pt idx="4">
                  <c:v>9.7799999999999994</c:v>
                </c:pt>
                <c:pt idx="5">
                  <c:v>9.9749999999999996</c:v>
                </c:pt>
                <c:pt idx="6">
                  <c:v>10.17</c:v>
                </c:pt>
                <c:pt idx="7">
                  <c:v>10.365</c:v>
                </c:pt>
                <c:pt idx="8">
                  <c:v>10.56</c:v>
                </c:pt>
                <c:pt idx="9">
                  <c:v>10.754999999999999</c:v>
                </c:pt>
                <c:pt idx="10">
                  <c:v>10.95</c:v>
                </c:pt>
                <c:pt idx="11">
                  <c:v>11.145</c:v>
                </c:pt>
                <c:pt idx="12">
                  <c:v>11.34</c:v>
                </c:pt>
                <c:pt idx="13">
                  <c:v>11.535</c:v>
                </c:pt>
                <c:pt idx="14">
                  <c:v>11.73</c:v>
                </c:pt>
                <c:pt idx="15">
                  <c:v>11.925000000000001</c:v>
                </c:pt>
                <c:pt idx="16">
                  <c:v>12.120000000000001</c:v>
                </c:pt>
                <c:pt idx="17">
                  <c:v>12.315000000000001</c:v>
                </c:pt>
                <c:pt idx="18">
                  <c:v>12.51</c:v>
                </c:pt>
                <c:pt idx="19">
                  <c:v>12.705</c:v>
                </c:pt>
                <c:pt idx="20">
                  <c:v>12.9</c:v>
                </c:pt>
                <c:pt idx="21">
                  <c:v>13.094999999999999</c:v>
                </c:pt>
                <c:pt idx="22">
                  <c:v>13.29</c:v>
                </c:pt>
                <c:pt idx="23">
                  <c:v>13.484999999999999</c:v>
                </c:pt>
                <c:pt idx="24">
                  <c:v>13.68</c:v>
                </c:pt>
                <c:pt idx="25">
                  <c:v>13.875</c:v>
                </c:pt>
                <c:pt idx="26">
                  <c:v>14.07</c:v>
                </c:pt>
                <c:pt idx="27">
                  <c:v>14.265000000000001</c:v>
                </c:pt>
                <c:pt idx="28">
                  <c:v>14.46</c:v>
                </c:pt>
                <c:pt idx="29">
                  <c:v>14.654999999999999</c:v>
                </c:pt>
                <c:pt idx="30">
                  <c:v>14.85</c:v>
                </c:pt>
                <c:pt idx="31">
                  <c:v>15.045</c:v>
                </c:pt>
                <c:pt idx="32">
                  <c:v>15.24</c:v>
                </c:pt>
                <c:pt idx="33">
                  <c:v>15.435</c:v>
                </c:pt>
                <c:pt idx="34">
                  <c:v>15.63</c:v>
                </c:pt>
                <c:pt idx="35">
                  <c:v>15.824999999999999</c:v>
                </c:pt>
                <c:pt idx="36">
                  <c:v>16.02</c:v>
                </c:pt>
                <c:pt idx="37">
                  <c:v>16.215</c:v>
                </c:pt>
                <c:pt idx="38">
                  <c:v>16.41</c:v>
                </c:pt>
                <c:pt idx="39">
                  <c:v>16.605</c:v>
                </c:pt>
                <c:pt idx="40">
                  <c:v>16.8</c:v>
                </c:pt>
                <c:pt idx="41">
                  <c:v>16.994999999999997</c:v>
                </c:pt>
                <c:pt idx="42">
                  <c:v>17.189999999999998</c:v>
                </c:pt>
                <c:pt idx="43">
                  <c:v>17.384999999999998</c:v>
                </c:pt>
                <c:pt idx="44">
                  <c:v>17.579999999999998</c:v>
                </c:pt>
                <c:pt idx="45">
                  <c:v>17.774999999999999</c:v>
                </c:pt>
                <c:pt idx="46">
                  <c:v>17.97</c:v>
                </c:pt>
                <c:pt idx="47">
                  <c:v>18.164999999999999</c:v>
                </c:pt>
                <c:pt idx="48">
                  <c:v>18.36</c:v>
                </c:pt>
                <c:pt idx="49">
                  <c:v>18.555</c:v>
                </c:pt>
                <c:pt idx="50">
                  <c:v>18.75</c:v>
                </c:pt>
                <c:pt idx="51">
                  <c:v>18.945</c:v>
                </c:pt>
                <c:pt idx="52">
                  <c:v>19.14</c:v>
                </c:pt>
                <c:pt idx="53">
                  <c:v>19.335000000000001</c:v>
                </c:pt>
                <c:pt idx="54">
                  <c:v>19.53</c:v>
                </c:pt>
                <c:pt idx="55">
                  <c:v>19.725000000000001</c:v>
                </c:pt>
                <c:pt idx="56">
                  <c:v>19.920000000000002</c:v>
                </c:pt>
                <c:pt idx="57">
                  <c:v>20.114999999999998</c:v>
                </c:pt>
                <c:pt idx="58">
                  <c:v>20.309999999999999</c:v>
                </c:pt>
                <c:pt idx="59">
                  <c:v>20.504999999999999</c:v>
                </c:pt>
                <c:pt idx="60">
                  <c:v>20.7</c:v>
                </c:pt>
                <c:pt idx="61">
                  <c:v>20.895</c:v>
                </c:pt>
                <c:pt idx="62">
                  <c:v>21.09</c:v>
                </c:pt>
                <c:pt idx="63">
                  <c:v>21.285</c:v>
                </c:pt>
                <c:pt idx="64">
                  <c:v>21.48</c:v>
                </c:pt>
                <c:pt idx="65">
                  <c:v>21.675000000000001</c:v>
                </c:pt>
                <c:pt idx="66">
                  <c:v>21.87</c:v>
                </c:pt>
                <c:pt idx="67">
                  <c:v>22.065000000000001</c:v>
                </c:pt>
                <c:pt idx="68">
                  <c:v>22.26</c:v>
                </c:pt>
                <c:pt idx="69">
                  <c:v>22.454999999999998</c:v>
                </c:pt>
                <c:pt idx="70">
                  <c:v>22.65</c:v>
                </c:pt>
                <c:pt idx="71">
                  <c:v>22.844999999999999</c:v>
                </c:pt>
                <c:pt idx="72">
                  <c:v>23.04</c:v>
                </c:pt>
                <c:pt idx="73">
                  <c:v>23.234999999999999</c:v>
                </c:pt>
                <c:pt idx="74">
                  <c:v>23.43</c:v>
                </c:pt>
                <c:pt idx="75">
                  <c:v>23.625</c:v>
                </c:pt>
                <c:pt idx="76">
                  <c:v>23.82</c:v>
                </c:pt>
                <c:pt idx="77">
                  <c:v>24.015000000000001</c:v>
                </c:pt>
                <c:pt idx="78">
                  <c:v>24.21</c:v>
                </c:pt>
                <c:pt idx="79">
                  <c:v>24.405000000000001</c:v>
                </c:pt>
                <c:pt idx="80">
                  <c:v>24.6</c:v>
                </c:pt>
                <c:pt idx="81">
                  <c:v>24.795000000000002</c:v>
                </c:pt>
                <c:pt idx="82">
                  <c:v>24.99</c:v>
                </c:pt>
                <c:pt idx="83">
                  <c:v>25.184999999999999</c:v>
                </c:pt>
                <c:pt idx="84">
                  <c:v>25.38</c:v>
                </c:pt>
                <c:pt idx="85">
                  <c:v>25.574999999999999</c:v>
                </c:pt>
                <c:pt idx="86">
                  <c:v>25.77</c:v>
                </c:pt>
                <c:pt idx="87">
                  <c:v>25.965</c:v>
                </c:pt>
                <c:pt idx="88">
                  <c:v>26.16</c:v>
                </c:pt>
                <c:pt idx="89">
                  <c:v>26.355</c:v>
                </c:pt>
                <c:pt idx="90">
                  <c:v>26.55</c:v>
                </c:pt>
                <c:pt idx="91">
                  <c:v>26.745000000000001</c:v>
                </c:pt>
                <c:pt idx="92">
                  <c:v>26.94</c:v>
                </c:pt>
                <c:pt idx="93">
                  <c:v>27.135000000000002</c:v>
                </c:pt>
                <c:pt idx="94">
                  <c:v>27.33</c:v>
                </c:pt>
                <c:pt idx="95">
                  <c:v>27.524999999999999</c:v>
                </c:pt>
                <c:pt idx="96">
                  <c:v>27.72</c:v>
                </c:pt>
                <c:pt idx="97">
                  <c:v>27.914999999999999</c:v>
                </c:pt>
                <c:pt idx="98">
                  <c:v>28.11</c:v>
                </c:pt>
                <c:pt idx="99">
                  <c:v>28.305</c:v>
                </c:pt>
                <c:pt idx="100">
                  <c:v>28.5</c:v>
                </c:pt>
                <c:pt idx="101">
                  <c:v>28.695</c:v>
                </c:pt>
                <c:pt idx="102">
                  <c:v>28.89</c:v>
                </c:pt>
                <c:pt idx="103">
                  <c:v>29.085000000000001</c:v>
                </c:pt>
                <c:pt idx="104">
                  <c:v>29.28</c:v>
                </c:pt>
                <c:pt idx="105">
                  <c:v>29.475000000000001</c:v>
                </c:pt>
                <c:pt idx="106">
                  <c:v>29.67</c:v>
                </c:pt>
                <c:pt idx="107">
                  <c:v>29.865000000000002</c:v>
                </c:pt>
                <c:pt idx="108">
                  <c:v>30.060000000000002</c:v>
                </c:pt>
                <c:pt idx="109">
                  <c:v>30.255000000000003</c:v>
                </c:pt>
                <c:pt idx="110">
                  <c:v>30.450000000000003</c:v>
                </c:pt>
                <c:pt idx="111">
                  <c:v>30.645000000000003</c:v>
                </c:pt>
                <c:pt idx="112">
                  <c:v>30.840000000000003</c:v>
                </c:pt>
                <c:pt idx="113">
                  <c:v>31.034999999999997</c:v>
                </c:pt>
                <c:pt idx="114">
                  <c:v>31.229999999999997</c:v>
                </c:pt>
                <c:pt idx="115">
                  <c:v>31.424999999999997</c:v>
                </c:pt>
                <c:pt idx="116">
                  <c:v>31.619999999999997</c:v>
                </c:pt>
                <c:pt idx="117">
                  <c:v>31.814999999999998</c:v>
                </c:pt>
                <c:pt idx="118">
                  <c:v>32.01</c:v>
                </c:pt>
                <c:pt idx="119">
                  <c:v>32.204999999999998</c:v>
                </c:pt>
                <c:pt idx="120">
                  <c:v>32.4</c:v>
                </c:pt>
                <c:pt idx="121">
                  <c:v>32.594999999999999</c:v>
                </c:pt>
                <c:pt idx="122">
                  <c:v>32.79</c:v>
                </c:pt>
                <c:pt idx="123">
                  <c:v>32.984999999999999</c:v>
                </c:pt>
                <c:pt idx="124">
                  <c:v>33.18</c:v>
                </c:pt>
                <c:pt idx="125">
                  <c:v>33.375</c:v>
                </c:pt>
                <c:pt idx="126">
                  <c:v>33.57</c:v>
                </c:pt>
                <c:pt idx="127">
                  <c:v>33.765000000000001</c:v>
                </c:pt>
                <c:pt idx="128">
                  <c:v>33.96</c:v>
                </c:pt>
                <c:pt idx="129">
                  <c:v>34.155000000000001</c:v>
                </c:pt>
                <c:pt idx="130">
                  <c:v>34.35</c:v>
                </c:pt>
                <c:pt idx="131">
                  <c:v>34.545000000000002</c:v>
                </c:pt>
                <c:pt idx="132">
                  <c:v>34.74</c:v>
                </c:pt>
                <c:pt idx="133">
                  <c:v>34.935000000000002</c:v>
                </c:pt>
                <c:pt idx="134">
                  <c:v>35.130000000000003</c:v>
                </c:pt>
                <c:pt idx="135">
                  <c:v>35.325000000000003</c:v>
                </c:pt>
                <c:pt idx="136">
                  <c:v>35.520000000000003</c:v>
                </c:pt>
                <c:pt idx="137">
                  <c:v>35.715000000000003</c:v>
                </c:pt>
                <c:pt idx="138">
                  <c:v>35.909999999999997</c:v>
                </c:pt>
                <c:pt idx="139">
                  <c:v>36.104999999999997</c:v>
                </c:pt>
                <c:pt idx="140">
                  <c:v>36.299999999999997</c:v>
                </c:pt>
                <c:pt idx="141">
                  <c:v>36.494999999999997</c:v>
                </c:pt>
                <c:pt idx="142">
                  <c:v>36.69</c:v>
                </c:pt>
                <c:pt idx="143">
                  <c:v>36.884999999999998</c:v>
                </c:pt>
                <c:pt idx="144">
                  <c:v>37.08</c:v>
                </c:pt>
                <c:pt idx="145">
                  <c:v>37.274999999999999</c:v>
                </c:pt>
                <c:pt idx="146">
                  <c:v>37.47</c:v>
                </c:pt>
                <c:pt idx="147">
                  <c:v>37.664999999999999</c:v>
                </c:pt>
                <c:pt idx="148">
                  <c:v>37.86</c:v>
                </c:pt>
                <c:pt idx="149">
                  <c:v>38.055</c:v>
                </c:pt>
                <c:pt idx="150">
                  <c:v>38.25</c:v>
                </c:pt>
                <c:pt idx="151">
                  <c:v>38.445</c:v>
                </c:pt>
                <c:pt idx="152">
                  <c:v>38.64</c:v>
                </c:pt>
                <c:pt idx="153">
                  <c:v>38.835000000000001</c:v>
                </c:pt>
                <c:pt idx="154">
                  <c:v>39.03</c:v>
                </c:pt>
                <c:pt idx="155">
                  <c:v>39.225000000000001</c:v>
                </c:pt>
                <c:pt idx="156">
                  <c:v>39.42</c:v>
                </c:pt>
                <c:pt idx="157">
                  <c:v>39.615000000000002</c:v>
                </c:pt>
                <c:pt idx="158">
                  <c:v>39.81</c:v>
                </c:pt>
                <c:pt idx="159">
                  <c:v>40.005000000000003</c:v>
                </c:pt>
                <c:pt idx="160">
                  <c:v>40.200000000000003</c:v>
                </c:pt>
                <c:pt idx="161">
                  <c:v>40.395000000000003</c:v>
                </c:pt>
                <c:pt idx="162">
                  <c:v>40.590000000000003</c:v>
                </c:pt>
                <c:pt idx="163">
                  <c:v>40.784999999999997</c:v>
                </c:pt>
                <c:pt idx="164">
                  <c:v>40.98</c:v>
                </c:pt>
                <c:pt idx="165">
                  <c:v>41.174999999999997</c:v>
                </c:pt>
                <c:pt idx="166">
                  <c:v>41.37</c:v>
                </c:pt>
                <c:pt idx="167">
                  <c:v>41.564999999999998</c:v>
                </c:pt>
                <c:pt idx="168">
                  <c:v>41.76</c:v>
                </c:pt>
                <c:pt idx="169">
                  <c:v>41.954999999999998</c:v>
                </c:pt>
                <c:pt idx="170">
                  <c:v>42.15</c:v>
                </c:pt>
                <c:pt idx="171">
                  <c:v>42.344999999999999</c:v>
                </c:pt>
                <c:pt idx="172">
                  <c:v>42.54</c:v>
                </c:pt>
                <c:pt idx="173">
                  <c:v>42.734999999999999</c:v>
                </c:pt>
                <c:pt idx="174">
                  <c:v>42.93</c:v>
                </c:pt>
                <c:pt idx="175">
                  <c:v>43.125</c:v>
                </c:pt>
                <c:pt idx="176">
                  <c:v>43.32</c:v>
                </c:pt>
                <c:pt idx="177">
                  <c:v>43.515000000000001</c:v>
                </c:pt>
                <c:pt idx="178">
                  <c:v>43.71</c:v>
                </c:pt>
                <c:pt idx="179">
                  <c:v>43.905000000000001</c:v>
                </c:pt>
                <c:pt idx="180">
                  <c:v>44.1</c:v>
                </c:pt>
                <c:pt idx="181">
                  <c:v>44.295000000000002</c:v>
                </c:pt>
                <c:pt idx="182">
                  <c:v>44.49</c:v>
                </c:pt>
                <c:pt idx="183">
                  <c:v>44.685000000000002</c:v>
                </c:pt>
                <c:pt idx="184">
                  <c:v>44.88</c:v>
                </c:pt>
                <c:pt idx="185">
                  <c:v>45.075000000000003</c:v>
                </c:pt>
                <c:pt idx="186">
                  <c:v>45.27</c:v>
                </c:pt>
                <c:pt idx="187">
                  <c:v>45.465000000000003</c:v>
                </c:pt>
                <c:pt idx="188">
                  <c:v>45.66</c:v>
                </c:pt>
                <c:pt idx="189">
                  <c:v>45.854999999999997</c:v>
                </c:pt>
                <c:pt idx="190">
                  <c:v>46.05</c:v>
                </c:pt>
                <c:pt idx="191">
                  <c:v>46.244999999999997</c:v>
                </c:pt>
                <c:pt idx="192">
                  <c:v>46.44</c:v>
                </c:pt>
                <c:pt idx="193">
                  <c:v>46.634999999999998</c:v>
                </c:pt>
                <c:pt idx="194">
                  <c:v>46.83</c:v>
                </c:pt>
                <c:pt idx="195">
                  <c:v>47.024999999999999</c:v>
                </c:pt>
                <c:pt idx="196">
                  <c:v>47.22</c:v>
                </c:pt>
                <c:pt idx="197">
                  <c:v>47.414999999999999</c:v>
                </c:pt>
                <c:pt idx="198">
                  <c:v>47.61</c:v>
                </c:pt>
                <c:pt idx="199">
                  <c:v>47.805</c:v>
                </c:pt>
                <c:pt idx="200">
                  <c:v>48</c:v>
                </c:pt>
              </c:numCache>
            </c:numRef>
          </c:xVal>
          <c:yVal>
            <c:numRef>
              <c:f>'Efficiency vs VIN Calculations'!$AI$9:$AI$209</c:f>
              <c:numCache>
                <c:formatCode>0.000</c:formatCode>
                <c:ptCount val="2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3.5840215345897521E-2</c:v>
                </c:pt>
                <c:pt idx="16">
                  <c:v>3.4658726315996674E-2</c:v>
                </c:pt>
                <c:pt idx="17">
                  <c:v>3.3535464456268031E-2</c:v>
                </c:pt>
                <c:pt idx="18">
                  <c:v>3.2467550101299418E-2</c:v>
                </c:pt>
                <c:pt idx="19">
                  <c:v>3.1452385360026147E-2</c:v>
                </c:pt>
                <c:pt idx="20">
                  <c:v>3.7159203221341842E-2</c:v>
                </c:pt>
                <c:pt idx="21">
                  <c:v>4.9034254272947699E-2</c:v>
                </c:pt>
                <c:pt idx="22">
                  <c:v>6.0629434709524387E-2</c:v>
                </c:pt>
                <c:pt idx="23">
                  <c:v>7.1961035261158615E-2</c:v>
                </c:pt>
                <c:pt idx="24">
                  <c:v>8.3043907252836946E-2</c:v>
                </c:pt>
                <c:pt idx="25">
                  <c:v>9.3891612543322372E-2</c:v>
                </c:pt>
                <c:pt idx="26">
                  <c:v>0.10451655633603006</c:v>
                </c:pt>
                <c:pt idx="27">
                  <c:v>0.114930104955243</c:v>
                </c:pt>
                <c:pt idx="28">
                  <c:v>0.1251426904114292</c:v>
                </c:pt>
                <c:pt idx="29">
                  <c:v>9.337578284636272E-2</c:v>
                </c:pt>
                <c:pt idx="30">
                  <c:v>0.10252552359156908</c:v>
                </c:pt>
                <c:pt idx="31">
                  <c:v>0.1114818494541208</c:v>
                </c:pt>
                <c:pt idx="32">
                  <c:v>0.12025171401853145</c:v>
                </c:pt>
                <c:pt idx="33">
                  <c:v>0.12884169905027892</c:v>
                </c:pt>
                <c:pt idx="34">
                  <c:v>0.13725804095013408</c:v>
                </c:pt>
                <c:pt idx="35">
                  <c:v>0.14550665490866305</c:v>
                </c:pt>
                <c:pt idx="36">
                  <c:v>0.15359315699188766</c:v>
                </c:pt>
                <c:pt idx="37">
                  <c:v>0.16152288436319859</c:v>
                </c:pt>
                <c:pt idx="38">
                  <c:v>0.16930091382389859</c:v>
                </c:pt>
                <c:pt idx="39">
                  <c:v>0.17693207883477927</c:v>
                </c:pt>
                <c:pt idx="40">
                  <c:v>0.18442098516356065</c:v>
                </c:pt>
                <c:pt idx="41">
                  <c:v>0.19177202528752602</c:v>
                </c:pt>
                <c:pt idx="42">
                  <c:v>0.19898939166700944</c:v>
                </c:pt>
                <c:pt idx="43">
                  <c:v>0.20607708899330202</c:v>
                </c:pt>
                <c:pt idx="44">
                  <c:v>0.21303894550384267</c:v>
                </c:pt>
                <c:pt idx="45">
                  <c:v>0.21987862344807468</c:v>
                </c:pt>
                <c:pt idx="46">
                  <c:v>0.22659962877892434</c:v>
                </c:pt>
                <c:pt idx="47">
                  <c:v>0.23320532013738302</c:v>
                </c:pt>
                <c:pt idx="48">
                  <c:v>0.23969891719100939</c:v>
                </c:pt>
                <c:pt idx="49">
                  <c:v>0.24608350838123669</c:v>
                </c:pt>
                <c:pt idx="50">
                  <c:v>0.25236205812907675</c:v>
                </c:pt>
                <c:pt idx="51">
                  <c:v>0.25853741354408283</c:v>
                </c:pt>
                <c:pt idx="52">
                  <c:v>0.26461231067720131</c:v>
                </c:pt>
                <c:pt idx="53">
                  <c:v>0.27058938035435731</c:v>
                </c:pt>
                <c:pt idx="54">
                  <c:v>0.27647115362422453</c:v>
                </c:pt>
                <c:pt idx="55">
                  <c:v>0.28226006685057276</c:v>
                </c:pt>
                <c:pt idx="56">
                  <c:v>0.28795846647685791</c:v>
                </c:pt>
                <c:pt idx="57">
                  <c:v>0.29356861348824442</c:v>
                </c:pt>
                <c:pt idx="58">
                  <c:v>0.29909268759403751</c:v>
                </c:pt>
                <c:pt idx="59">
                  <c:v>0.30453279115149207</c:v>
                </c:pt>
                <c:pt idx="60">
                  <c:v>0.30989095285016538</c:v>
                </c:pt>
                <c:pt idx="61">
                  <c:v>0.31516913117434237</c:v>
                </c:pt>
                <c:pt idx="62">
                  <c:v>0.3203692176595847</c:v>
                </c:pt>
                <c:pt idx="63">
                  <c:v>0.32549303995811585</c:v>
                </c:pt>
                <c:pt idx="64">
                  <c:v>0.33054236472654502</c:v>
                </c:pt>
                <c:pt idx="65">
                  <c:v>0.33551890034832443</c:v>
                </c:pt>
                <c:pt idx="66">
                  <c:v>0.34042429950233855</c:v>
                </c:pt>
                <c:pt idx="67">
                  <c:v>0.34526016158811429</c:v>
                </c:pt>
                <c:pt idx="68">
                  <c:v>0.35002803501730845</c:v>
                </c:pt>
                <c:pt idx="69">
                  <c:v>0.35472941938037966</c:v>
                </c:pt>
                <c:pt idx="70">
                  <c:v>0.35936576749665855</c:v>
                </c:pt>
                <c:pt idx="71">
                  <c:v>0.36393848735540413</c:v>
                </c:pt>
                <c:pt idx="72">
                  <c:v>0.36844894395486227</c:v>
                </c:pt>
                <c:pt idx="73">
                  <c:v>0.37289846104581131</c:v>
                </c:pt>
                <c:pt idx="74">
                  <c:v>0.37728832278560237</c:v>
                </c:pt>
                <c:pt idx="75">
                  <c:v>0.38161977530826469</c:v>
                </c:pt>
                <c:pt idx="76">
                  <c:v>0.38589402821583585</c:v>
                </c:pt>
                <c:pt idx="77">
                  <c:v>0.39011225599570892</c:v>
                </c:pt>
                <c:pt idx="78">
                  <c:v>0.39427559936845197</c:v>
                </c:pt>
                <c:pt idx="79">
                  <c:v>0.39838516657023193</c:v>
                </c:pt>
                <c:pt idx="80">
                  <c:v>0.40244203457370104</c:v>
                </c:pt>
                <c:pt idx="81">
                  <c:v>0.40644725025092437</c:v>
                </c:pt>
                <c:pt idx="82">
                  <c:v>0.41040183148169124</c:v>
                </c:pt>
                <c:pt idx="83">
                  <c:v>0.41430676821032597</c:v>
                </c:pt>
                <c:pt idx="84">
                  <c:v>0.41816302345390355</c:v>
                </c:pt>
                <c:pt idx="85">
                  <c:v>0.4219715342645845</c:v>
                </c:pt>
                <c:pt idx="86">
                  <c:v>0.4257332126486042</c:v>
                </c:pt>
                <c:pt idx="87">
                  <c:v>0.42944894644428894</c:v>
                </c:pt>
                <c:pt idx="88">
                  <c:v>0.43311960016132078</c:v>
                </c:pt>
                <c:pt idx="89">
                  <c:v>0.4367460157833214</c:v>
                </c:pt>
                <c:pt idx="90">
                  <c:v>0.44032901353571002</c:v>
                </c:pt>
                <c:pt idx="91">
                  <c:v>0.44386939262065672</c:v>
                </c:pt>
                <c:pt idx="92">
                  <c:v>0.44736793192084323</c:v>
                </c:pt>
                <c:pt idx="93">
                  <c:v>0.45082539067364158</c:v>
                </c:pt>
                <c:pt idx="94">
                  <c:v>0.45424250911721686</c:v>
                </c:pt>
                <c:pt idx="95">
                  <c:v>0.45762000910997713</c:v>
                </c:pt>
                <c:pt idx="96">
                  <c:v>0.46095859472470346</c:v>
                </c:pt>
                <c:pt idx="97">
                  <c:v>0.46425895281861551</c:v>
                </c:pt>
                <c:pt idx="98">
                  <c:v>0.46752175358055764</c:v>
                </c:pt>
                <c:pt idx="99">
                  <c:v>0.47074765105641642</c:v>
                </c:pt>
                <c:pt idx="100">
                  <c:v>0.4739372836538242</c:v>
                </c:pt>
                <c:pt idx="101">
                  <c:v>0.4770912746271348</c:v>
                </c:pt>
                <c:pt idx="102">
                  <c:v>0.48021023254360762</c:v>
                </c:pt>
                <c:pt idx="103">
                  <c:v>0.48329475173168529</c:v>
                </c:pt>
                <c:pt idx="104">
                  <c:v>0.486345412712194</c:v>
                </c:pt>
                <c:pt idx="105">
                  <c:v>0.48936278261325744</c:v>
                </c:pt>
                <c:pt idx="106">
                  <c:v>0.49234741556966738</c:v>
                </c:pt>
                <c:pt idx="107">
                  <c:v>0.49529985310741986</c:v>
                </c:pt>
                <c:pt idx="108">
                  <c:v>0.49822062451407656</c:v>
                </c:pt>
                <c:pt idx="109">
                  <c:v>0.50111024719559127</c:v>
                </c:pt>
                <c:pt idx="110">
                  <c:v>0.50396922702019442</c:v>
                </c:pt>
                <c:pt idx="111">
                  <c:v>0.50679805864990601</c:v>
                </c:pt>
                <c:pt idx="112">
                  <c:v>0.5095972258602125</c:v>
                </c:pt>
                <c:pt idx="113">
                  <c:v>0.51236720184842199</c:v>
                </c:pt>
                <c:pt idx="114">
                  <c:v>0.5151084495311774</c:v>
                </c:pt>
                <c:pt idx="115">
                  <c:v>0.51782142183158997</c:v>
                </c:pt>
                <c:pt idx="116">
                  <c:v>0.52050656195643341</c:v>
                </c:pt>
                <c:pt idx="117">
                  <c:v>0.52316430366380573</c:v>
                </c:pt>
                <c:pt idx="118">
                  <c:v>0.52579507152166471</c:v>
                </c:pt>
                <c:pt idx="119">
                  <c:v>0.52839928115760093</c:v>
                </c:pt>
                <c:pt idx="120">
                  <c:v>0.53097733950021608</c:v>
                </c:pt>
                <c:pt idx="121">
                  <c:v>0.53352964501244093</c:v>
                </c:pt>
                <c:pt idx="122">
                  <c:v>0.53605658791711597</c:v>
                </c:pt>
                <c:pt idx="123">
                  <c:v>0.53855855041515033</c:v>
                </c:pt>
                <c:pt idx="124">
                  <c:v>0.54103590689654546</c:v>
                </c:pt>
                <c:pt idx="125">
                  <c:v>0.5434890241445669</c:v>
                </c:pt>
                <c:pt idx="126">
                  <c:v>0.54591826153333523</c:v>
                </c:pt>
                <c:pt idx="127">
                  <c:v>0.54832397121908494</c:v>
                </c:pt>
                <c:pt idx="128">
                  <c:v>0.55070649832533869</c:v>
                </c:pt>
                <c:pt idx="129">
                  <c:v>0.55306618112222972</c:v>
                </c:pt>
                <c:pt idx="130">
                  <c:v>0.55540335120019368</c:v>
                </c:pt>
                <c:pt idx="131">
                  <c:v>0.55771833363824053</c:v>
                </c:pt>
                <c:pt idx="132">
                  <c:v>0.56001144716701312</c:v>
                </c:pt>
                <c:pt idx="133">
                  <c:v>0.56228300432681944</c:v>
                </c:pt>
                <c:pt idx="134">
                  <c:v>0.56453331162083575</c:v>
                </c:pt>
                <c:pt idx="135">
                  <c:v>0.56676266966364397</c:v>
                </c:pt>
                <c:pt idx="136">
                  <c:v>0.56897137332528247</c:v>
                </c:pt>
                <c:pt idx="137">
                  <c:v>0.57115971187097092</c:v>
                </c:pt>
                <c:pt idx="138">
                  <c:v>0.57332796909666317</c:v>
                </c:pt>
                <c:pt idx="139">
                  <c:v>0.57547642346057615</c:v>
                </c:pt>
                <c:pt idx="140">
                  <c:v>0.57760534821084386</c:v>
                </c:pt>
                <c:pt idx="141">
                  <c:v>0.57971501150942228</c:v>
                </c:pt>
                <c:pt idx="142">
                  <c:v>0.58180567655239002</c:v>
                </c:pt>
                <c:pt idx="143">
                  <c:v>0.58387760168675784</c:v>
                </c:pt>
                <c:pt idx="144">
                  <c:v>0.5859310405239162</c:v>
                </c:pt>
                <c:pt idx="145">
                  <c:v>0.58796624204983139</c:v>
                </c:pt>
                <c:pt idx="146">
                  <c:v>0.58998345073210523</c:v>
                </c:pt>
                <c:pt idx="147">
                  <c:v>0.59198290662400432</c:v>
                </c:pt>
                <c:pt idx="148">
                  <c:v>0.59396484546555517</c:v>
                </c:pt>
                <c:pt idx="149">
                  <c:v>0.59592949878181645</c:v>
                </c:pt>
                <c:pt idx="150">
                  <c:v>0.59787709397840749</c:v>
                </c:pt>
                <c:pt idx="151">
                  <c:v>0.59980785443439677</c:v>
                </c:pt>
                <c:pt idx="152">
                  <c:v>0.60172199959262784</c:v>
                </c:pt>
                <c:pt idx="153">
                  <c:v>0.60361974504757554</c:v>
                </c:pt>
                <c:pt idx="154">
                  <c:v>0.60550130263080437</c:v>
                </c:pt>
                <c:pt idx="155">
                  <c:v>0.60736688049411569</c:v>
                </c:pt>
                <c:pt idx="156">
                  <c:v>0.60921668319044842</c:v>
                </c:pt>
                <c:pt idx="157">
                  <c:v>0.61105091175261528</c:v>
                </c:pt>
                <c:pt idx="158">
                  <c:v>0.61286976376993507</c:v>
                </c:pt>
                <c:pt idx="159">
                  <c:v>0.61467343346283376</c:v>
                </c:pt>
                <c:pt idx="160">
                  <c:v>0.61646211175547594</c:v>
                </c:pt>
                <c:pt idx="161">
                  <c:v>0.61823598634648702</c:v>
                </c:pt>
                <c:pt idx="162">
                  <c:v>0.61999524177782983</c:v>
                </c:pt>
                <c:pt idx="163">
                  <c:v>0.62174005950188693</c:v>
                </c:pt>
                <c:pt idx="164">
                  <c:v>0.62347061794681258</c:v>
                </c:pt>
                <c:pt idx="165">
                  <c:v>0.62518709258019767</c:v>
                </c:pt>
                <c:pt idx="166">
                  <c:v>0.6268896559711058</c:v>
                </c:pt>
                <c:pt idx="167">
                  <c:v>0.62857847785052823</c:v>
                </c:pt>
                <c:pt idx="168">
                  <c:v>0.63025372517030676</c:v>
                </c:pt>
                <c:pt idx="169">
                  <c:v>0.63191556216056577</c:v>
                </c:pt>
                <c:pt idx="170">
                  <c:v>0.63356415038570468</c:v>
                </c:pt>
                <c:pt idx="171">
                  <c:v>0.63519964879898883</c:v>
                </c:pt>
                <c:pt idx="172">
                  <c:v>0.63682221379578341</c:v>
                </c:pt>
                <c:pt idx="173">
                  <c:v>0.63843199926546756</c:v>
                </c:pt>
                <c:pt idx="174">
                  <c:v>0.64002915664206916</c:v>
                </c:pt>
                <c:pt idx="175">
                  <c:v>0.64161383495365898</c:v>
                </c:pt>
                <c:pt idx="176">
                  <c:v>0.64318618087053547</c:v>
                </c:pt>
                <c:pt idx="177">
                  <c:v>0.6447463387522413</c:v>
                </c:pt>
                <c:pt idx="178">
                  <c:v>0.64629445069343905</c:v>
                </c:pt>
                <c:pt idx="179">
                  <c:v>0.64783065656868777</c:v>
                </c:pt>
                <c:pt idx="180">
                  <c:v>0.64935509407613545</c:v>
                </c:pt>
                <c:pt idx="181">
                  <c:v>0.65086789878018014</c:v>
                </c:pt>
                <c:pt idx="182">
                  <c:v>0.65236920415310906</c:v>
                </c:pt>
                <c:pt idx="183">
                  <c:v>0.65385914161575542</c:v>
                </c:pt>
                <c:pt idx="184">
                  <c:v>0.65533784057719824</c:v>
                </c:pt>
                <c:pt idx="185">
                  <c:v>0.65680542847352941</c:v>
                </c:pt>
                <c:pt idx="186">
                  <c:v>0.65826203080571544</c:v>
                </c:pt>
                <c:pt idx="187">
                  <c:v>0.65970777117658197</c:v>
                </c:pt>
                <c:pt idx="188">
                  <c:v>0.66114277132693799</c:v>
                </c:pt>
                <c:pt idx="189">
                  <c:v>0.66256715117086895</c:v>
                </c:pt>
                <c:pt idx="190">
                  <c:v>0.66398102883022225</c:v>
                </c:pt>
                <c:pt idx="191">
                  <c:v>0.66538452066830023</c:v>
                </c:pt>
                <c:pt idx="192">
                  <c:v>0.66677774132278889</c:v>
                </c:pt>
                <c:pt idx="193">
                  <c:v>0.66816080373794151</c:v>
                </c:pt>
                <c:pt idx="194">
                  <c:v>0.66953381919603239</c:v>
                </c:pt>
                <c:pt idx="195">
                  <c:v>0.67089689734810576</c:v>
                </c:pt>
                <c:pt idx="196">
                  <c:v>0.67225014624403778</c:v>
                </c:pt>
                <c:pt idx="197">
                  <c:v>0.6735936723619248</c:v>
                </c:pt>
                <c:pt idx="198">
                  <c:v>0.67492758063682312</c:v>
                </c:pt>
                <c:pt idx="199">
                  <c:v>0.67625197448884955</c:v>
                </c:pt>
                <c:pt idx="200">
                  <c:v>0.67756695585066595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4EF-4936-9B76-59ED7816AF7E}"/>
            </c:ext>
          </c:extLst>
        </c:ser>
        <c:ser>
          <c:idx val="0"/>
          <c:order val="2"/>
          <c:tx>
            <c:v>Inductor Loss</c:v>
          </c:tx>
          <c:spPr>
            <a:ln w="31750">
              <a:solidFill>
                <a:srgbClr val="FF6600"/>
              </a:solidFill>
              <a:prstDash val="lgDash"/>
            </a:ln>
          </c:spPr>
          <c:marker>
            <c:symbol val="none"/>
          </c:marker>
          <c:xVal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9.1950000000000003</c:v>
                </c:pt>
                <c:pt idx="2">
                  <c:v>9.39</c:v>
                </c:pt>
                <c:pt idx="3">
                  <c:v>9.5850000000000009</c:v>
                </c:pt>
                <c:pt idx="4">
                  <c:v>9.7799999999999994</c:v>
                </c:pt>
                <c:pt idx="5">
                  <c:v>9.9749999999999996</c:v>
                </c:pt>
                <c:pt idx="6">
                  <c:v>10.17</c:v>
                </c:pt>
                <c:pt idx="7">
                  <c:v>10.365</c:v>
                </c:pt>
                <c:pt idx="8">
                  <c:v>10.56</c:v>
                </c:pt>
                <c:pt idx="9">
                  <c:v>10.754999999999999</c:v>
                </c:pt>
                <c:pt idx="10">
                  <c:v>10.95</c:v>
                </c:pt>
                <c:pt idx="11">
                  <c:v>11.145</c:v>
                </c:pt>
                <c:pt idx="12">
                  <c:v>11.34</c:v>
                </c:pt>
                <c:pt idx="13">
                  <c:v>11.535</c:v>
                </c:pt>
                <c:pt idx="14">
                  <c:v>11.73</c:v>
                </c:pt>
                <c:pt idx="15">
                  <c:v>11.925000000000001</c:v>
                </c:pt>
                <c:pt idx="16">
                  <c:v>12.120000000000001</c:v>
                </c:pt>
                <c:pt idx="17">
                  <c:v>12.315000000000001</c:v>
                </c:pt>
                <c:pt idx="18">
                  <c:v>12.51</c:v>
                </c:pt>
                <c:pt idx="19">
                  <c:v>12.705</c:v>
                </c:pt>
                <c:pt idx="20">
                  <c:v>12.9</c:v>
                </c:pt>
                <c:pt idx="21">
                  <c:v>13.094999999999999</c:v>
                </c:pt>
                <c:pt idx="22">
                  <c:v>13.29</c:v>
                </c:pt>
                <c:pt idx="23">
                  <c:v>13.484999999999999</c:v>
                </c:pt>
                <c:pt idx="24">
                  <c:v>13.68</c:v>
                </c:pt>
                <c:pt idx="25">
                  <c:v>13.875</c:v>
                </c:pt>
                <c:pt idx="26">
                  <c:v>14.07</c:v>
                </c:pt>
                <c:pt idx="27">
                  <c:v>14.265000000000001</c:v>
                </c:pt>
                <c:pt idx="28">
                  <c:v>14.46</c:v>
                </c:pt>
                <c:pt idx="29">
                  <c:v>14.654999999999999</c:v>
                </c:pt>
                <c:pt idx="30">
                  <c:v>14.85</c:v>
                </c:pt>
                <c:pt idx="31">
                  <c:v>15.045</c:v>
                </c:pt>
                <c:pt idx="32">
                  <c:v>15.24</c:v>
                </c:pt>
                <c:pt idx="33">
                  <c:v>15.435</c:v>
                </c:pt>
                <c:pt idx="34">
                  <c:v>15.63</c:v>
                </c:pt>
                <c:pt idx="35">
                  <c:v>15.824999999999999</c:v>
                </c:pt>
                <c:pt idx="36">
                  <c:v>16.02</c:v>
                </c:pt>
                <c:pt idx="37">
                  <c:v>16.215</c:v>
                </c:pt>
                <c:pt idx="38">
                  <c:v>16.41</c:v>
                </c:pt>
                <c:pt idx="39">
                  <c:v>16.605</c:v>
                </c:pt>
                <c:pt idx="40">
                  <c:v>16.8</c:v>
                </c:pt>
                <c:pt idx="41">
                  <c:v>16.994999999999997</c:v>
                </c:pt>
                <c:pt idx="42">
                  <c:v>17.189999999999998</c:v>
                </c:pt>
                <c:pt idx="43">
                  <c:v>17.384999999999998</c:v>
                </c:pt>
                <c:pt idx="44">
                  <c:v>17.579999999999998</c:v>
                </c:pt>
                <c:pt idx="45">
                  <c:v>17.774999999999999</c:v>
                </c:pt>
                <c:pt idx="46">
                  <c:v>17.97</c:v>
                </c:pt>
                <c:pt idx="47">
                  <c:v>18.164999999999999</c:v>
                </c:pt>
                <c:pt idx="48">
                  <c:v>18.36</c:v>
                </c:pt>
                <c:pt idx="49">
                  <c:v>18.555</c:v>
                </c:pt>
                <c:pt idx="50">
                  <c:v>18.75</c:v>
                </c:pt>
                <c:pt idx="51">
                  <c:v>18.945</c:v>
                </c:pt>
                <c:pt idx="52">
                  <c:v>19.14</c:v>
                </c:pt>
                <c:pt idx="53">
                  <c:v>19.335000000000001</c:v>
                </c:pt>
                <c:pt idx="54">
                  <c:v>19.53</c:v>
                </c:pt>
                <c:pt idx="55">
                  <c:v>19.725000000000001</c:v>
                </c:pt>
                <c:pt idx="56">
                  <c:v>19.920000000000002</c:v>
                </c:pt>
                <c:pt idx="57">
                  <c:v>20.114999999999998</c:v>
                </c:pt>
                <c:pt idx="58">
                  <c:v>20.309999999999999</c:v>
                </c:pt>
                <c:pt idx="59">
                  <c:v>20.504999999999999</c:v>
                </c:pt>
                <c:pt idx="60">
                  <c:v>20.7</c:v>
                </c:pt>
                <c:pt idx="61">
                  <c:v>20.895</c:v>
                </c:pt>
                <c:pt idx="62">
                  <c:v>21.09</c:v>
                </c:pt>
                <c:pt idx="63">
                  <c:v>21.285</c:v>
                </c:pt>
                <c:pt idx="64">
                  <c:v>21.48</c:v>
                </c:pt>
                <c:pt idx="65">
                  <c:v>21.675000000000001</c:v>
                </c:pt>
                <c:pt idx="66">
                  <c:v>21.87</c:v>
                </c:pt>
                <c:pt idx="67">
                  <c:v>22.065000000000001</c:v>
                </c:pt>
                <c:pt idx="68">
                  <c:v>22.26</c:v>
                </c:pt>
                <c:pt idx="69">
                  <c:v>22.454999999999998</c:v>
                </c:pt>
                <c:pt idx="70">
                  <c:v>22.65</c:v>
                </c:pt>
                <c:pt idx="71">
                  <c:v>22.844999999999999</c:v>
                </c:pt>
                <c:pt idx="72">
                  <c:v>23.04</c:v>
                </c:pt>
                <c:pt idx="73">
                  <c:v>23.234999999999999</c:v>
                </c:pt>
                <c:pt idx="74">
                  <c:v>23.43</c:v>
                </c:pt>
                <c:pt idx="75">
                  <c:v>23.625</c:v>
                </c:pt>
                <c:pt idx="76">
                  <c:v>23.82</c:v>
                </c:pt>
                <c:pt idx="77">
                  <c:v>24.015000000000001</c:v>
                </c:pt>
                <c:pt idx="78">
                  <c:v>24.21</c:v>
                </c:pt>
                <c:pt idx="79">
                  <c:v>24.405000000000001</c:v>
                </c:pt>
                <c:pt idx="80">
                  <c:v>24.6</c:v>
                </c:pt>
                <c:pt idx="81">
                  <c:v>24.795000000000002</c:v>
                </c:pt>
                <c:pt idx="82">
                  <c:v>24.99</c:v>
                </c:pt>
                <c:pt idx="83">
                  <c:v>25.184999999999999</c:v>
                </c:pt>
                <c:pt idx="84">
                  <c:v>25.38</c:v>
                </c:pt>
                <c:pt idx="85">
                  <c:v>25.574999999999999</c:v>
                </c:pt>
                <c:pt idx="86">
                  <c:v>25.77</c:v>
                </c:pt>
                <c:pt idx="87">
                  <c:v>25.965</c:v>
                </c:pt>
                <c:pt idx="88">
                  <c:v>26.16</c:v>
                </c:pt>
                <c:pt idx="89">
                  <c:v>26.355</c:v>
                </c:pt>
                <c:pt idx="90">
                  <c:v>26.55</c:v>
                </c:pt>
                <c:pt idx="91">
                  <c:v>26.745000000000001</c:v>
                </c:pt>
                <c:pt idx="92">
                  <c:v>26.94</c:v>
                </c:pt>
                <c:pt idx="93">
                  <c:v>27.135000000000002</c:v>
                </c:pt>
                <c:pt idx="94">
                  <c:v>27.33</c:v>
                </c:pt>
                <c:pt idx="95">
                  <c:v>27.524999999999999</c:v>
                </c:pt>
                <c:pt idx="96">
                  <c:v>27.72</c:v>
                </c:pt>
                <c:pt idx="97">
                  <c:v>27.914999999999999</c:v>
                </c:pt>
                <c:pt idx="98">
                  <c:v>28.11</c:v>
                </c:pt>
                <c:pt idx="99">
                  <c:v>28.305</c:v>
                </c:pt>
                <c:pt idx="100">
                  <c:v>28.5</c:v>
                </c:pt>
                <c:pt idx="101">
                  <c:v>28.695</c:v>
                </c:pt>
                <c:pt idx="102">
                  <c:v>28.89</c:v>
                </c:pt>
                <c:pt idx="103">
                  <c:v>29.085000000000001</c:v>
                </c:pt>
                <c:pt idx="104">
                  <c:v>29.28</c:v>
                </c:pt>
                <c:pt idx="105">
                  <c:v>29.475000000000001</c:v>
                </c:pt>
                <c:pt idx="106">
                  <c:v>29.67</c:v>
                </c:pt>
                <c:pt idx="107">
                  <c:v>29.865000000000002</c:v>
                </c:pt>
                <c:pt idx="108">
                  <c:v>30.060000000000002</c:v>
                </c:pt>
                <c:pt idx="109">
                  <c:v>30.255000000000003</c:v>
                </c:pt>
                <c:pt idx="110">
                  <c:v>30.450000000000003</c:v>
                </c:pt>
                <c:pt idx="111">
                  <c:v>30.645000000000003</c:v>
                </c:pt>
                <c:pt idx="112">
                  <c:v>30.840000000000003</c:v>
                </c:pt>
                <c:pt idx="113">
                  <c:v>31.034999999999997</c:v>
                </c:pt>
                <c:pt idx="114">
                  <c:v>31.229999999999997</c:v>
                </c:pt>
                <c:pt idx="115">
                  <c:v>31.424999999999997</c:v>
                </c:pt>
                <c:pt idx="116">
                  <c:v>31.619999999999997</c:v>
                </c:pt>
                <c:pt idx="117">
                  <c:v>31.814999999999998</c:v>
                </c:pt>
                <c:pt idx="118">
                  <c:v>32.01</c:v>
                </c:pt>
                <c:pt idx="119">
                  <c:v>32.204999999999998</c:v>
                </c:pt>
                <c:pt idx="120">
                  <c:v>32.4</c:v>
                </c:pt>
                <c:pt idx="121">
                  <c:v>32.594999999999999</c:v>
                </c:pt>
                <c:pt idx="122">
                  <c:v>32.79</c:v>
                </c:pt>
                <c:pt idx="123">
                  <c:v>32.984999999999999</c:v>
                </c:pt>
                <c:pt idx="124">
                  <c:v>33.18</c:v>
                </c:pt>
                <c:pt idx="125">
                  <c:v>33.375</c:v>
                </c:pt>
                <c:pt idx="126">
                  <c:v>33.57</c:v>
                </c:pt>
                <c:pt idx="127">
                  <c:v>33.765000000000001</c:v>
                </c:pt>
                <c:pt idx="128">
                  <c:v>33.96</c:v>
                </c:pt>
                <c:pt idx="129">
                  <c:v>34.155000000000001</c:v>
                </c:pt>
                <c:pt idx="130">
                  <c:v>34.35</c:v>
                </c:pt>
                <c:pt idx="131">
                  <c:v>34.545000000000002</c:v>
                </c:pt>
                <c:pt idx="132">
                  <c:v>34.74</c:v>
                </c:pt>
                <c:pt idx="133">
                  <c:v>34.935000000000002</c:v>
                </c:pt>
                <c:pt idx="134">
                  <c:v>35.130000000000003</c:v>
                </c:pt>
                <c:pt idx="135">
                  <c:v>35.325000000000003</c:v>
                </c:pt>
                <c:pt idx="136">
                  <c:v>35.520000000000003</c:v>
                </c:pt>
                <c:pt idx="137">
                  <c:v>35.715000000000003</c:v>
                </c:pt>
                <c:pt idx="138">
                  <c:v>35.909999999999997</c:v>
                </c:pt>
                <c:pt idx="139">
                  <c:v>36.104999999999997</c:v>
                </c:pt>
                <c:pt idx="140">
                  <c:v>36.299999999999997</c:v>
                </c:pt>
                <c:pt idx="141">
                  <c:v>36.494999999999997</c:v>
                </c:pt>
                <c:pt idx="142">
                  <c:v>36.69</c:v>
                </c:pt>
                <c:pt idx="143">
                  <c:v>36.884999999999998</c:v>
                </c:pt>
                <c:pt idx="144">
                  <c:v>37.08</c:v>
                </c:pt>
                <c:pt idx="145">
                  <c:v>37.274999999999999</c:v>
                </c:pt>
                <c:pt idx="146">
                  <c:v>37.47</c:v>
                </c:pt>
                <c:pt idx="147">
                  <c:v>37.664999999999999</c:v>
                </c:pt>
                <c:pt idx="148">
                  <c:v>37.86</c:v>
                </c:pt>
                <c:pt idx="149">
                  <c:v>38.055</c:v>
                </c:pt>
                <c:pt idx="150">
                  <c:v>38.25</c:v>
                </c:pt>
                <c:pt idx="151">
                  <c:v>38.445</c:v>
                </c:pt>
                <c:pt idx="152">
                  <c:v>38.64</c:v>
                </c:pt>
                <c:pt idx="153">
                  <c:v>38.835000000000001</c:v>
                </c:pt>
                <c:pt idx="154">
                  <c:v>39.03</c:v>
                </c:pt>
                <c:pt idx="155">
                  <c:v>39.225000000000001</c:v>
                </c:pt>
                <c:pt idx="156">
                  <c:v>39.42</c:v>
                </c:pt>
                <c:pt idx="157">
                  <c:v>39.615000000000002</c:v>
                </c:pt>
                <c:pt idx="158">
                  <c:v>39.81</c:v>
                </c:pt>
                <c:pt idx="159">
                  <c:v>40.005000000000003</c:v>
                </c:pt>
                <c:pt idx="160">
                  <c:v>40.200000000000003</c:v>
                </c:pt>
                <c:pt idx="161">
                  <c:v>40.395000000000003</c:v>
                </c:pt>
                <c:pt idx="162">
                  <c:v>40.590000000000003</c:v>
                </c:pt>
                <c:pt idx="163">
                  <c:v>40.784999999999997</c:v>
                </c:pt>
                <c:pt idx="164">
                  <c:v>40.98</c:v>
                </c:pt>
                <c:pt idx="165">
                  <c:v>41.174999999999997</c:v>
                </c:pt>
                <c:pt idx="166">
                  <c:v>41.37</c:v>
                </c:pt>
                <c:pt idx="167">
                  <c:v>41.564999999999998</c:v>
                </c:pt>
                <c:pt idx="168">
                  <c:v>41.76</c:v>
                </c:pt>
                <c:pt idx="169">
                  <c:v>41.954999999999998</c:v>
                </c:pt>
                <c:pt idx="170">
                  <c:v>42.15</c:v>
                </c:pt>
                <c:pt idx="171">
                  <c:v>42.344999999999999</c:v>
                </c:pt>
                <c:pt idx="172">
                  <c:v>42.54</c:v>
                </c:pt>
                <c:pt idx="173">
                  <c:v>42.734999999999999</c:v>
                </c:pt>
                <c:pt idx="174">
                  <c:v>42.93</c:v>
                </c:pt>
                <c:pt idx="175">
                  <c:v>43.125</c:v>
                </c:pt>
                <c:pt idx="176">
                  <c:v>43.32</c:v>
                </c:pt>
                <c:pt idx="177">
                  <c:v>43.515000000000001</c:v>
                </c:pt>
                <c:pt idx="178">
                  <c:v>43.71</c:v>
                </c:pt>
                <c:pt idx="179">
                  <c:v>43.905000000000001</c:v>
                </c:pt>
                <c:pt idx="180">
                  <c:v>44.1</c:v>
                </c:pt>
                <c:pt idx="181">
                  <c:v>44.295000000000002</c:v>
                </c:pt>
                <c:pt idx="182">
                  <c:v>44.49</c:v>
                </c:pt>
                <c:pt idx="183">
                  <c:v>44.685000000000002</c:v>
                </c:pt>
                <c:pt idx="184">
                  <c:v>44.88</c:v>
                </c:pt>
                <c:pt idx="185">
                  <c:v>45.075000000000003</c:v>
                </c:pt>
                <c:pt idx="186">
                  <c:v>45.27</c:v>
                </c:pt>
                <c:pt idx="187">
                  <c:v>45.465000000000003</c:v>
                </c:pt>
                <c:pt idx="188">
                  <c:v>45.66</c:v>
                </c:pt>
                <c:pt idx="189">
                  <c:v>45.854999999999997</c:v>
                </c:pt>
                <c:pt idx="190">
                  <c:v>46.05</c:v>
                </c:pt>
                <c:pt idx="191">
                  <c:v>46.244999999999997</c:v>
                </c:pt>
                <c:pt idx="192">
                  <c:v>46.44</c:v>
                </c:pt>
                <c:pt idx="193">
                  <c:v>46.634999999999998</c:v>
                </c:pt>
                <c:pt idx="194">
                  <c:v>46.83</c:v>
                </c:pt>
                <c:pt idx="195">
                  <c:v>47.024999999999999</c:v>
                </c:pt>
                <c:pt idx="196">
                  <c:v>47.22</c:v>
                </c:pt>
                <c:pt idx="197">
                  <c:v>47.414999999999999</c:v>
                </c:pt>
                <c:pt idx="198">
                  <c:v>47.61</c:v>
                </c:pt>
                <c:pt idx="199">
                  <c:v>47.805</c:v>
                </c:pt>
                <c:pt idx="200">
                  <c:v>48</c:v>
                </c:pt>
              </c:numCache>
            </c:numRef>
          </c:xVal>
          <c:yVal>
            <c:numRef>
              <c:f>'Efficiency vs VIN Calculations'!$T$9:$T$209</c:f>
              <c:numCache>
                <c:formatCode>0.000</c:formatCode>
                <c:ptCount val="201"/>
                <c:pt idx="0">
                  <c:v>3.4908929390705121</c:v>
                </c:pt>
                <c:pt idx="1">
                  <c:v>3.3024721077507024</c:v>
                </c:pt>
                <c:pt idx="2">
                  <c:v>3.1237042404750555</c:v>
                </c:pt>
                <c:pt idx="3">
                  <c:v>2.9538212420106733</c:v>
                </c:pt>
                <c:pt idx="4">
                  <c:v>2.7922337060383193</c:v>
                </c:pt>
                <c:pt idx="5">
                  <c:v>2.6385032008913396</c:v>
                </c:pt>
                <c:pt idx="6">
                  <c:v>2.4923189897460234</c:v>
                </c:pt>
                <c:pt idx="7">
                  <c:v>2.3534781310450961</c:v>
                </c:pt>
                <c:pt idx="8">
                  <c:v>2.2218681176955029</c:v>
                </c:pt>
                <c:pt idx="9">
                  <c:v>2.097451359513903</c:v>
                </c:pt>
                <c:pt idx="10">
                  <c:v>1.9802509041926799</c:v>
                </c:pt>
                <c:pt idx="11">
                  <c:v>1.8703368314510944</c:v>
                </c:pt>
                <c:pt idx="12">
                  <c:v>1.7678127373361887</c:v>
                </c:pt>
                <c:pt idx="13">
                  <c:v>1.6728016304573969</c:v>
                </c:pt>
                <c:pt idx="14">
                  <c:v>1.5854303402980039</c:v>
                </c:pt>
                <c:pt idx="15">
                  <c:v>1.7979206026566903</c:v>
                </c:pt>
                <c:pt idx="16">
                  <c:v>1.6072530971384311</c:v>
                </c:pt>
                <c:pt idx="17">
                  <c:v>1.4403486410598532</c:v>
                </c:pt>
                <c:pt idx="18">
                  <c:v>1.2985830372965503</c:v>
                </c:pt>
                <c:pt idx="19">
                  <c:v>1.182930827561482</c:v>
                </c:pt>
                <c:pt idx="20">
                  <c:v>1.0737220079062386</c:v>
                </c:pt>
                <c:pt idx="21">
                  <c:v>1.0821139205611299</c:v>
                </c:pt>
                <c:pt idx="22">
                  <c:v>1.1102956636835928</c:v>
                </c:pt>
                <c:pt idx="23">
                  <c:v>1.1609034676684347</c:v>
                </c:pt>
                <c:pt idx="24">
                  <c:v>1.2347077419864094</c:v>
                </c:pt>
                <c:pt idx="25">
                  <c:v>1.3316796451942992</c:v>
                </c:pt>
                <c:pt idx="26">
                  <c:v>1.4513553275430509</c:v>
                </c:pt>
                <c:pt idx="27">
                  <c:v>1.5930153583489761</c:v>
                </c:pt>
                <c:pt idx="28">
                  <c:v>1.7557874920596763</c:v>
                </c:pt>
                <c:pt idx="29">
                  <c:v>1.1832342310723576</c:v>
                </c:pt>
                <c:pt idx="30">
                  <c:v>1.2287570641843715</c:v>
                </c:pt>
                <c:pt idx="31">
                  <c:v>1.2783677601858328</c:v>
                </c:pt>
                <c:pt idx="32">
                  <c:v>1.3318361747744933</c:v>
                </c:pt>
                <c:pt idx="33">
                  <c:v>1.388935201882264</c:v>
                </c:pt>
                <c:pt idx="34">
                  <c:v>1.4494428655533893</c:v>
                </c:pt>
                <c:pt idx="35">
                  <c:v>1.5131437477603153</c:v>
                </c:pt>
                <c:pt idx="36">
                  <c:v>1.5798299366234572</c:v>
                </c:pt>
                <c:pt idx="37">
                  <c:v>1.649301624436641</c:v>
                </c:pt>
                <c:pt idx="38">
                  <c:v>1.721367448190686</c:v>
                </c:pt>
                <c:pt idx="39">
                  <c:v>1.795844640122112</c:v>
                </c:pt>
                <c:pt idx="40">
                  <c:v>1.8725590381545736</c:v>
                </c:pt>
                <c:pt idx="41">
                  <c:v>1.9513449934623031</c:v>
                </c:pt>
                <c:pt idx="42">
                  <c:v>2.0320452031880927</c:v>
                </c:pt>
                <c:pt idx="43">
                  <c:v>2.1145104895609315</c:v>
                </c:pt>
                <c:pt idx="44">
                  <c:v>2.1985995415886435</c:v>
                </c:pt>
                <c:pt idx="45">
                  <c:v>2.2841786316754296</c:v>
                </c:pt>
                <c:pt idx="46">
                  <c:v>2.371121316602685</c:v>
                </c:pt>
                <c:pt idx="47">
                  <c:v>2.4593081300796547</c:v>
                </c:pt>
                <c:pt idx="48">
                  <c:v>2.5486262723494777</c:v>
                </c:pt>
                <c:pt idx="49">
                  <c:v>2.6389693010025166</c:v>
                </c:pt>
                <c:pt idx="50">
                  <c:v>2.7302368261118528</c:v>
                </c:pt>
                <c:pt idx="51">
                  <c:v>2.8223342119970063</c:v>
                </c:pt>
                <c:pt idx="52">
                  <c:v>2.9151722872902934</c:v>
                </c:pt>
                <c:pt idx="53">
                  <c:v>3.008667064486529</c:v>
                </c:pt>
                <c:pt idx="54">
                  <c:v>3.1027394697712651</c:v>
                </c:pt>
                <c:pt idx="55">
                  <c:v>3.1973150836220618</c:v>
                </c:pt>
                <c:pt idx="56">
                  <c:v>3.2923238924438953</c:v>
                </c:pt>
                <c:pt idx="57">
                  <c:v>3.3877000513190838</c:v>
                </c:pt>
                <c:pt idx="58">
                  <c:v>3.4833816578137555</c:v>
                </c:pt>
                <c:pt idx="59">
                  <c:v>3.5793105366775078</c:v>
                </c:pt>
                <c:pt idx="60">
                  <c:v>3.6754320351942651</c:v>
                </c:pt>
                <c:pt idx="61">
                  <c:v>3.7716948288844989</c:v>
                </c:pt>
                <c:pt idx="62">
                  <c:v>3.8680507372178421</c:v>
                </c:pt>
                <c:pt idx="63">
                  <c:v>3.9644545489672103</c:v>
                </c:pt>
                <c:pt idx="64">
                  <c:v>4.0608638568178668</c:v>
                </c:pt>
                <c:pt idx="65">
                  <c:v>4.1572389008355008</c:v>
                </c:pt>
                <c:pt idx="66">
                  <c:v>4.2535424203943712</c:v>
                </c:pt>
                <c:pt idx="67">
                  <c:v>4.3497395141683057</c:v>
                </c:pt>
                <c:pt idx="68">
                  <c:v>4.4457975077931984</c:v>
                </c:pt>
                <c:pt idx="69">
                  <c:v>4.5416858288179744</c:v>
                </c:pt>
                <c:pt idx="70">
                  <c:v>4.6373758885718228</c:v>
                </c:pt>
                <c:pt idx="71">
                  <c:v>4.7328409705874375</c:v>
                </c:pt>
                <c:pt idx="72">
                  <c:v>4.8280561252335197</c:v>
                </c:pt>
                <c:pt idx="73">
                  <c:v>4.9229980702233016</c:v>
                </c:pt>
                <c:pt idx="74">
                  <c:v>5.0176450966804733</c:v>
                </c:pt>
                <c:pt idx="75">
                  <c:v>5.1119769804580999</c:v>
                </c:pt>
                <c:pt idx="76">
                  <c:v>5.2059748984204521</c:v>
                </c:pt>
                <c:pt idx="77">
                  <c:v>5.299621349412007</c:v>
                </c:pt>
                <c:pt idx="78">
                  <c:v>5.3929000796515787</c:v>
                </c:pt>
                <c:pt idx="79">
                  <c:v>5.4857960123032088</c:v>
                </c:pt>
                <c:pt idx="80">
                  <c:v>5.5782951809883379</c:v>
                </c:pt>
                <c:pt idx="81">
                  <c:v>5.6703846670166369</c:v>
                </c:pt>
                <c:pt idx="82">
                  <c:v>5.7620525401246541</c:v>
                </c:pt>
                <c:pt idx="83">
                  <c:v>5.8532878025233623</c:v>
                </c:pt>
                <c:pt idx="84">
                  <c:v>5.944080336066472</c:v>
                </c:pt>
                <c:pt idx="85">
                  <c:v>6.0344208523621203</c:v>
                </c:pt>
                <c:pt idx="86">
                  <c:v>6.12430084566037</c:v>
                </c:pt>
                <c:pt idx="87">
                  <c:v>6.2137125483587994</c:v>
                </c:pt>
                <c:pt idx="88">
                  <c:v>6.3026488889769556</c:v>
                </c:pt>
                <c:pt idx="89">
                  <c:v>6.3911034524596513</c:v>
                </c:pt>
                <c:pt idx="90">
                  <c:v>6.4790704426765142</c:v>
                </c:pt>
                <c:pt idx="91">
                  <c:v>6.5665446469933766</c:v>
                </c:pt>
                <c:pt idx="92">
                  <c:v>6.6535214027979173</c:v>
                </c:pt>
                <c:pt idx="93">
                  <c:v>6.7399965658689718</c:v>
                </c:pt>
                <c:pt idx="94">
                  <c:v>6.8259664804853415</c:v>
                </c:pt>
                <c:pt idx="95">
                  <c:v>6.9114279511758641</c:v>
                </c:pt>
                <c:pt idx="96">
                  <c:v>6.9963782160183641</c:v>
                </c:pt>
                <c:pt idx="97">
                  <c:v>7.0808149214003198</c:v>
                </c:pt>
                <c:pt idx="98">
                  <c:v>7.1647360981592882</c:v>
                </c:pt>
                <c:pt idx="99">
                  <c:v>7.2481401390257663</c:v>
                </c:pt>
                <c:pt idx="100">
                  <c:v>7.3310257772956895</c:v>
                </c:pt>
                <c:pt idx="101">
                  <c:v>7.4133920666640645</c:v>
                </c:pt>
                <c:pt idx="102">
                  <c:v>7.495238362155062</c:v>
                </c:pt>
                <c:pt idx="103">
                  <c:v>7.5765643020876503</c:v>
                </c:pt>
                <c:pt idx="104">
                  <c:v>7.6573697910195904</c:v>
                </c:pt>
                <c:pt idx="105">
                  <c:v>7.737654983615518</c:v>
                </c:pt>
                <c:pt idx="106">
                  <c:v>7.8174202693882533</c:v>
                </c:pt>
                <c:pt idx="107">
                  <c:v>7.896666258265375</c:v>
                </c:pt>
                <c:pt idx="108">
                  <c:v>7.9753937669356212</c:v>
                </c:pt>
                <c:pt idx="109">
                  <c:v>8.0536038059325641</c:v>
                </c:pt>
                <c:pt idx="110">
                  <c:v>8.1312975674152348</c:v>
                </c:pt>
                <c:pt idx="111">
                  <c:v>8.2084764136076558</c:v>
                </c:pt>
                <c:pt idx="112">
                  <c:v>8.285141865861652</c:v>
                </c:pt>
                <c:pt idx="113">
                  <c:v>8.3612955943089702</c:v>
                </c:pt>
                <c:pt idx="114">
                  <c:v>8.436939408070824</c:v>
                </c:pt>
                <c:pt idx="115">
                  <c:v>8.5120752459949465</c:v>
                </c:pt>
                <c:pt idx="116">
                  <c:v>8.5867051678915214</c:v>
                </c:pt>
                <c:pt idx="117">
                  <c:v>8.6608313462413928</c:v>
                </c:pt>
                <c:pt idx="118">
                  <c:v>8.7344560583510447</c:v>
                </c:pt>
                <c:pt idx="119">
                  <c:v>8.8075816789306476</c:v>
                </c:pt>
                <c:pt idx="120">
                  <c:v>8.8802106730723498</c:v>
                </c:pt>
                <c:pt idx="121">
                  <c:v>8.9523455896077984</c:v>
                </c:pt>
                <c:pt idx="122">
                  <c:v>9.0239890548244457</c:v>
                </c:pt>
                <c:pt idx="123">
                  <c:v>9.0951437665217814</c:v>
                </c:pt>
                <c:pt idx="124">
                  <c:v>9.1658124883894683</c:v>
                </c:pt>
                <c:pt idx="125">
                  <c:v>9.235998044690346</c:v>
                </c:pt>
                <c:pt idx="126">
                  <c:v>9.3057033152322131</c:v>
                </c:pt>
                <c:pt idx="127">
                  <c:v>9.3749312306132655</c:v>
                </c:pt>
                <c:pt idx="128">
                  <c:v>9.4436847677267863</c:v>
                </c:pt>
                <c:pt idx="129">
                  <c:v>9.5119669455113627</c:v>
                </c:pt>
                <c:pt idx="130">
                  <c:v>9.5797808209340118</c:v>
                </c:pt>
                <c:pt idx="131">
                  <c:v>9.6471294851938865</c:v>
                </c:pt>
                <c:pt idx="132">
                  <c:v>9.7140160601350516</c:v>
                </c:pt>
                <c:pt idx="133">
                  <c:v>9.7804436948574587</c:v>
                </c:pt>
                <c:pt idx="134">
                  <c:v>9.8464155625158813</c:v>
                </c:pt>
                <c:pt idx="135">
                  <c:v>9.9119348572969521</c:v>
                </c:pt>
                <c:pt idx="136">
                  <c:v>9.9770047915650064</c:v>
                </c:pt>
                <c:pt idx="137">
                  <c:v>10.041628593168276</c:v>
                </c:pt>
                <c:pt idx="138">
                  <c:v>10.105809502896649</c:v>
                </c:pt>
                <c:pt idx="139">
                  <c:v>10.169550772083678</c:v>
                </c:pt>
                <c:pt idx="140">
                  <c:v>10.232855660344955</c:v>
                </c:pt>
                <c:pt idx="141">
                  <c:v>10.295727433446114</c:v>
                </c:pt>
                <c:pt idx="142">
                  <c:v>10.358169361293662</c:v>
                </c:pt>
                <c:pt idx="143">
                  <c:v>10.420184716042206</c:v>
                </c:pt>
                <c:pt idx="144">
                  <c:v>10.481776770312276</c:v>
                </c:pt>
                <c:pt idx="145">
                  <c:v>10.542948795512931</c:v>
                </c:pt>
                <c:pt idx="146">
                  <c:v>10.603704060263803</c:v>
                </c:pt>
                <c:pt idx="147">
                  <c:v>10.664045828911402</c:v>
                </c:pt>
                <c:pt idx="148">
                  <c:v>10.72397736013497</c:v>
                </c:pt>
                <c:pt idx="149">
                  <c:v>10.783501905637033</c:v>
                </c:pt>
                <c:pt idx="150">
                  <c:v>10.842622708914632</c:v>
                </c:pt>
                <c:pt idx="151">
                  <c:v>10.901343004106808</c:v>
                </c:pt>
                <c:pt idx="152">
                  <c:v>10.959666014914529</c:v>
                </c:pt>
                <c:pt idx="153">
                  <c:v>11.017594953589345</c:v>
                </c:pt>
                <c:pt idx="154">
                  <c:v>11.075133019987181</c:v>
                </c:pt>
                <c:pt idx="155">
                  <c:v>11.132283400683955</c:v>
                </c:pt>
                <c:pt idx="156">
                  <c:v>11.189049268149866</c:v>
                </c:pt>
                <c:pt idx="157">
                  <c:v>11.245433779979189</c:v>
                </c:pt>
                <c:pt idx="158">
                  <c:v>11.301440078172947</c:v>
                </c:pt>
                <c:pt idx="159">
                  <c:v>11.357071288471374</c:v>
                </c:pt>
                <c:pt idx="160">
                  <c:v>11.412330519734041</c:v>
                </c:pt>
                <c:pt idx="161">
                  <c:v>11.467220863364769</c:v>
                </c:pt>
                <c:pt idx="162">
                  <c:v>11.521745392779254</c:v>
                </c:pt>
                <c:pt idx="163">
                  <c:v>11.575907162913005</c:v>
                </c:pt>
                <c:pt idx="164">
                  <c:v>11.629709209767748</c:v>
                </c:pt>
                <c:pt idx="165">
                  <c:v>11.683154549993967</c:v>
                </c:pt>
                <c:pt idx="166">
                  <c:v>11.736246180507941</c:v>
                </c:pt>
                <c:pt idx="167">
                  <c:v>11.788987078141322</c:v>
                </c:pt>
                <c:pt idx="168">
                  <c:v>11.841380199321678</c:v>
                </c:pt>
                <c:pt idx="169">
                  <c:v>11.893428479782166</c:v>
                </c:pt>
                <c:pt idx="170">
                  <c:v>11.945134834299047</c:v>
                </c:pt>
                <c:pt idx="171">
                  <c:v>11.996502156455264</c:v>
                </c:pt>
                <c:pt idx="172">
                  <c:v>12.047533318429021</c:v>
                </c:pt>
                <c:pt idx="173">
                  <c:v>12.098231170805729</c:v>
                </c:pt>
                <c:pt idx="174">
                  <c:v>12.148598542412271</c:v>
                </c:pt>
                <c:pt idx="175">
                  <c:v>12.198638240172302</c:v>
                </c:pt>
                <c:pt idx="176">
                  <c:v>12.248353048981322</c:v>
                </c:pt>
                <c:pt idx="177">
                  <c:v>12.297745731600751</c:v>
                </c:pt>
                <c:pt idx="178">
                  <c:v>12.346819028569646</c:v>
                </c:pt>
                <c:pt idx="179">
                  <c:v>12.395575658133243</c:v>
                </c:pt>
                <c:pt idx="180">
                  <c:v>12.444018316187371</c:v>
                </c:pt>
                <c:pt idx="181">
                  <c:v>12.492149676237862</c:v>
                </c:pt>
                <c:pt idx="182">
                  <c:v>12.53997238937411</c:v>
                </c:pt>
                <c:pt idx="183">
                  <c:v>12.587489084255843</c:v>
                </c:pt>
                <c:pt idx="184">
                  <c:v>12.634702367112673</c:v>
                </c:pt>
                <c:pt idx="185">
                  <c:v>12.681614821755323</c:v>
                </c:pt>
                <c:pt idx="186">
                  <c:v>12.728229009598136</c:v>
                </c:pt>
                <c:pt idx="187">
                  <c:v>12.77454746969196</c:v>
                </c:pt>
                <c:pt idx="188">
                  <c:v>12.82057271876708</c:v>
                </c:pt>
                <c:pt idx="189">
                  <c:v>12.866307251285306</c:v>
                </c:pt>
                <c:pt idx="190">
                  <c:v>12.911753539500923</c:v>
                </c:pt>
                <c:pt idx="191">
                  <c:v>12.956914033529733</c:v>
                </c:pt>
                <c:pt idx="192">
                  <c:v>13.001791161425825</c:v>
                </c:pt>
                <c:pt idx="193">
                  <c:v>13.046387329265599</c:v>
                </c:pt>
                <c:pt idx="194">
                  <c:v>13.090704921238496</c:v>
                </c:pt>
                <c:pt idx="195">
                  <c:v>13.134746299744041</c:v>
                </c:pt>
                <c:pt idx="196">
                  <c:v>13.17851380549491</c:v>
                </c:pt>
                <c:pt idx="197">
                  <c:v>13.222009757625221</c:v>
                </c:pt>
                <c:pt idx="198">
                  <c:v>13.265236453804365</c:v>
                </c:pt>
                <c:pt idx="199">
                  <c:v>13.308196170355208</c:v>
                </c:pt>
                <c:pt idx="200">
                  <c:v>13.350891162377138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4EF-4936-9B76-59ED7816AF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147136"/>
        <c:axId val="159149056"/>
      </c:scatterChart>
      <c:valAx>
        <c:axId val="159147136"/>
        <c:scaling>
          <c:orientation val="minMax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Input</a:t>
                </a:r>
                <a:r>
                  <a:rPr lang="en-US" sz="1100" baseline="0"/>
                  <a:t> Voltage (V)</a:t>
                </a:r>
                <a:endParaRPr lang="en-US" sz="1100"/>
              </a:p>
            </c:rich>
          </c:tx>
          <c:layout>
            <c:manualLayout>
              <c:xMode val="edge"/>
              <c:yMode val="edge"/>
              <c:x val="0.47898089171975511"/>
              <c:y val="0.9254040724748199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149056"/>
        <c:crosses val="autoZero"/>
        <c:crossBetween val="midCat"/>
      </c:valAx>
      <c:valAx>
        <c:axId val="1591490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Power Disipation (W)</a:t>
                </a:r>
              </a:p>
            </c:rich>
          </c:tx>
          <c:layout>
            <c:manualLayout>
              <c:xMode val="edge"/>
              <c:yMode val="edge"/>
              <c:x val="1.9108297737292643E-2"/>
              <c:y val="0.3461025738718144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147136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7115673503774995"/>
          <c:y val="1.0080645161290322E-2"/>
          <c:w val="0.20336554227017919"/>
          <c:h val="0.129032469731606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600"/>
              <a:t> Overall Efficiency</a:t>
            </a:r>
          </a:p>
        </c:rich>
      </c:tx>
      <c:layout>
        <c:manualLayout>
          <c:xMode val="edge"/>
          <c:yMode val="edge"/>
          <c:x val="0.41192468827576156"/>
          <c:y val="3.02419354838718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74102129638858"/>
          <c:y val="0.15927435034411094"/>
          <c:w val="0.85384629851107507"/>
          <c:h val="0.72983942815910108"/>
        </c:manualLayout>
      </c:layout>
      <c:scatterChart>
        <c:scatterStyle val="lineMarker"/>
        <c:varyColors val="0"/>
        <c:ser>
          <c:idx val="0"/>
          <c:order val="0"/>
          <c:tx>
            <c:v>Efficiency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9.1950000000000003</c:v>
                </c:pt>
                <c:pt idx="2">
                  <c:v>9.39</c:v>
                </c:pt>
                <c:pt idx="3">
                  <c:v>9.5850000000000009</c:v>
                </c:pt>
                <c:pt idx="4">
                  <c:v>9.7799999999999994</c:v>
                </c:pt>
                <c:pt idx="5">
                  <c:v>9.9749999999999996</c:v>
                </c:pt>
                <c:pt idx="6">
                  <c:v>10.17</c:v>
                </c:pt>
                <c:pt idx="7">
                  <c:v>10.365</c:v>
                </c:pt>
                <c:pt idx="8">
                  <c:v>10.56</c:v>
                </c:pt>
                <c:pt idx="9">
                  <c:v>10.754999999999999</c:v>
                </c:pt>
                <c:pt idx="10">
                  <c:v>10.95</c:v>
                </c:pt>
                <c:pt idx="11">
                  <c:v>11.145</c:v>
                </c:pt>
                <c:pt idx="12">
                  <c:v>11.34</c:v>
                </c:pt>
                <c:pt idx="13">
                  <c:v>11.535</c:v>
                </c:pt>
                <c:pt idx="14">
                  <c:v>11.73</c:v>
                </c:pt>
                <c:pt idx="15">
                  <c:v>11.925000000000001</c:v>
                </c:pt>
                <c:pt idx="16">
                  <c:v>12.120000000000001</c:v>
                </c:pt>
                <c:pt idx="17">
                  <c:v>12.315000000000001</c:v>
                </c:pt>
                <c:pt idx="18">
                  <c:v>12.51</c:v>
                </c:pt>
                <c:pt idx="19">
                  <c:v>12.705</c:v>
                </c:pt>
                <c:pt idx="20">
                  <c:v>12.9</c:v>
                </c:pt>
                <c:pt idx="21">
                  <c:v>13.094999999999999</c:v>
                </c:pt>
                <c:pt idx="22">
                  <c:v>13.29</c:v>
                </c:pt>
                <c:pt idx="23">
                  <c:v>13.484999999999999</c:v>
                </c:pt>
                <c:pt idx="24">
                  <c:v>13.68</c:v>
                </c:pt>
                <c:pt idx="25">
                  <c:v>13.875</c:v>
                </c:pt>
                <c:pt idx="26">
                  <c:v>14.07</c:v>
                </c:pt>
                <c:pt idx="27">
                  <c:v>14.265000000000001</c:v>
                </c:pt>
                <c:pt idx="28">
                  <c:v>14.46</c:v>
                </c:pt>
                <c:pt idx="29">
                  <c:v>14.654999999999999</c:v>
                </c:pt>
                <c:pt idx="30">
                  <c:v>14.85</c:v>
                </c:pt>
                <c:pt idx="31">
                  <c:v>15.045</c:v>
                </c:pt>
                <c:pt idx="32">
                  <c:v>15.24</c:v>
                </c:pt>
                <c:pt idx="33">
                  <c:v>15.435</c:v>
                </c:pt>
                <c:pt idx="34">
                  <c:v>15.63</c:v>
                </c:pt>
                <c:pt idx="35">
                  <c:v>15.824999999999999</c:v>
                </c:pt>
                <c:pt idx="36">
                  <c:v>16.02</c:v>
                </c:pt>
                <c:pt idx="37">
                  <c:v>16.215</c:v>
                </c:pt>
                <c:pt idx="38">
                  <c:v>16.41</c:v>
                </c:pt>
                <c:pt idx="39">
                  <c:v>16.605</c:v>
                </c:pt>
                <c:pt idx="40">
                  <c:v>16.8</c:v>
                </c:pt>
                <c:pt idx="41">
                  <c:v>16.994999999999997</c:v>
                </c:pt>
                <c:pt idx="42">
                  <c:v>17.189999999999998</c:v>
                </c:pt>
                <c:pt idx="43">
                  <c:v>17.384999999999998</c:v>
                </c:pt>
                <c:pt idx="44">
                  <c:v>17.579999999999998</c:v>
                </c:pt>
                <c:pt idx="45">
                  <c:v>17.774999999999999</c:v>
                </c:pt>
                <c:pt idx="46">
                  <c:v>17.97</c:v>
                </c:pt>
                <c:pt idx="47">
                  <c:v>18.164999999999999</c:v>
                </c:pt>
                <c:pt idx="48">
                  <c:v>18.36</c:v>
                </c:pt>
                <c:pt idx="49">
                  <c:v>18.555</c:v>
                </c:pt>
                <c:pt idx="50">
                  <c:v>18.75</c:v>
                </c:pt>
                <c:pt idx="51">
                  <c:v>18.945</c:v>
                </c:pt>
                <c:pt idx="52">
                  <c:v>19.14</c:v>
                </c:pt>
                <c:pt idx="53">
                  <c:v>19.335000000000001</c:v>
                </c:pt>
                <c:pt idx="54">
                  <c:v>19.53</c:v>
                </c:pt>
                <c:pt idx="55">
                  <c:v>19.725000000000001</c:v>
                </c:pt>
                <c:pt idx="56">
                  <c:v>19.920000000000002</c:v>
                </c:pt>
                <c:pt idx="57">
                  <c:v>20.114999999999998</c:v>
                </c:pt>
                <c:pt idx="58">
                  <c:v>20.309999999999999</c:v>
                </c:pt>
                <c:pt idx="59">
                  <c:v>20.504999999999999</c:v>
                </c:pt>
                <c:pt idx="60">
                  <c:v>20.7</c:v>
                </c:pt>
                <c:pt idx="61">
                  <c:v>20.895</c:v>
                </c:pt>
                <c:pt idx="62">
                  <c:v>21.09</c:v>
                </c:pt>
                <c:pt idx="63">
                  <c:v>21.285</c:v>
                </c:pt>
                <c:pt idx="64">
                  <c:v>21.48</c:v>
                </c:pt>
                <c:pt idx="65">
                  <c:v>21.675000000000001</c:v>
                </c:pt>
                <c:pt idx="66">
                  <c:v>21.87</c:v>
                </c:pt>
                <c:pt idx="67">
                  <c:v>22.065000000000001</c:v>
                </c:pt>
                <c:pt idx="68">
                  <c:v>22.26</c:v>
                </c:pt>
                <c:pt idx="69">
                  <c:v>22.454999999999998</c:v>
                </c:pt>
                <c:pt idx="70">
                  <c:v>22.65</c:v>
                </c:pt>
                <c:pt idx="71">
                  <c:v>22.844999999999999</c:v>
                </c:pt>
                <c:pt idx="72">
                  <c:v>23.04</c:v>
                </c:pt>
                <c:pt idx="73">
                  <c:v>23.234999999999999</c:v>
                </c:pt>
                <c:pt idx="74">
                  <c:v>23.43</c:v>
                </c:pt>
                <c:pt idx="75">
                  <c:v>23.625</c:v>
                </c:pt>
                <c:pt idx="76">
                  <c:v>23.82</c:v>
                </c:pt>
                <c:pt idx="77">
                  <c:v>24.015000000000001</c:v>
                </c:pt>
                <c:pt idx="78">
                  <c:v>24.21</c:v>
                </c:pt>
                <c:pt idx="79">
                  <c:v>24.405000000000001</c:v>
                </c:pt>
                <c:pt idx="80">
                  <c:v>24.6</c:v>
                </c:pt>
                <c:pt idx="81">
                  <c:v>24.795000000000002</c:v>
                </c:pt>
                <c:pt idx="82">
                  <c:v>24.99</c:v>
                </c:pt>
                <c:pt idx="83">
                  <c:v>25.184999999999999</c:v>
                </c:pt>
                <c:pt idx="84">
                  <c:v>25.38</c:v>
                </c:pt>
                <c:pt idx="85">
                  <c:v>25.574999999999999</c:v>
                </c:pt>
                <c:pt idx="86">
                  <c:v>25.77</c:v>
                </c:pt>
                <c:pt idx="87">
                  <c:v>25.965</c:v>
                </c:pt>
                <c:pt idx="88">
                  <c:v>26.16</c:v>
                </c:pt>
                <c:pt idx="89">
                  <c:v>26.355</c:v>
                </c:pt>
                <c:pt idx="90">
                  <c:v>26.55</c:v>
                </c:pt>
                <c:pt idx="91">
                  <c:v>26.745000000000001</c:v>
                </c:pt>
                <c:pt idx="92">
                  <c:v>26.94</c:v>
                </c:pt>
                <c:pt idx="93">
                  <c:v>27.135000000000002</c:v>
                </c:pt>
                <c:pt idx="94">
                  <c:v>27.33</c:v>
                </c:pt>
                <c:pt idx="95">
                  <c:v>27.524999999999999</c:v>
                </c:pt>
                <c:pt idx="96">
                  <c:v>27.72</c:v>
                </c:pt>
                <c:pt idx="97">
                  <c:v>27.914999999999999</c:v>
                </c:pt>
                <c:pt idx="98">
                  <c:v>28.11</c:v>
                </c:pt>
                <c:pt idx="99">
                  <c:v>28.305</c:v>
                </c:pt>
                <c:pt idx="100">
                  <c:v>28.5</c:v>
                </c:pt>
                <c:pt idx="101">
                  <c:v>28.695</c:v>
                </c:pt>
                <c:pt idx="102">
                  <c:v>28.89</c:v>
                </c:pt>
                <c:pt idx="103">
                  <c:v>29.085000000000001</c:v>
                </c:pt>
                <c:pt idx="104">
                  <c:v>29.28</c:v>
                </c:pt>
                <c:pt idx="105">
                  <c:v>29.475000000000001</c:v>
                </c:pt>
                <c:pt idx="106">
                  <c:v>29.67</c:v>
                </c:pt>
                <c:pt idx="107">
                  <c:v>29.865000000000002</c:v>
                </c:pt>
                <c:pt idx="108">
                  <c:v>30.060000000000002</c:v>
                </c:pt>
                <c:pt idx="109">
                  <c:v>30.255000000000003</c:v>
                </c:pt>
                <c:pt idx="110">
                  <c:v>30.450000000000003</c:v>
                </c:pt>
                <c:pt idx="111">
                  <c:v>30.645000000000003</c:v>
                </c:pt>
                <c:pt idx="112">
                  <c:v>30.840000000000003</c:v>
                </c:pt>
                <c:pt idx="113">
                  <c:v>31.034999999999997</c:v>
                </c:pt>
                <c:pt idx="114">
                  <c:v>31.229999999999997</c:v>
                </c:pt>
                <c:pt idx="115">
                  <c:v>31.424999999999997</c:v>
                </c:pt>
                <c:pt idx="116">
                  <c:v>31.619999999999997</c:v>
                </c:pt>
                <c:pt idx="117">
                  <c:v>31.814999999999998</c:v>
                </c:pt>
                <c:pt idx="118">
                  <c:v>32.01</c:v>
                </c:pt>
                <c:pt idx="119">
                  <c:v>32.204999999999998</c:v>
                </c:pt>
                <c:pt idx="120">
                  <c:v>32.4</c:v>
                </c:pt>
                <c:pt idx="121">
                  <c:v>32.594999999999999</c:v>
                </c:pt>
                <c:pt idx="122">
                  <c:v>32.79</c:v>
                </c:pt>
                <c:pt idx="123">
                  <c:v>32.984999999999999</c:v>
                </c:pt>
                <c:pt idx="124">
                  <c:v>33.18</c:v>
                </c:pt>
                <c:pt idx="125">
                  <c:v>33.375</c:v>
                </c:pt>
                <c:pt idx="126">
                  <c:v>33.57</c:v>
                </c:pt>
                <c:pt idx="127">
                  <c:v>33.765000000000001</c:v>
                </c:pt>
                <c:pt idx="128">
                  <c:v>33.96</c:v>
                </c:pt>
                <c:pt idx="129">
                  <c:v>34.155000000000001</c:v>
                </c:pt>
                <c:pt idx="130">
                  <c:v>34.35</c:v>
                </c:pt>
                <c:pt idx="131">
                  <c:v>34.545000000000002</c:v>
                </c:pt>
                <c:pt idx="132">
                  <c:v>34.74</c:v>
                </c:pt>
                <c:pt idx="133">
                  <c:v>34.935000000000002</c:v>
                </c:pt>
                <c:pt idx="134">
                  <c:v>35.130000000000003</c:v>
                </c:pt>
                <c:pt idx="135">
                  <c:v>35.325000000000003</c:v>
                </c:pt>
                <c:pt idx="136">
                  <c:v>35.520000000000003</c:v>
                </c:pt>
                <c:pt idx="137">
                  <c:v>35.715000000000003</c:v>
                </c:pt>
                <c:pt idx="138">
                  <c:v>35.909999999999997</c:v>
                </c:pt>
                <c:pt idx="139">
                  <c:v>36.104999999999997</c:v>
                </c:pt>
                <c:pt idx="140">
                  <c:v>36.299999999999997</c:v>
                </c:pt>
                <c:pt idx="141">
                  <c:v>36.494999999999997</c:v>
                </c:pt>
                <c:pt idx="142">
                  <c:v>36.69</c:v>
                </c:pt>
                <c:pt idx="143">
                  <c:v>36.884999999999998</c:v>
                </c:pt>
                <c:pt idx="144">
                  <c:v>37.08</c:v>
                </c:pt>
                <c:pt idx="145">
                  <c:v>37.274999999999999</c:v>
                </c:pt>
                <c:pt idx="146">
                  <c:v>37.47</c:v>
                </c:pt>
                <c:pt idx="147">
                  <c:v>37.664999999999999</c:v>
                </c:pt>
                <c:pt idx="148">
                  <c:v>37.86</c:v>
                </c:pt>
                <c:pt idx="149">
                  <c:v>38.055</c:v>
                </c:pt>
                <c:pt idx="150">
                  <c:v>38.25</c:v>
                </c:pt>
                <c:pt idx="151">
                  <c:v>38.445</c:v>
                </c:pt>
                <c:pt idx="152">
                  <c:v>38.64</c:v>
                </c:pt>
                <c:pt idx="153">
                  <c:v>38.835000000000001</c:v>
                </c:pt>
                <c:pt idx="154">
                  <c:v>39.03</c:v>
                </c:pt>
                <c:pt idx="155">
                  <c:v>39.225000000000001</c:v>
                </c:pt>
                <c:pt idx="156">
                  <c:v>39.42</c:v>
                </c:pt>
                <c:pt idx="157">
                  <c:v>39.615000000000002</c:v>
                </c:pt>
                <c:pt idx="158">
                  <c:v>39.81</c:v>
                </c:pt>
                <c:pt idx="159">
                  <c:v>40.005000000000003</c:v>
                </c:pt>
                <c:pt idx="160">
                  <c:v>40.200000000000003</c:v>
                </c:pt>
                <c:pt idx="161">
                  <c:v>40.395000000000003</c:v>
                </c:pt>
                <c:pt idx="162">
                  <c:v>40.590000000000003</c:v>
                </c:pt>
                <c:pt idx="163">
                  <c:v>40.784999999999997</c:v>
                </c:pt>
                <c:pt idx="164">
                  <c:v>40.98</c:v>
                </c:pt>
                <c:pt idx="165">
                  <c:v>41.174999999999997</c:v>
                </c:pt>
                <c:pt idx="166">
                  <c:v>41.37</c:v>
                </c:pt>
                <c:pt idx="167">
                  <c:v>41.564999999999998</c:v>
                </c:pt>
                <c:pt idx="168">
                  <c:v>41.76</c:v>
                </c:pt>
                <c:pt idx="169">
                  <c:v>41.954999999999998</c:v>
                </c:pt>
                <c:pt idx="170">
                  <c:v>42.15</c:v>
                </c:pt>
                <c:pt idx="171">
                  <c:v>42.344999999999999</c:v>
                </c:pt>
                <c:pt idx="172">
                  <c:v>42.54</c:v>
                </c:pt>
                <c:pt idx="173">
                  <c:v>42.734999999999999</c:v>
                </c:pt>
                <c:pt idx="174">
                  <c:v>42.93</c:v>
                </c:pt>
                <c:pt idx="175">
                  <c:v>43.125</c:v>
                </c:pt>
                <c:pt idx="176">
                  <c:v>43.32</c:v>
                </c:pt>
                <c:pt idx="177">
                  <c:v>43.515000000000001</c:v>
                </c:pt>
                <c:pt idx="178">
                  <c:v>43.71</c:v>
                </c:pt>
                <c:pt idx="179">
                  <c:v>43.905000000000001</c:v>
                </c:pt>
                <c:pt idx="180">
                  <c:v>44.1</c:v>
                </c:pt>
                <c:pt idx="181">
                  <c:v>44.295000000000002</c:v>
                </c:pt>
                <c:pt idx="182">
                  <c:v>44.49</c:v>
                </c:pt>
                <c:pt idx="183">
                  <c:v>44.685000000000002</c:v>
                </c:pt>
                <c:pt idx="184">
                  <c:v>44.88</c:v>
                </c:pt>
                <c:pt idx="185">
                  <c:v>45.075000000000003</c:v>
                </c:pt>
                <c:pt idx="186">
                  <c:v>45.27</c:v>
                </c:pt>
                <c:pt idx="187">
                  <c:v>45.465000000000003</c:v>
                </c:pt>
                <c:pt idx="188">
                  <c:v>45.66</c:v>
                </c:pt>
                <c:pt idx="189">
                  <c:v>45.854999999999997</c:v>
                </c:pt>
                <c:pt idx="190">
                  <c:v>46.05</c:v>
                </c:pt>
                <c:pt idx="191">
                  <c:v>46.244999999999997</c:v>
                </c:pt>
                <c:pt idx="192">
                  <c:v>46.44</c:v>
                </c:pt>
                <c:pt idx="193">
                  <c:v>46.634999999999998</c:v>
                </c:pt>
                <c:pt idx="194">
                  <c:v>46.83</c:v>
                </c:pt>
                <c:pt idx="195">
                  <c:v>47.024999999999999</c:v>
                </c:pt>
                <c:pt idx="196">
                  <c:v>47.22</c:v>
                </c:pt>
                <c:pt idx="197">
                  <c:v>47.414999999999999</c:v>
                </c:pt>
                <c:pt idx="198">
                  <c:v>47.61</c:v>
                </c:pt>
                <c:pt idx="199">
                  <c:v>47.805</c:v>
                </c:pt>
                <c:pt idx="200">
                  <c:v>48</c:v>
                </c:pt>
              </c:numCache>
            </c:numRef>
          </c:xVal>
          <c:yVal>
            <c:numRef>
              <c:f>'Efficiency vs VIN Calculations'!$BD$9:$BD$209</c:f>
              <c:numCache>
                <c:formatCode>0.0%</c:formatCode>
                <c:ptCount val="2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7CF-4862-8F37-003557E6EE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172480"/>
        <c:axId val="41816064"/>
      </c:scatterChart>
      <c:valAx>
        <c:axId val="15917248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Input</a:t>
                </a:r>
                <a:r>
                  <a:rPr lang="en-US" sz="1100" baseline="0"/>
                  <a:t> Voltage (V)</a:t>
                </a:r>
                <a:endParaRPr lang="en-US" sz="1100"/>
              </a:p>
            </c:rich>
          </c:tx>
          <c:layout>
            <c:manualLayout>
              <c:xMode val="edge"/>
              <c:yMode val="edge"/>
              <c:x val="0.4576315442322012"/>
              <c:y val="0.9435492337651342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816064"/>
        <c:crosses val="autoZero"/>
        <c:crossBetween val="midCat"/>
      </c:valAx>
      <c:valAx>
        <c:axId val="41816064"/>
        <c:scaling>
          <c:orientation val="minMax"/>
          <c:max val="1"/>
          <c:min val="0.70000000000000007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Efficiency (%)</a:t>
                </a:r>
              </a:p>
            </c:rich>
          </c:tx>
          <c:layout>
            <c:manualLayout>
              <c:xMode val="edge"/>
              <c:yMode val="edge"/>
              <c:x val="6.7750677506776052E-3"/>
              <c:y val="0.42741977817289695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172480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636970175475957"/>
          <c:y val="3.6290322580645726E-2"/>
          <c:w val="0.11788632112042907"/>
          <c:h val="4.233870967741935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97037571498782"/>
          <c:y val="5.9812039624079237E-2"/>
          <c:w val="0.80603751224324049"/>
          <c:h val="0.81048450596901189"/>
        </c:manualLayout>
      </c:layout>
      <c:scatterChart>
        <c:scatterStyle val="lineMarker"/>
        <c:varyColors val="0"/>
        <c:ser>
          <c:idx val="1"/>
          <c:order val="1"/>
          <c:tx>
            <c:v>Boost D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9.1950000000000003</c:v>
                </c:pt>
                <c:pt idx="2">
                  <c:v>9.39</c:v>
                </c:pt>
                <c:pt idx="3">
                  <c:v>9.5850000000000009</c:v>
                </c:pt>
                <c:pt idx="4">
                  <c:v>9.7799999999999994</c:v>
                </c:pt>
                <c:pt idx="5">
                  <c:v>9.9749999999999996</c:v>
                </c:pt>
                <c:pt idx="6">
                  <c:v>10.17</c:v>
                </c:pt>
                <c:pt idx="7">
                  <c:v>10.365</c:v>
                </c:pt>
                <c:pt idx="8">
                  <c:v>10.56</c:v>
                </c:pt>
                <c:pt idx="9">
                  <c:v>10.754999999999999</c:v>
                </c:pt>
                <c:pt idx="10">
                  <c:v>10.95</c:v>
                </c:pt>
                <c:pt idx="11">
                  <c:v>11.145</c:v>
                </c:pt>
                <c:pt idx="12">
                  <c:v>11.34</c:v>
                </c:pt>
                <c:pt idx="13">
                  <c:v>11.535</c:v>
                </c:pt>
                <c:pt idx="14">
                  <c:v>11.73</c:v>
                </c:pt>
                <c:pt idx="15">
                  <c:v>11.925000000000001</c:v>
                </c:pt>
                <c:pt idx="16">
                  <c:v>12.120000000000001</c:v>
                </c:pt>
                <c:pt idx="17">
                  <c:v>12.315000000000001</c:v>
                </c:pt>
                <c:pt idx="18">
                  <c:v>12.51</c:v>
                </c:pt>
                <c:pt idx="19">
                  <c:v>12.705</c:v>
                </c:pt>
                <c:pt idx="20">
                  <c:v>12.9</c:v>
                </c:pt>
                <c:pt idx="21">
                  <c:v>13.094999999999999</c:v>
                </c:pt>
                <c:pt idx="22">
                  <c:v>13.29</c:v>
                </c:pt>
                <c:pt idx="23">
                  <c:v>13.484999999999999</c:v>
                </c:pt>
                <c:pt idx="24">
                  <c:v>13.68</c:v>
                </c:pt>
                <c:pt idx="25">
                  <c:v>13.875</c:v>
                </c:pt>
                <c:pt idx="26">
                  <c:v>14.07</c:v>
                </c:pt>
                <c:pt idx="27">
                  <c:v>14.265000000000001</c:v>
                </c:pt>
                <c:pt idx="28">
                  <c:v>14.46</c:v>
                </c:pt>
                <c:pt idx="29">
                  <c:v>14.654999999999999</c:v>
                </c:pt>
                <c:pt idx="30">
                  <c:v>14.85</c:v>
                </c:pt>
                <c:pt idx="31">
                  <c:v>15.045</c:v>
                </c:pt>
                <c:pt idx="32">
                  <c:v>15.24</c:v>
                </c:pt>
                <c:pt idx="33">
                  <c:v>15.435</c:v>
                </c:pt>
                <c:pt idx="34">
                  <c:v>15.63</c:v>
                </c:pt>
                <c:pt idx="35">
                  <c:v>15.824999999999999</c:v>
                </c:pt>
                <c:pt idx="36">
                  <c:v>16.02</c:v>
                </c:pt>
                <c:pt idx="37">
                  <c:v>16.215</c:v>
                </c:pt>
                <c:pt idx="38">
                  <c:v>16.41</c:v>
                </c:pt>
                <c:pt idx="39">
                  <c:v>16.605</c:v>
                </c:pt>
                <c:pt idx="40">
                  <c:v>16.8</c:v>
                </c:pt>
                <c:pt idx="41">
                  <c:v>16.994999999999997</c:v>
                </c:pt>
                <c:pt idx="42">
                  <c:v>17.189999999999998</c:v>
                </c:pt>
                <c:pt idx="43">
                  <c:v>17.384999999999998</c:v>
                </c:pt>
                <c:pt idx="44">
                  <c:v>17.579999999999998</c:v>
                </c:pt>
                <c:pt idx="45">
                  <c:v>17.774999999999999</c:v>
                </c:pt>
                <c:pt idx="46">
                  <c:v>17.97</c:v>
                </c:pt>
                <c:pt idx="47">
                  <c:v>18.164999999999999</c:v>
                </c:pt>
                <c:pt idx="48">
                  <c:v>18.36</c:v>
                </c:pt>
                <c:pt idx="49">
                  <c:v>18.555</c:v>
                </c:pt>
                <c:pt idx="50">
                  <c:v>18.75</c:v>
                </c:pt>
                <c:pt idx="51">
                  <c:v>18.945</c:v>
                </c:pt>
                <c:pt idx="52">
                  <c:v>19.14</c:v>
                </c:pt>
                <c:pt idx="53">
                  <c:v>19.335000000000001</c:v>
                </c:pt>
                <c:pt idx="54">
                  <c:v>19.53</c:v>
                </c:pt>
                <c:pt idx="55">
                  <c:v>19.725000000000001</c:v>
                </c:pt>
                <c:pt idx="56">
                  <c:v>19.920000000000002</c:v>
                </c:pt>
                <c:pt idx="57">
                  <c:v>20.114999999999998</c:v>
                </c:pt>
                <c:pt idx="58">
                  <c:v>20.309999999999999</c:v>
                </c:pt>
                <c:pt idx="59">
                  <c:v>20.504999999999999</c:v>
                </c:pt>
                <c:pt idx="60">
                  <c:v>20.7</c:v>
                </c:pt>
                <c:pt idx="61">
                  <c:v>20.895</c:v>
                </c:pt>
                <c:pt idx="62">
                  <c:v>21.09</c:v>
                </c:pt>
                <c:pt idx="63">
                  <c:v>21.285</c:v>
                </c:pt>
                <c:pt idx="64">
                  <c:v>21.48</c:v>
                </c:pt>
                <c:pt idx="65">
                  <c:v>21.675000000000001</c:v>
                </c:pt>
                <c:pt idx="66">
                  <c:v>21.87</c:v>
                </c:pt>
                <c:pt idx="67">
                  <c:v>22.065000000000001</c:v>
                </c:pt>
                <c:pt idx="68">
                  <c:v>22.26</c:v>
                </c:pt>
                <c:pt idx="69">
                  <c:v>22.454999999999998</c:v>
                </c:pt>
                <c:pt idx="70">
                  <c:v>22.65</c:v>
                </c:pt>
                <c:pt idx="71">
                  <c:v>22.844999999999999</c:v>
                </c:pt>
                <c:pt idx="72">
                  <c:v>23.04</c:v>
                </c:pt>
                <c:pt idx="73">
                  <c:v>23.234999999999999</c:v>
                </c:pt>
                <c:pt idx="74">
                  <c:v>23.43</c:v>
                </c:pt>
                <c:pt idx="75">
                  <c:v>23.625</c:v>
                </c:pt>
                <c:pt idx="76">
                  <c:v>23.82</c:v>
                </c:pt>
                <c:pt idx="77">
                  <c:v>24.015000000000001</c:v>
                </c:pt>
                <c:pt idx="78">
                  <c:v>24.21</c:v>
                </c:pt>
                <c:pt idx="79">
                  <c:v>24.405000000000001</c:v>
                </c:pt>
                <c:pt idx="80">
                  <c:v>24.6</c:v>
                </c:pt>
                <c:pt idx="81">
                  <c:v>24.795000000000002</c:v>
                </c:pt>
                <c:pt idx="82">
                  <c:v>24.99</c:v>
                </c:pt>
                <c:pt idx="83">
                  <c:v>25.184999999999999</c:v>
                </c:pt>
                <c:pt idx="84">
                  <c:v>25.38</c:v>
                </c:pt>
                <c:pt idx="85">
                  <c:v>25.574999999999999</c:v>
                </c:pt>
                <c:pt idx="86">
                  <c:v>25.77</c:v>
                </c:pt>
                <c:pt idx="87">
                  <c:v>25.965</c:v>
                </c:pt>
                <c:pt idx="88">
                  <c:v>26.16</c:v>
                </c:pt>
                <c:pt idx="89">
                  <c:v>26.355</c:v>
                </c:pt>
                <c:pt idx="90">
                  <c:v>26.55</c:v>
                </c:pt>
                <c:pt idx="91">
                  <c:v>26.745000000000001</c:v>
                </c:pt>
                <c:pt idx="92">
                  <c:v>26.94</c:v>
                </c:pt>
                <c:pt idx="93">
                  <c:v>27.135000000000002</c:v>
                </c:pt>
                <c:pt idx="94">
                  <c:v>27.33</c:v>
                </c:pt>
                <c:pt idx="95">
                  <c:v>27.524999999999999</c:v>
                </c:pt>
                <c:pt idx="96">
                  <c:v>27.72</c:v>
                </c:pt>
                <c:pt idx="97">
                  <c:v>27.914999999999999</c:v>
                </c:pt>
                <c:pt idx="98">
                  <c:v>28.11</c:v>
                </c:pt>
                <c:pt idx="99">
                  <c:v>28.305</c:v>
                </c:pt>
                <c:pt idx="100">
                  <c:v>28.5</c:v>
                </c:pt>
                <c:pt idx="101">
                  <c:v>28.695</c:v>
                </c:pt>
                <c:pt idx="102">
                  <c:v>28.89</c:v>
                </c:pt>
                <c:pt idx="103">
                  <c:v>29.085000000000001</c:v>
                </c:pt>
                <c:pt idx="104">
                  <c:v>29.28</c:v>
                </c:pt>
                <c:pt idx="105">
                  <c:v>29.475000000000001</c:v>
                </c:pt>
                <c:pt idx="106">
                  <c:v>29.67</c:v>
                </c:pt>
                <c:pt idx="107">
                  <c:v>29.865000000000002</c:v>
                </c:pt>
                <c:pt idx="108">
                  <c:v>30.060000000000002</c:v>
                </c:pt>
                <c:pt idx="109">
                  <c:v>30.255000000000003</c:v>
                </c:pt>
                <c:pt idx="110">
                  <c:v>30.450000000000003</c:v>
                </c:pt>
                <c:pt idx="111">
                  <c:v>30.645000000000003</c:v>
                </c:pt>
                <c:pt idx="112">
                  <c:v>30.840000000000003</c:v>
                </c:pt>
                <c:pt idx="113">
                  <c:v>31.034999999999997</c:v>
                </c:pt>
                <c:pt idx="114">
                  <c:v>31.229999999999997</c:v>
                </c:pt>
                <c:pt idx="115">
                  <c:v>31.424999999999997</c:v>
                </c:pt>
                <c:pt idx="116">
                  <c:v>31.619999999999997</c:v>
                </c:pt>
                <c:pt idx="117">
                  <c:v>31.814999999999998</c:v>
                </c:pt>
                <c:pt idx="118">
                  <c:v>32.01</c:v>
                </c:pt>
                <c:pt idx="119">
                  <c:v>32.204999999999998</c:v>
                </c:pt>
                <c:pt idx="120">
                  <c:v>32.4</c:v>
                </c:pt>
                <c:pt idx="121">
                  <c:v>32.594999999999999</c:v>
                </c:pt>
                <c:pt idx="122">
                  <c:v>32.79</c:v>
                </c:pt>
                <c:pt idx="123">
                  <c:v>32.984999999999999</c:v>
                </c:pt>
                <c:pt idx="124">
                  <c:v>33.18</c:v>
                </c:pt>
                <c:pt idx="125">
                  <c:v>33.375</c:v>
                </c:pt>
                <c:pt idx="126">
                  <c:v>33.57</c:v>
                </c:pt>
                <c:pt idx="127">
                  <c:v>33.765000000000001</c:v>
                </c:pt>
                <c:pt idx="128">
                  <c:v>33.96</c:v>
                </c:pt>
                <c:pt idx="129">
                  <c:v>34.155000000000001</c:v>
                </c:pt>
                <c:pt idx="130">
                  <c:v>34.35</c:v>
                </c:pt>
                <c:pt idx="131">
                  <c:v>34.545000000000002</c:v>
                </c:pt>
                <c:pt idx="132">
                  <c:v>34.74</c:v>
                </c:pt>
                <c:pt idx="133">
                  <c:v>34.935000000000002</c:v>
                </c:pt>
                <c:pt idx="134">
                  <c:v>35.130000000000003</c:v>
                </c:pt>
                <c:pt idx="135">
                  <c:v>35.325000000000003</c:v>
                </c:pt>
                <c:pt idx="136">
                  <c:v>35.520000000000003</c:v>
                </c:pt>
                <c:pt idx="137">
                  <c:v>35.715000000000003</c:v>
                </c:pt>
                <c:pt idx="138">
                  <c:v>35.909999999999997</c:v>
                </c:pt>
                <c:pt idx="139">
                  <c:v>36.104999999999997</c:v>
                </c:pt>
                <c:pt idx="140">
                  <c:v>36.299999999999997</c:v>
                </c:pt>
                <c:pt idx="141">
                  <c:v>36.494999999999997</c:v>
                </c:pt>
                <c:pt idx="142">
                  <c:v>36.69</c:v>
                </c:pt>
                <c:pt idx="143">
                  <c:v>36.884999999999998</c:v>
                </c:pt>
                <c:pt idx="144">
                  <c:v>37.08</c:v>
                </c:pt>
                <c:pt idx="145">
                  <c:v>37.274999999999999</c:v>
                </c:pt>
                <c:pt idx="146">
                  <c:v>37.47</c:v>
                </c:pt>
                <c:pt idx="147">
                  <c:v>37.664999999999999</c:v>
                </c:pt>
                <c:pt idx="148">
                  <c:v>37.86</c:v>
                </c:pt>
                <c:pt idx="149">
                  <c:v>38.055</c:v>
                </c:pt>
                <c:pt idx="150">
                  <c:v>38.25</c:v>
                </c:pt>
                <c:pt idx="151">
                  <c:v>38.445</c:v>
                </c:pt>
                <c:pt idx="152">
                  <c:v>38.64</c:v>
                </c:pt>
                <c:pt idx="153">
                  <c:v>38.835000000000001</c:v>
                </c:pt>
                <c:pt idx="154">
                  <c:v>39.03</c:v>
                </c:pt>
                <c:pt idx="155">
                  <c:v>39.225000000000001</c:v>
                </c:pt>
                <c:pt idx="156">
                  <c:v>39.42</c:v>
                </c:pt>
                <c:pt idx="157">
                  <c:v>39.615000000000002</c:v>
                </c:pt>
                <c:pt idx="158">
                  <c:v>39.81</c:v>
                </c:pt>
                <c:pt idx="159">
                  <c:v>40.005000000000003</c:v>
                </c:pt>
                <c:pt idx="160">
                  <c:v>40.200000000000003</c:v>
                </c:pt>
                <c:pt idx="161">
                  <c:v>40.395000000000003</c:v>
                </c:pt>
                <c:pt idx="162">
                  <c:v>40.590000000000003</c:v>
                </c:pt>
                <c:pt idx="163">
                  <c:v>40.784999999999997</c:v>
                </c:pt>
                <c:pt idx="164">
                  <c:v>40.98</c:v>
                </c:pt>
                <c:pt idx="165">
                  <c:v>41.174999999999997</c:v>
                </c:pt>
                <c:pt idx="166">
                  <c:v>41.37</c:v>
                </c:pt>
                <c:pt idx="167">
                  <c:v>41.564999999999998</c:v>
                </c:pt>
                <c:pt idx="168">
                  <c:v>41.76</c:v>
                </c:pt>
                <c:pt idx="169">
                  <c:v>41.954999999999998</c:v>
                </c:pt>
                <c:pt idx="170">
                  <c:v>42.15</c:v>
                </c:pt>
                <c:pt idx="171">
                  <c:v>42.344999999999999</c:v>
                </c:pt>
                <c:pt idx="172">
                  <c:v>42.54</c:v>
                </c:pt>
                <c:pt idx="173">
                  <c:v>42.734999999999999</c:v>
                </c:pt>
                <c:pt idx="174">
                  <c:v>42.93</c:v>
                </c:pt>
                <c:pt idx="175">
                  <c:v>43.125</c:v>
                </c:pt>
                <c:pt idx="176">
                  <c:v>43.32</c:v>
                </c:pt>
                <c:pt idx="177">
                  <c:v>43.515000000000001</c:v>
                </c:pt>
                <c:pt idx="178">
                  <c:v>43.71</c:v>
                </c:pt>
                <c:pt idx="179">
                  <c:v>43.905000000000001</c:v>
                </c:pt>
                <c:pt idx="180">
                  <c:v>44.1</c:v>
                </c:pt>
                <c:pt idx="181">
                  <c:v>44.295000000000002</c:v>
                </c:pt>
                <c:pt idx="182">
                  <c:v>44.49</c:v>
                </c:pt>
                <c:pt idx="183">
                  <c:v>44.685000000000002</c:v>
                </c:pt>
                <c:pt idx="184">
                  <c:v>44.88</c:v>
                </c:pt>
                <c:pt idx="185">
                  <c:v>45.075000000000003</c:v>
                </c:pt>
                <c:pt idx="186">
                  <c:v>45.27</c:v>
                </c:pt>
                <c:pt idx="187">
                  <c:v>45.465000000000003</c:v>
                </c:pt>
                <c:pt idx="188">
                  <c:v>45.66</c:v>
                </c:pt>
                <c:pt idx="189">
                  <c:v>45.854999999999997</c:v>
                </c:pt>
                <c:pt idx="190">
                  <c:v>46.05</c:v>
                </c:pt>
                <c:pt idx="191">
                  <c:v>46.244999999999997</c:v>
                </c:pt>
                <c:pt idx="192">
                  <c:v>46.44</c:v>
                </c:pt>
                <c:pt idx="193">
                  <c:v>46.634999999999998</c:v>
                </c:pt>
                <c:pt idx="194">
                  <c:v>46.83</c:v>
                </c:pt>
                <c:pt idx="195">
                  <c:v>47.024999999999999</c:v>
                </c:pt>
                <c:pt idx="196">
                  <c:v>47.22</c:v>
                </c:pt>
                <c:pt idx="197">
                  <c:v>47.414999999999999</c:v>
                </c:pt>
                <c:pt idx="198">
                  <c:v>47.61</c:v>
                </c:pt>
                <c:pt idx="199">
                  <c:v>47.805</c:v>
                </c:pt>
                <c:pt idx="200">
                  <c:v>48</c:v>
                </c:pt>
              </c:numCache>
            </c:numRef>
          </c:xVal>
          <c:yVal>
            <c:numRef>
              <c:f>'Efficiency vs VIN Calculations'!$O$9:$O$209</c:f>
              <c:numCache>
                <c:formatCode>0.000</c:formatCode>
                <c:ptCount val="201"/>
                <c:pt idx="0">
                  <c:v>0.30603078358208963</c:v>
                </c:pt>
                <c:pt idx="1">
                  <c:v>0.29048956146156663</c:v>
                </c:pt>
                <c:pt idx="2">
                  <c:v>0.27496117491955668</c:v>
                </c:pt>
                <c:pt idx="3">
                  <c:v>0.25944483507704424</c:v>
                </c:pt>
                <c:pt idx="4">
                  <c:v>0.24393981640356913</c:v>
                </c:pt>
                <c:pt idx="5">
                  <c:v>0.22844545048359968</c:v>
                </c:pt>
                <c:pt idx="6">
                  <c:v>0.21296112050478389</c:v>
                </c:pt>
                <c:pt idx="7">
                  <c:v>0.19748625637239042</c:v>
                </c:pt>
                <c:pt idx="8">
                  <c:v>0.18202033036848789</c:v>
                </c:pt>
                <c:pt idx="9">
                  <c:v>0.16656285328629356</c:v>
                </c:pt>
                <c:pt idx="10">
                  <c:v>0.15111337098009195</c:v>
                </c:pt>
                <c:pt idx="11">
                  <c:v>0.1356714612795247</c:v>
                </c:pt>
                <c:pt idx="12">
                  <c:v>0.12023673122412783</c:v>
                </c:pt>
                <c:pt idx="13">
                  <c:v>0.10480881458000296</c:v>
                </c:pt>
                <c:pt idx="14">
                  <c:v>8.9387369605601591E-2</c:v>
                </c:pt>
                <c:pt idx="15">
                  <c:v>0.10329589843750001</c:v>
                </c:pt>
                <c:pt idx="16">
                  <c:v>8.8632812499999936E-2</c:v>
                </c:pt>
                <c:pt idx="17">
                  <c:v>7.3969726562500004E-2</c:v>
                </c:pt>
                <c:pt idx="18">
                  <c:v>5.9306640625000073E-2</c:v>
                </c:pt>
                <c:pt idx="19">
                  <c:v>4.4643554687500003E-2</c:v>
                </c:pt>
                <c:pt idx="20">
                  <c:v>3.7499999999999999E-2</c:v>
                </c:pt>
                <c:pt idx="21">
                  <c:v>3.7499999999999999E-2</c:v>
                </c:pt>
                <c:pt idx="22">
                  <c:v>3.7499999999999999E-2</c:v>
                </c:pt>
                <c:pt idx="23">
                  <c:v>3.7499999999999999E-2</c:v>
                </c:pt>
                <c:pt idx="24">
                  <c:v>3.7499999999999999E-2</c:v>
                </c:pt>
                <c:pt idx="25">
                  <c:v>3.7499999999999999E-2</c:v>
                </c:pt>
                <c:pt idx="26">
                  <c:v>3.7499999999999999E-2</c:v>
                </c:pt>
                <c:pt idx="27">
                  <c:v>3.7499999999999999E-2</c:v>
                </c:pt>
                <c:pt idx="28">
                  <c:v>3.7499999999999999E-2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E6-4E5B-818B-D49CF4A69A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867520"/>
        <c:axId val="41873792"/>
      </c:scatterChart>
      <c:scatterChart>
        <c:scatterStyle val="lineMarker"/>
        <c:varyColors val="0"/>
        <c:ser>
          <c:idx val="0"/>
          <c:order val="0"/>
          <c:tx>
            <c:v>Buck D</c:v>
          </c:tx>
          <c:spPr>
            <a:ln w="31750">
              <a:solidFill>
                <a:srgbClr val="0000FF"/>
              </a:solidFill>
              <a:prstDash val="sysDash"/>
            </a:ln>
          </c:spPr>
          <c:marker>
            <c:symbol val="none"/>
          </c:marker>
          <c:xVal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9.1950000000000003</c:v>
                </c:pt>
                <c:pt idx="2">
                  <c:v>9.39</c:v>
                </c:pt>
                <c:pt idx="3">
                  <c:v>9.5850000000000009</c:v>
                </c:pt>
                <c:pt idx="4">
                  <c:v>9.7799999999999994</c:v>
                </c:pt>
                <c:pt idx="5">
                  <c:v>9.9749999999999996</c:v>
                </c:pt>
                <c:pt idx="6">
                  <c:v>10.17</c:v>
                </c:pt>
                <c:pt idx="7">
                  <c:v>10.365</c:v>
                </c:pt>
                <c:pt idx="8">
                  <c:v>10.56</c:v>
                </c:pt>
                <c:pt idx="9">
                  <c:v>10.754999999999999</c:v>
                </c:pt>
                <c:pt idx="10">
                  <c:v>10.95</c:v>
                </c:pt>
                <c:pt idx="11">
                  <c:v>11.145</c:v>
                </c:pt>
                <c:pt idx="12">
                  <c:v>11.34</c:v>
                </c:pt>
                <c:pt idx="13">
                  <c:v>11.535</c:v>
                </c:pt>
                <c:pt idx="14">
                  <c:v>11.73</c:v>
                </c:pt>
                <c:pt idx="15">
                  <c:v>11.925000000000001</c:v>
                </c:pt>
                <c:pt idx="16">
                  <c:v>12.120000000000001</c:v>
                </c:pt>
                <c:pt idx="17">
                  <c:v>12.315000000000001</c:v>
                </c:pt>
                <c:pt idx="18">
                  <c:v>12.51</c:v>
                </c:pt>
                <c:pt idx="19">
                  <c:v>12.705</c:v>
                </c:pt>
                <c:pt idx="20">
                  <c:v>12.9</c:v>
                </c:pt>
                <c:pt idx="21">
                  <c:v>13.094999999999999</c:v>
                </c:pt>
                <c:pt idx="22">
                  <c:v>13.29</c:v>
                </c:pt>
                <c:pt idx="23">
                  <c:v>13.484999999999999</c:v>
                </c:pt>
                <c:pt idx="24">
                  <c:v>13.68</c:v>
                </c:pt>
                <c:pt idx="25">
                  <c:v>13.875</c:v>
                </c:pt>
                <c:pt idx="26">
                  <c:v>14.07</c:v>
                </c:pt>
                <c:pt idx="27">
                  <c:v>14.265000000000001</c:v>
                </c:pt>
                <c:pt idx="28">
                  <c:v>14.46</c:v>
                </c:pt>
                <c:pt idx="29">
                  <c:v>14.654999999999999</c:v>
                </c:pt>
                <c:pt idx="30">
                  <c:v>14.85</c:v>
                </c:pt>
                <c:pt idx="31">
                  <c:v>15.045</c:v>
                </c:pt>
                <c:pt idx="32">
                  <c:v>15.24</c:v>
                </c:pt>
                <c:pt idx="33">
                  <c:v>15.435</c:v>
                </c:pt>
                <c:pt idx="34">
                  <c:v>15.63</c:v>
                </c:pt>
                <c:pt idx="35">
                  <c:v>15.824999999999999</c:v>
                </c:pt>
                <c:pt idx="36">
                  <c:v>16.02</c:v>
                </c:pt>
                <c:pt idx="37">
                  <c:v>16.215</c:v>
                </c:pt>
                <c:pt idx="38">
                  <c:v>16.41</c:v>
                </c:pt>
                <c:pt idx="39">
                  <c:v>16.605</c:v>
                </c:pt>
                <c:pt idx="40">
                  <c:v>16.8</c:v>
                </c:pt>
                <c:pt idx="41">
                  <c:v>16.994999999999997</c:v>
                </c:pt>
                <c:pt idx="42">
                  <c:v>17.189999999999998</c:v>
                </c:pt>
                <c:pt idx="43">
                  <c:v>17.384999999999998</c:v>
                </c:pt>
                <c:pt idx="44">
                  <c:v>17.579999999999998</c:v>
                </c:pt>
                <c:pt idx="45">
                  <c:v>17.774999999999999</c:v>
                </c:pt>
                <c:pt idx="46">
                  <c:v>17.97</c:v>
                </c:pt>
                <c:pt idx="47">
                  <c:v>18.164999999999999</c:v>
                </c:pt>
                <c:pt idx="48">
                  <c:v>18.36</c:v>
                </c:pt>
                <c:pt idx="49">
                  <c:v>18.555</c:v>
                </c:pt>
                <c:pt idx="50">
                  <c:v>18.75</c:v>
                </c:pt>
                <c:pt idx="51">
                  <c:v>18.945</c:v>
                </c:pt>
                <c:pt idx="52">
                  <c:v>19.14</c:v>
                </c:pt>
                <c:pt idx="53">
                  <c:v>19.335000000000001</c:v>
                </c:pt>
                <c:pt idx="54">
                  <c:v>19.53</c:v>
                </c:pt>
                <c:pt idx="55">
                  <c:v>19.725000000000001</c:v>
                </c:pt>
                <c:pt idx="56">
                  <c:v>19.920000000000002</c:v>
                </c:pt>
                <c:pt idx="57">
                  <c:v>20.114999999999998</c:v>
                </c:pt>
                <c:pt idx="58">
                  <c:v>20.309999999999999</c:v>
                </c:pt>
                <c:pt idx="59">
                  <c:v>20.504999999999999</c:v>
                </c:pt>
                <c:pt idx="60">
                  <c:v>20.7</c:v>
                </c:pt>
                <c:pt idx="61">
                  <c:v>20.895</c:v>
                </c:pt>
                <c:pt idx="62">
                  <c:v>21.09</c:v>
                </c:pt>
                <c:pt idx="63">
                  <c:v>21.285</c:v>
                </c:pt>
                <c:pt idx="64">
                  <c:v>21.48</c:v>
                </c:pt>
                <c:pt idx="65">
                  <c:v>21.675000000000001</c:v>
                </c:pt>
                <c:pt idx="66">
                  <c:v>21.87</c:v>
                </c:pt>
                <c:pt idx="67">
                  <c:v>22.065000000000001</c:v>
                </c:pt>
                <c:pt idx="68">
                  <c:v>22.26</c:v>
                </c:pt>
                <c:pt idx="69">
                  <c:v>22.454999999999998</c:v>
                </c:pt>
                <c:pt idx="70">
                  <c:v>22.65</c:v>
                </c:pt>
                <c:pt idx="71">
                  <c:v>22.844999999999999</c:v>
                </c:pt>
                <c:pt idx="72">
                  <c:v>23.04</c:v>
                </c:pt>
                <c:pt idx="73">
                  <c:v>23.234999999999999</c:v>
                </c:pt>
                <c:pt idx="74">
                  <c:v>23.43</c:v>
                </c:pt>
                <c:pt idx="75">
                  <c:v>23.625</c:v>
                </c:pt>
                <c:pt idx="76">
                  <c:v>23.82</c:v>
                </c:pt>
                <c:pt idx="77">
                  <c:v>24.015000000000001</c:v>
                </c:pt>
                <c:pt idx="78">
                  <c:v>24.21</c:v>
                </c:pt>
                <c:pt idx="79">
                  <c:v>24.405000000000001</c:v>
                </c:pt>
                <c:pt idx="80">
                  <c:v>24.6</c:v>
                </c:pt>
                <c:pt idx="81">
                  <c:v>24.795000000000002</c:v>
                </c:pt>
                <c:pt idx="82">
                  <c:v>24.99</c:v>
                </c:pt>
                <c:pt idx="83">
                  <c:v>25.184999999999999</c:v>
                </c:pt>
                <c:pt idx="84">
                  <c:v>25.38</c:v>
                </c:pt>
                <c:pt idx="85">
                  <c:v>25.574999999999999</c:v>
                </c:pt>
                <c:pt idx="86">
                  <c:v>25.77</c:v>
                </c:pt>
                <c:pt idx="87">
                  <c:v>25.965</c:v>
                </c:pt>
                <c:pt idx="88">
                  <c:v>26.16</c:v>
                </c:pt>
                <c:pt idx="89">
                  <c:v>26.355</c:v>
                </c:pt>
                <c:pt idx="90">
                  <c:v>26.55</c:v>
                </c:pt>
                <c:pt idx="91">
                  <c:v>26.745000000000001</c:v>
                </c:pt>
                <c:pt idx="92">
                  <c:v>26.94</c:v>
                </c:pt>
                <c:pt idx="93">
                  <c:v>27.135000000000002</c:v>
                </c:pt>
                <c:pt idx="94">
                  <c:v>27.33</c:v>
                </c:pt>
                <c:pt idx="95">
                  <c:v>27.524999999999999</c:v>
                </c:pt>
                <c:pt idx="96">
                  <c:v>27.72</c:v>
                </c:pt>
                <c:pt idx="97">
                  <c:v>27.914999999999999</c:v>
                </c:pt>
                <c:pt idx="98">
                  <c:v>28.11</c:v>
                </c:pt>
                <c:pt idx="99">
                  <c:v>28.305</c:v>
                </c:pt>
                <c:pt idx="100">
                  <c:v>28.5</c:v>
                </c:pt>
                <c:pt idx="101">
                  <c:v>28.695</c:v>
                </c:pt>
                <c:pt idx="102">
                  <c:v>28.89</c:v>
                </c:pt>
                <c:pt idx="103">
                  <c:v>29.085000000000001</c:v>
                </c:pt>
                <c:pt idx="104">
                  <c:v>29.28</c:v>
                </c:pt>
                <c:pt idx="105">
                  <c:v>29.475000000000001</c:v>
                </c:pt>
                <c:pt idx="106">
                  <c:v>29.67</c:v>
                </c:pt>
                <c:pt idx="107">
                  <c:v>29.865000000000002</c:v>
                </c:pt>
                <c:pt idx="108">
                  <c:v>30.060000000000002</c:v>
                </c:pt>
                <c:pt idx="109">
                  <c:v>30.255000000000003</c:v>
                </c:pt>
                <c:pt idx="110">
                  <c:v>30.450000000000003</c:v>
                </c:pt>
                <c:pt idx="111">
                  <c:v>30.645000000000003</c:v>
                </c:pt>
                <c:pt idx="112">
                  <c:v>30.840000000000003</c:v>
                </c:pt>
                <c:pt idx="113">
                  <c:v>31.034999999999997</c:v>
                </c:pt>
                <c:pt idx="114">
                  <c:v>31.229999999999997</c:v>
                </c:pt>
                <c:pt idx="115">
                  <c:v>31.424999999999997</c:v>
                </c:pt>
                <c:pt idx="116">
                  <c:v>31.619999999999997</c:v>
                </c:pt>
                <c:pt idx="117">
                  <c:v>31.814999999999998</c:v>
                </c:pt>
                <c:pt idx="118">
                  <c:v>32.01</c:v>
                </c:pt>
                <c:pt idx="119">
                  <c:v>32.204999999999998</c:v>
                </c:pt>
                <c:pt idx="120">
                  <c:v>32.4</c:v>
                </c:pt>
                <c:pt idx="121">
                  <c:v>32.594999999999999</c:v>
                </c:pt>
                <c:pt idx="122">
                  <c:v>32.79</c:v>
                </c:pt>
                <c:pt idx="123">
                  <c:v>32.984999999999999</c:v>
                </c:pt>
                <c:pt idx="124">
                  <c:v>33.18</c:v>
                </c:pt>
                <c:pt idx="125">
                  <c:v>33.375</c:v>
                </c:pt>
                <c:pt idx="126">
                  <c:v>33.57</c:v>
                </c:pt>
                <c:pt idx="127">
                  <c:v>33.765000000000001</c:v>
                </c:pt>
                <c:pt idx="128">
                  <c:v>33.96</c:v>
                </c:pt>
                <c:pt idx="129">
                  <c:v>34.155000000000001</c:v>
                </c:pt>
                <c:pt idx="130">
                  <c:v>34.35</c:v>
                </c:pt>
                <c:pt idx="131">
                  <c:v>34.545000000000002</c:v>
                </c:pt>
                <c:pt idx="132">
                  <c:v>34.74</c:v>
                </c:pt>
                <c:pt idx="133">
                  <c:v>34.935000000000002</c:v>
                </c:pt>
                <c:pt idx="134">
                  <c:v>35.130000000000003</c:v>
                </c:pt>
                <c:pt idx="135">
                  <c:v>35.325000000000003</c:v>
                </c:pt>
                <c:pt idx="136">
                  <c:v>35.520000000000003</c:v>
                </c:pt>
                <c:pt idx="137">
                  <c:v>35.715000000000003</c:v>
                </c:pt>
                <c:pt idx="138">
                  <c:v>35.909999999999997</c:v>
                </c:pt>
                <c:pt idx="139">
                  <c:v>36.104999999999997</c:v>
                </c:pt>
                <c:pt idx="140">
                  <c:v>36.299999999999997</c:v>
                </c:pt>
                <c:pt idx="141">
                  <c:v>36.494999999999997</c:v>
                </c:pt>
                <c:pt idx="142">
                  <c:v>36.69</c:v>
                </c:pt>
                <c:pt idx="143">
                  <c:v>36.884999999999998</c:v>
                </c:pt>
                <c:pt idx="144">
                  <c:v>37.08</c:v>
                </c:pt>
                <c:pt idx="145">
                  <c:v>37.274999999999999</c:v>
                </c:pt>
                <c:pt idx="146">
                  <c:v>37.47</c:v>
                </c:pt>
                <c:pt idx="147">
                  <c:v>37.664999999999999</c:v>
                </c:pt>
                <c:pt idx="148">
                  <c:v>37.86</c:v>
                </c:pt>
                <c:pt idx="149">
                  <c:v>38.055</c:v>
                </c:pt>
                <c:pt idx="150">
                  <c:v>38.25</c:v>
                </c:pt>
                <c:pt idx="151">
                  <c:v>38.445</c:v>
                </c:pt>
                <c:pt idx="152">
                  <c:v>38.64</c:v>
                </c:pt>
                <c:pt idx="153">
                  <c:v>38.835000000000001</c:v>
                </c:pt>
                <c:pt idx="154">
                  <c:v>39.03</c:v>
                </c:pt>
                <c:pt idx="155">
                  <c:v>39.225000000000001</c:v>
                </c:pt>
                <c:pt idx="156">
                  <c:v>39.42</c:v>
                </c:pt>
                <c:pt idx="157">
                  <c:v>39.615000000000002</c:v>
                </c:pt>
                <c:pt idx="158">
                  <c:v>39.81</c:v>
                </c:pt>
                <c:pt idx="159">
                  <c:v>40.005000000000003</c:v>
                </c:pt>
                <c:pt idx="160">
                  <c:v>40.200000000000003</c:v>
                </c:pt>
                <c:pt idx="161">
                  <c:v>40.395000000000003</c:v>
                </c:pt>
                <c:pt idx="162">
                  <c:v>40.590000000000003</c:v>
                </c:pt>
                <c:pt idx="163">
                  <c:v>40.784999999999997</c:v>
                </c:pt>
                <c:pt idx="164">
                  <c:v>40.98</c:v>
                </c:pt>
                <c:pt idx="165">
                  <c:v>41.174999999999997</c:v>
                </c:pt>
                <c:pt idx="166">
                  <c:v>41.37</c:v>
                </c:pt>
                <c:pt idx="167">
                  <c:v>41.564999999999998</c:v>
                </c:pt>
                <c:pt idx="168">
                  <c:v>41.76</c:v>
                </c:pt>
                <c:pt idx="169">
                  <c:v>41.954999999999998</c:v>
                </c:pt>
                <c:pt idx="170">
                  <c:v>42.15</c:v>
                </c:pt>
                <c:pt idx="171">
                  <c:v>42.344999999999999</c:v>
                </c:pt>
                <c:pt idx="172">
                  <c:v>42.54</c:v>
                </c:pt>
                <c:pt idx="173">
                  <c:v>42.734999999999999</c:v>
                </c:pt>
                <c:pt idx="174">
                  <c:v>42.93</c:v>
                </c:pt>
                <c:pt idx="175">
                  <c:v>43.125</c:v>
                </c:pt>
                <c:pt idx="176">
                  <c:v>43.32</c:v>
                </c:pt>
                <c:pt idx="177">
                  <c:v>43.515000000000001</c:v>
                </c:pt>
                <c:pt idx="178">
                  <c:v>43.71</c:v>
                </c:pt>
                <c:pt idx="179">
                  <c:v>43.905000000000001</c:v>
                </c:pt>
                <c:pt idx="180">
                  <c:v>44.1</c:v>
                </c:pt>
                <c:pt idx="181">
                  <c:v>44.295000000000002</c:v>
                </c:pt>
                <c:pt idx="182">
                  <c:v>44.49</c:v>
                </c:pt>
                <c:pt idx="183">
                  <c:v>44.685000000000002</c:v>
                </c:pt>
                <c:pt idx="184">
                  <c:v>44.88</c:v>
                </c:pt>
                <c:pt idx="185">
                  <c:v>45.075000000000003</c:v>
                </c:pt>
                <c:pt idx="186">
                  <c:v>45.27</c:v>
                </c:pt>
                <c:pt idx="187">
                  <c:v>45.465000000000003</c:v>
                </c:pt>
                <c:pt idx="188">
                  <c:v>45.66</c:v>
                </c:pt>
                <c:pt idx="189">
                  <c:v>45.854999999999997</c:v>
                </c:pt>
                <c:pt idx="190">
                  <c:v>46.05</c:v>
                </c:pt>
                <c:pt idx="191">
                  <c:v>46.244999999999997</c:v>
                </c:pt>
                <c:pt idx="192">
                  <c:v>46.44</c:v>
                </c:pt>
                <c:pt idx="193">
                  <c:v>46.634999999999998</c:v>
                </c:pt>
                <c:pt idx="194">
                  <c:v>46.83</c:v>
                </c:pt>
                <c:pt idx="195">
                  <c:v>47.024999999999999</c:v>
                </c:pt>
                <c:pt idx="196">
                  <c:v>47.22</c:v>
                </c:pt>
                <c:pt idx="197">
                  <c:v>47.414999999999999</c:v>
                </c:pt>
                <c:pt idx="198">
                  <c:v>47.61</c:v>
                </c:pt>
                <c:pt idx="199">
                  <c:v>47.805</c:v>
                </c:pt>
                <c:pt idx="200">
                  <c:v>48</c:v>
                </c:pt>
              </c:numCache>
            </c:numRef>
          </c:xVal>
          <c:yVal>
            <c:numRef>
              <c:f>'Efficiency vs VIN Calculations'!$N$9:$N$209</c:f>
              <c:numCache>
                <c:formatCode>0.000</c:formatCode>
                <c:ptCount val="20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0.96250000000000002</c:v>
                </c:pt>
                <c:pt idx="16">
                  <c:v>0.96250000000000002</c:v>
                </c:pt>
                <c:pt idx="17">
                  <c:v>0.96250000000000002</c:v>
                </c:pt>
                <c:pt idx="18">
                  <c:v>0.96250000000000002</c:v>
                </c:pt>
                <c:pt idx="19">
                  <c:v>0.96250000000000002</c:v>
                </c:pt>
                <c:pt idx="20">
                  <c:v>0.95503875968992247</c:v>
                </c:pt>
                <c:pt idx="21">
                  <c:v>0.94081710576555955</c:v>
                </c:pt>
                <c:pt idx="22">
                  <c:v>0.92701279157261107</c:v>
                </c:pt>
                <c:pt idx="23">
                  <c:v>0.91360771227289594</c:v>
                </c:pt>
                <c:pt idx="24">
                  <c:v>0.90058479532163749</c:v>
                </c:pt>
                <c:pt idx="25">
                  <c:v>0.88792792792792796</c:v>
                </c:pt>
                <c:pt idx="26">
                  <c:v>0.87562189054726369</c:v>
                </c:pt>
                <c:pt idx="27">
                  <c:v>0.86365229582895198</c:v>
                </c:pt>
                <c:pt idx="28">
                  <c:v>0.85200553250345779</c:v>
                </c:pt>
                <c:pt idx="29">
                  <c:v>0.87963302752293593</c:v>
                </c:pt>
                <c:pt idx="30">
                  <c:v>0.868128772635815</c:v>
                </c:pt>
                <c:pt idx="31">
                  <c:v>0.85692154915590868</c:v>
                </c:pt>
                <c:pt idx="32">
                  <c:v>0.84600000000000009</c:v>
                </c:pt>
                <c:pt idx="33">
                  <c:v>0.83535333978702808</c:v>
                </c:pt>
                <c:pt idx="34">
                  <c:v>0.82497131931166345</c:v>
                </c:pt>
                <c:pt idx="35">
                  <c:v>0.81484419263456098</c:v>
                </c:pt>
                <c:pt idx="36">
                  <c:v>0.8049626865671643</c:v>
                </c:pt>
                <c:pt idx="37">
                  <c:v>0.79531797235023061</c:v>
                </c:pt>
                <c:pt idx="38">
                  <c:v>0.78590163934426238</c:v>
                </c:pt>
                <c:pt idx="39">
                  <c:v>0.77670567056705686</c:v>
                </c:pt>
                <c:pt idx="40">
                  <c:v>0.76772241992882573</c:v>
                </c:pt>
                <c:pt idx="41">
                  <c:v>0.75894459102902401</c:v>
                </c:pt>
                <c:pt idx="42">
                  <c:v>0.75036521739130457</c:v>
                </c:pt>
                <c:pt idx="43">
                  <c:v>0.74197764402407584</c:v>
                </c:pt>
                <c:pt idx="44">
                  <c:v>0.73377551020408183</c:v>
                </c:pt>
                <c:pt idx="45">
                  <c:v>0.72575273338940305</c:v>
                </c:pt>
                <c:pt idx="46">
                  <c:v>0.71790349417637289</c:v>
                </c:pt>
                <c:pt idx="47">
                  <c:v>0.71022222222222242</c:v>
                </c:pt>
                <c:pt idx="48">
                  <c:v>0.7027035830618894</c:v>
                </c:pt>
                <c:pt idx="49">
                  <c:v>0.69534246575342473</c:v>
                </c:pt>
                <c:pt idx="50">
                  <c:v>0.68813397129186615</c:v>
                </c:pt>
                <c:pt idx="51">
                  <c:v>0.68107340173638531</c:v>
                </c:pt>
                <c:pt idx="52">
                  <c:v>0.67415625000000012</c:v>
                </c:pt>
                <c:pt idx="53">
                  <c:v>0.66737819025522049</c:v>
                </c:pt>
                <c:pt idx="54">
                  <c:v>0.66073506891271061</c:v>
                </c:pt>
                <c:pt idx="55">
                  <c:v>0.65422289613343443</c:v>
                </c:pt>
                <c:pt idx="56">
                  <c:v>0.64783783783783788</c:v>
                </c:pt>
                <c:pt idx="57">
                  <c:v>0.64157620817843886</c:v>
                </c:pt>
                <c:pt idx="58">
                  <c:v>0.63543446244477186</c:v>
                </c:pt>
                <c:pt idx="59">
                  <c:v>0.62940919037199139</c:v>
                </c:pt>
                <c:pt idx="60">
                  <c:v>0.62349710982658968</c:v>
                </c:pt>
                <c:pt idx="61">
                  <c:v>0.6176950608446673</c:v>
                </c:pt>
                <c:pt idx="62">
                  <c:v>0.6120000000000001</c:v>
                </c:pt>
                <c:pt idx="63">
                  <c:v>0.60640899508081525</c:v>
                </c:pt>
                <c:pt idx="64">
                  <c:v>0.60091922005571041</c:v>
                </c:pt>
                <c:pt idx="65">
                  <c:v>0.59552795031055905</c:v>
                </c:pt>
                <c:pt idx="66">
                  <c:v>0.5902325581395349</c:v>
                </c:pt>
                <c:pt idx="67">
                  <c:v>0.58503050847457638</c:v>
                </c:pt>
                <c:pt idx="68">
                  <c:v>0.57991935483870971</c:v>
                </c:pt>
                <c:pt idx="69">
                  <c:v>0.57489673550966036</c:v>
                </c:pt>
                <c:pt idx="70">
                  <c:v>0.56996036988110976</c:v>
                </c:pt>
                <c:pt idx="71">
                  <c:v>0.56510805500982331</c:v>
                </c:pt>
                <c:pt idx="72">
                  <c:v>0.56033766233766247</c:v>
                </c:pt>
                <c:pt idx="73">
                  <c:v>0.55564713457823578</c:v>
                </c:pt>
                <c:pt idx="74">
                  <c:v>0.55103448275862077</c:v>
                </c:pt>
                <c:pt idx="75">
                  <c:v>0.54649778340721988</c:v>
                </c:pt>
                <c:pt idx="76">
                  <c:v>0.54203517587939709</c:v>
                </c:pt>
                <c:pt idx="77">
                  <c:v>0.53764485981308419</c:v>
                </c:pt>
                <c:pt idx="78">
                  <c:v>0.53332509270704576</c:v>
                </c:pt>
                <c:pt idx="79">
                  <c:v>0.52907418761496017</c:v>
                </c:pt>
                <c:pt idx="80">
                  <c:v>0.52489051094890515</c:v>
                </c:pt>
                <c:pt idx="81">
                  <c:v>0.52077248038624024</c:v>
                </c:pt>
                <c:pt idx="82">
                  <c:v>0.51671856287425155</c:v>
                </c:pt>
                <c:pt idx="83">
                  <c:v>0.51272727272727281</c:v>
                </c:pt>
                <c:pt idx="84">
                  <c:v>0.50879716981132084</c:v>
                </c:pt>
                <c:pt idx="85">
                  <c:v>0.50492685781158586</c:v>
                </c:pt>
                <c:pt idx="86">
                  <c:v>0.50111498257839726</c:v>
                </c:pt>
                <c:pt idx="87">
                  <c:v>0.49736023054755052</c:v>
                </c:pt>
                <c:pt idx="88">
                  <c:v>0.49366132723112133</c:v>
                </c:pt>
                <c:pt idx="89">
                  <c:v>0.49001703577512784</c:v>
                </c:pt>
                <c:pt idx="90">
                  <c:v>0.48642615558060887</c:v>
                </c:pt>
                <c:pt idx="91">
                  <c:v>0.48288752098489091</c:v>
                </c:pt>
                <c:pt idx="92">
                  <c:v>0.47940000000000005</c:v>
                </c:pt>
                <c:pt idx="93">
                  <c:v>0.47596249310535027</c:v>
                </c:pt>
                <c:pt idx="94">
                  <c:v>0.47257393209200449</c:v>
                </c:pt>
                <c:pt idx="95">
                  <c:v>0.4692332789559544</c:v>
                </c:pt>
                <c:pt idx="96">
                  <c:v>0.46593952483801304</c:v>
                </c:pt>
                <c:pt idx="97">
                  <c:v>0.46269168900804297</c:v>
                </c:pt>
                <c:pt idx="98">
                  <c:v>0.45948881789137386</c:v>
                </c:pt>
                <c:pt idx="99">
                  <c:v>0.45632998413537817</c:v>
                </c:pt>
                <c:pt idx="100">
                  <c:v>0.45321428571428579</c:v>
                </c:pt>
                <c:pt idx="101">
                  <c:v>0.45014084507042262</c:v>
                </c:pt>
                <c:pt idx="102">
                  <c:v>0.44710880829015548</c:v>
                </c:pt>
                <c:pt idx="103">
                  <c:v>0.44411734431291822</c:v>
                </c:pt>
                <c:pt idx="104">
                  <c:v>0.44116564417177917</c:v>
                </c:pt>
                <c:pt idx="105">
                  <c:v>0.43825292026409352</c:v>
                </c:pt>
                <c:pt idx="106">
                  <c:v>0.43537840565085778</c:v>
                </c:pt>
                <c:pt idx="107">
                  <c:v>0.43254135338345867</c:v>
                </c:pt>
                <c:pt idx="108">
                  <c:v>0.42974103585657375</c:v>
                </c:pt>
                <c:pt idx="109">
                  <c:v>0.42697674418604653</c:v>
                </c:pt>
                <c:pt idx="110">
                  <c:v>0.42424778761061949</c:v>
                </c:pt>
                <c:pt idx="111">
                  <c:v>0.42155349291646316</c:v>
                </c:pt>
                <c:pt idx="112">
                  <c:v>0.41889320388349516</c:v>
                </c:pt>
                <c:pt idx="113">
                  <c:v>0.41626628075253269</c:v>
                </c:pt>
                <c:pt idx="114">
                  <c:v>0.41367209971236829</c:v>
                </c:pt>
                <c:pt idx="115">
                  <c:v>0.41111005240590764</c:v>
                </c:pt>
                <c:pt idx="116">
                  <c:v>0.40857954545454556</c:v>
                </c:pt>
                <c:pt idx="117">
                  <c:v>0.40608000000000011</c:v>
                </c:pt>
                <c:pt idx="118">
                  <c:v>0.4036108512628625</c:v>
                </c:pt>
                <c:pt idx="119">
                  <c:v>0.40117154811715483</c:v>
                </c:pt>
                <c:pt idx="120">
                  <c:v>0.39876155268022184</c:v>
                </c:pt>
                <c:pt idx="121">
                  <c:v>0.39638033991731741</c:v>
                </c:pt>
                <c:pt idx="122">
                  <c:v>0.39402739726027397</c:v>
                </c:pt>
                <c:pt idx="123">
                  <c:v>0.39170222423967321</c:v>
                </c:pt>
                <c:pt idx="124">
                  <c:v>0.38940433212996389</c:v>
                </c:pt>
                <c:pt idx="125">
                  <c:v>0.38713324360699869</c:v>
                </c:pt>
                <c:pt idx="126">
                  <c:v>0.38488849241748441</c:v>
                </c:pt>
                <c:pt idx="127">
                  <c:v>0.38266962305986696</c:v>
                </c:pt>
                <c:pt idx="128">
                  <c:v>0.38047619047619047</c:v>
                </c:pt>
                <c:pt idx="129">
                  <c:v>0.37830775975449366</c:v>
                </c:pt>
                <c:pt idx="130">
                  <c:v>0.3761639058413252</c:v>
                </c:pt>
                <c:pt idx="131">
                  <c:v>0.37404421326397919</c:v>
                </c:pt>
                <c:pt idx="132">
                  <c:v>0.37194827586206897</c:v>
                </c:pt>
                <c:pt idx="133">
                  <c:v>0.36987569652807545</c:v>
                </c:pt>
                <c:pt idx="134">
                  <c:v>0.36782608695652175</c:v>
                </c:pt>
                <c:pt idx="135">
                  <c:v>0.36579906740144125</c:v>
                </c:pt>
                <c:pt idx="136">
                  <c:v>0.36379426644182122</c:v>
                </c:pt>
                <c:pt idx="137">
                  <c:v>0.36181132075471695</c:v>
                </c:pt>
                <c:pt idx="138">
                  <c:v>0.35984987489574649</c:v>
                </c:pt>
                <c:pt idx="139">
                  <c:v>0.35790958108668608</c:v>
                </c:pt>
                <c:pt idx="140">
                  <c:v>0.35599009900990103</c:v>
                </c:pt>
                <c:pt idx="141">
                  <c:v>0.35409109560935581</c:v>
                </c:pt>
                <c:pt idx="142">
                  <c:v>0.35221224489795921</c:v>
                </c:pt>
                <c:pt idx="143">
                  <c:v>0.35035322777101102</c:v>
                </c:pt>
                <c:pt idx="144">
                  <c:v>0.34851373182552509</c:v>
                </c:pt>
                <c:pt idx="145">
                  <c:v>0.346693451185215</c:v>
                </c:pt>
                <c:pt idx="146">
                  <c:v>0.34489208633093527</c:v>
                </c:pt>
                <c:pt idx="147">
                  <c:v>0.34310934393638171</c:v>
                </c:pt>
                <c:pt idx="148">
                  <c:v>0.34134493670886079</c:v>
                </c:pt>
                <c:pt idx="149">
                  <c:v>0.3395985832349469</c:v>
                </c:pt>
                <c:pt idx="150">
                  <c:v>0.33787000783085358</c:v>
                </c:pt>
                <c:pt idx="151">
                  <c:v>0.336158940397351</c:v>
                </c:pt>
                <c:pt idx="152">
                  <c:v>0.33446511627906977</c:v>
                </c:pt>
                <c:pt idx="153">
                  <c:v>0.33278827612803702</c:v>
                </c:pt>
                <c:pt idx="154">
                  <c:v>0.331128165771297</c:v>
                </c:pt>
                <c:pt idx="155">
                  <c:v>0.32948453608247424</c:v>
                </c:pt>
                <c:pt idx="156">
                  <c:v>0.32785714285714285</c:v>
                </c:pt>
                <c:pt idx="157">
                  <c:v>0.32624574669187145</c:v>
                </c:pt>
                <c:pt idx="158">
                  <c:v>0.32465011286681716</c:v>
                </c:pt>
                <c:pt idx="159">
                  <c:v>0.32307001123174839</c:v>
                </c:pt>
                <c:pt idx="160">
                  <c:v>0.32150521609538002</c:v>
                </c:pt>
                <c:pt idx="161">
                  <c:v>0.31995550611790879</c:v>
                </c:pt>
                <c:pt idx="162">
                  <c:v>0.31842066420664206</c:v>
                </c:pt>
                <c:pt idx="163">
                  <c:v>0.3169004774146163</c:v>
                </c:pt>
                <c:pt idx="164">
                  <c:v>0.31539473684210528</c:v>
                </c:pt>
                <c:pt idx="165">
                  <c:v>0.31390323754092403</c:v>
                </c:pt>
                <c:pt idx="166">
                  <c:v>0.31242577842143376</c:v>
                </c:pt>
                <c:pt idx="167">
                  <c:v>0.31096216216216221</c:v>
                </c:pt>
                <c:pt idx="168">
                  <c:v>0.30951219512195127</c:v>
                </c:pt>
                <c:pt idx="169">
                  <c:v>0.30807568725455198</c:v>
                </c:pt>
                <c:pt idx="170">
                  <c:v>0.30665245202558639</c:v>
                </c:pt>
                <c:pt idx="171">
                  <c:v>0.30524230633180049</c:v>
                </c:pt>
                <c:pt idx="172">
                  <c:v>0.30384507042253522</c:v>
                </c:pt>
                <c:pt idx="173">
                  <c:v>0.30246056782334385</c:v>
                </c:pt>
                <c:pt idx="174">
                  <c:v>0.30108862526168878</c:v>
                </c:pt>
                <c:pt idx="175">
                  <c:v>0.29972907259465092</c:v>
                </c:pt>
                <c:pt idx="176">
                  <c:v>0.29838174273858925</c:v>
                </c:pt>
                <c:pt idx="177">
                  <c:v>0.29704647160068848</c:v>
                </c:pt>
                <c:pt idx="178">
                  <c:v>0.2957230980123372</c:v>
                </c:pt>
                <c:pt idx="179">
                  <c:v>0.29441146366427839</c:v>
                </c:pt>
                <c:pt idx="180">
                  <c:v>0.29311141304347826</c:v>
                </c:pt>
                <c:pt idx="181">
                  <c:v>0.29182279337166045</c:v>
                </c:pt>
                <c:pt idx="182">
                  <c:v>0.29054545454545455</c:v>
                </c:pt>
                <c:pt idx="183">
                  <c:v>0.28927924907810931</c:v>
                </c:pt>
                <c:pt idx="184">
                  <c:v>0.28802403204272364</c:v>
                </c:pt>
                <c:pt idx="185">
                  <c:v>0.28677966101694913</c:v>
                </c:pt>
                <c:pt idx="186">
                  <c:v>0.28554599602911979</c:v>
                </c:pt>
                <c:pt idx="187">
                  <c:v>0.28432289950576606</c:v>
                </c:pt>
                <c:pt idx="188">
                  <c:v>0.28311023622047249</c:v>
                </c:pt>
                <c:pt idx="189">
                  <c:v>0.28190787324403793</c:v>
                </c:pt>
                <c:pt idx="190">
                  <c:v>0.28071567989590113</c:v>
                </c:pt>
                <c:pt idx="191">
                  <c:v>0.27953352769679302</c:v>
                </c:pt>
                <c:pt idx="192">
                  <c:v>0.27836129032258067</c:v>
                </c:pt>
                <c:pt idx="193">
                  <c:v>0.2771988435592676</c:v>
                </c:pt>
                <c:pt idx="194">
                  <c:v>0.27604606525911712</c:v>
                </c:pt>
                <c:pt idx="195">
                  <c:v>0.27490283529786558</c:v>
                </c:pt>
                <c:pt idx="196">
                  <c:v>0.27376903553299492</c:v>
                </c:pt>
                <c:pt idx="197">
                  <c:v>0.27264454976303321</c:v>
                </c:pt>
                <c:pt idx="198">
                  <c:v>0.27152926368785402</c:v>
                </c:pt>
                <c:pt idx="199">
                  <c:v>0.27042306486994672</c:v>
                </c:pt>
                <c:pt idx="200">
                  <c:v>0.26932584269662924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E6-4E5B-818B-D49CF4A69A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859648"/>
        <c:axId val="41875712"/>
      </c:scatterChart>
      <c:valAx>
        <c:axId val="41867520"/>
        <c:scaling>
          <c:orientation val="minMax"/>
          <c:max val="18"/>
          <c:min val="6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200"/>
                  <a:t>Input</a:t>
                </a:r>
                <a:r>
                  <a:rPr lang="en-US" sz="1200" baseline="0"/>
                  <a:t> Voltage (V)</a:t>
                </a:r>
                <a:endParaRPr lang="en-US" sz="1200"/>
              </a:p>
            </c:rich>
          </c:tx>
          <c:layout>
            <c:manualLayout>
              <c:xMode val="edge"/>
              <c:yMode val="edge"/>
              <c:x val="0.42044692620593743"/>
              <c:y val="0.9435492337651342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873792"/>
        <c:crosses val="autoZero"/>
        <c:crossBetween val="midCat"/>
      </c:valAx>
      <c:valAx>
        <c:axId val="41873792"/>
        <c:scaling>
          <c:orientation val="minMax"/>
          <c:max val="0.55000000000000004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200">
                    <a:solidFill>
                      <a:srgbClr val="FF0000"/>
                    </a:solidFill>
                  </a:rPr>
                  <a:t>Boost Duty Cycle</a:t>
                </a:r>
              </a:p>
            </c:rich>
          </c:tx>
          <c:layout>
            <c:manualLayout>
              <c:xMode val="edge"/>
              <c:yMode val="edge"/>
              <c:x val="1.7399239437699769E-2"/>
              <c:y val="0.3629036491406316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FF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867520"/>
        <c:crosses val="autoZero"/>
        <c:crossBetween val="midCat"/>
        <c:majorUnit val="0.1"/>
        <c:minorUnit val="5.000000000000001E-2"/>
      </c:valAx>
      <c:valAx>
        <c:axId val="41875712"/>
        <c:scaling>
          <c:orientation val="minMax"/>
          <c:max val="1.05"/>
          <c:min val="0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 sz="1200" b="1">
                    <a:solidFill>
                      <a:srgbClr val="0000FF"/>
                    </a:solidFill>
                  </a:defRPr>
                </a:pPr>
                <a:r>
                  <a:rPr lang="en-US" sz="1200" b="1">
                    <a:solidFill>
                      <a:srgbClr val="0000FF"/>
                    </a:solidFill>
                  </a:rPr>
                  <a:t>Buck Duty Cycle</a:t>
                </a:r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050" b="1">
                <a:solidFill>
                  <a:srgbClr val="0000FF"/>
                </a:solidFill>
              </a:defRPr>
            </a:pPr>
            <a:endParaRPr lang="en-US"/>
          </a:p>
        </c:txPr>
        <c:crossAx val="158859648"/>
        <c:crosses val="max"/>
        <c:crossBetween val="midCat"/>
        <c:majorUnit val="0.1"/>
      </c:valAx>
      <c:valAx>
        <c:axId val="158859648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41875712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3773316184082571"/>
          <c:y val="0.14112903225806453"/>
          <c:w val="0.15360806990759621"/>
          <c:h val="0.1078668190669714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noFill/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200"/>
              <a:t> MOSFET Temp Rise</a:t>
            </a:r>
          </a:p>
        </c:rich>
      </c:tx>
      <c:layout>
        <c:manualLayout>
          <c:xMode val="edge"/>
          <c:yMode val="edge"/>
          <c:x val="0.10222965146116514"/>
          <c:y val="5.397174465617833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64104795743185"/>
          <c:y val="0.15757606845026328"/>
          <c:w val="0.85614122031885154"/>
          <c:h val="0.71717313204926625"/>
        </c:manualLayout>
      </c:layout>
      <c:scatterChart>
        <c:scatterStyle val="lineMarker"/>
        <c:varyColors val="0"/>
        <c:ser>
          <c:idx val="0"/>
          <c:order val="0"/>
          <c:tx>
            <c:strRef>
              <c:f>'Efficiency vs Load Calculations'!$BE$8</c:f>
              <c:strCache>
                <c:ptCount val="1"/>
                <c:pt idx="0">
                  <c:v>Boost ''CONTROL'' MOSFET Temp Rise</c:v>
                </c:pt>
              </c:strCache>
            </c:strRef>
          </c:tx>
          <c:spPr>
            <a:ln w="31750">
              <a:solidFill>
                <a:srgbClr val="000080"/>
              </a:solidFill>
              <a:prstDash val="dash"/>
            </a:ln>
          </c:spPr>
          <c:marker>
            <c:symbol val="none"/>
          </c:marker>
          <c:xVal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  <c:pt idx="41">
                  <c:v>8.1999999999999993</c:v>
                </c:pt>
                <c:pt idx="42">
                  <c:v>8.4</c:v>
                </c:pt>
                <c:pt idx="43">
                  <c:v>8.6</c:v>
                </c:pt>
                <c:pt idx="44">
                  <c:v>8.8000000000000007</c:v>
                </c:pt>
                <c:pt idx="45">
                  <c:v>9</c:v>
                </c:pt>
                <c:pt idx="46">
                  <c:v>9.1999999999999993</c:v>
                </c:pt>
                <c:pt idx="47">
                  <c:v>9.4</c:v>
                </c:pt>
                <c:pt idx="48">
                  <c:v>9.6</c:v>
                </c:pt>
                <c:pt idx="49">
                  <c:v>9.8000000000000007</c:v>
                </c:pt>
                <c:pt idx="50">
                  <c:v>10</c:v>
                </c:pt>
                <c:pt idx="51">
                  <c:v>10.199999999999999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</c:v>
                </c:pt>
                <c:pt idx="81">
                  <c:v>16.2</c:v>
                </c:pt>
                <c:pt idx="82">
                  <c:v>16.399999999999999</c:v>
                </c:pt>
                <c:pt idx="83">
                  <c:v>16.600000000000001</c:v>
                </c:pt>
                <c:pt idx="84">
                  <c:v>16.8</c:v>
                </c:pt>
                <c:pt idx="85">
                  <c:v>17</c:v>
                </c:pt>
                <c:pt idx="86">
                  <c:v>17.2</c:v>
                </c:pt>
                <c:pt idx="87">
                  <c:v>17.399999999999999</c:v>
                </c:pt>
                <c:pt idx="88">
                  <c:v>17.600000000000001</c:v>
                </c:pt>
                <c:pt idx="89">
                  <c:v>17.8</c:v>
                </c:pt>
                <c:pt idx="90">
                  <c:v>18</c:v>
                </c:pt>
                <c:pt idx="91">
                  <c:v>18.2</c:v>
                </c:pt>
                <c:pt idx="92">
                  <c:v>18.399999999999999</c:v>
                </c:pt>
                <c:pt idx="93">
                  <c:v>18.600000000000001</c:v>
                </c:pt>
                <c:pt idx="94">
                  <c:v>18.8</c:v>
                </c:pt>
                <c:pt idx="95">
                  <c:v>19</c:v>
                </c:pt>
                <c:pt idx="96">
                  <c:v>19.2</c:v>
                </c:pt>
                <c:pt idx="97">
                  <c:v>19.399999999999999</c:v>
                </c:pt>
                <c:pt idx="98">
                  <c:v>19.600000000000001</c:v>
                </c:pt>
                <c:pt idx="99">
                  <c:v>19.8</c:v>
                </c:pt>
                <c:pt idx="100">
                  <c:v>20</c:v>
                </c:pt>
              </c:numCache>
            </c:numRef>
          </c:xVal>
          <c:yVal>
            <c:numRef>
              <c:f>'Efficiency vs Load Calculations'!$BE$9:$BE$109</c:f>
              <c:numCache>
                <c:formatCode>0.0</c:formatCode>
                <c:ptCount val="101"/>
                <c:pt idx="0">
                  <c:v>60.550233459579204</c:v>
                </c:pt>
                <c:pt idx="1">
                  <c:v>60.567845687211118</c:v>
                </c:pt>
                <c:pt idx="2">
                  <c:v>60.585743994682083</c:v>
                </c:pt>
                <c:pt idx="3">
                  <c:v>60.603928042974154</c:v>
                </c:pt>
                <c:pt idx="4">
                  <c:v>60.622397494761479</c:v>
                </c:pt>
                <c:pt idx="5">
                  <c:v>60.641152014407041</c:v>
                </c:pt>
                <c:pt idx="6">
                  <c:v>60.660191267959561</c:v>
                </c:pt>
                <c:pt idx="7">
                  <c:v>60.679514923150201</c:v>
                </c:pt>
                <c:pt idx="8">
                  <c:v>60.699122649389572</c:v>
                </c:pt>
                <c:pt idx="9">
                  <c:v>60.71901411776448</c:v>
                </c:pt>
                <c:pt idx="10">
                  <c:v>60.753840428290793</c:v>
                </c:pt>
                <c:pt idx="11">
                  <c:v>60.89296009953231</c:v>
                </c:pt>
                <c:pt idx="12">
                  <c:v>61.032365168205871</c:v>
                </c:pt>
                <c:pt idx="13">
                  <c:v>61.172055653769696</c:v>
                </c:pt>
                <c:pt idx="14">
                  <c:v>61.312031577375947</c:v>
                </c:pt>
                <c:pt idx="15">
                  <c:v>61.45229296187091</c:v>
                </c:pt>
                <c:pt idx="16">
                  <c:v>61.592839831795423</c:v>
                </c:pt>
                <c:pt idx="17">
                  <c:v>61.733672213385091</c:v>
                </c:pt>
                <c:pt idx="18">
                  <c:v>61.874790134570866</c:v>
                </c:pt>
                <c:pt idx="19">
                  <c:v>62.016193624979223</c:v>
                </c:pt>
                <c:pt idx="20">
                  <c:v>62.157882715932779</c:v>
                </c:pt>
                <c:pt idx="21">
                  <c:v>62.299857440450623</c:v>
                </c:pt>
                <c:pt idx="22">
                  <c:v>62.442117833248844</c:v>
                </c:pt>
                <c:pt idx="23">
                  <c:v>62.584663930741023</c:v>
                </c:pt>
                <c:pt idx="24">
                  <c:v>62.727495771038754</c:v>
                </c:pt>
                <c:pt idx="25">
                  <c:v>62.870613393952169</c:v>
                </c:pt>
                <c:pt idx="26">
                  <c:v>63.014016840990564</c:v>
                </c:pt>
                <c:pt idx="27">
                  <c:v>63.157706155362966</c:v>
                </c:pt>
                <c:pt idx="28">
                  <c:v>63.301681381978746</c:v>
                </c:pt>
                <c:pt idx="29">
                  <c:v>63.445942567448299</c:v>
                </c:pt>
                <c:pt idx="30">
                  <c:v>63.590489760083635</c:v>
                </c:pt>
                <c:pt idx="31">
                  <c:v>63.735323009899226</c:v>
                </c:pt>
                <c:pt idx="32">
                  <c:v>63.880442368612577</c:v>
                </c:pt>
                <c:pt idx="33">
                  <c:v>64.02584788964505</c:v>
                </c:pt>
                <c:pt idx="34">
                  <c:v>64.171539628122616</c:v>
                </c:pt>
                <c:pt idx="35">
                  <c:v>64.317517640876659</c:v>
                </c:pt>
                <c:pt idx="36">
                  <c:v>64.463781986444758</c:v>
                </c:pt>
                <c:pt idx="37">
                  <c:v>64.610332725071586</c:v>
                </c:pt>
                <c:pt idx="38">
                  <c:v>64.757169918709764</c:v>
                </c:pt>
                <c:pt idx="39">
                  <c:v>64.904293631020721</c:v>
                </c:pt>
                <c:pt idx="40">
                  <c:v>65.051703927375655</c:v>
                </c:pt>
                <c:pt idx="41">
                  <c:v>65.199400874856423</c:v>
                </c:pt>
                <c:pt idx="42">
                  <c:v>65.34738454225662</c:v>
                </c:pt>
                <c:pt idx="43">
                  <c:v>65.495655000082436</c:v>
                </c:pt>
                <c:pt idx="44">
                  <c:v>65.644212320553734</c:v>
                </c:pt>
                <c:pt idx="45">
                  <c:v>65.793056577605171</c:v>
                </c:pt>
                <c:pt idx="46">
                  <c:v>65.94218784688708</c:v>
                </c:pt>
                <c:pt idx="47">
                  <c:v>66.091606205766766</c:v>
                </c:pt>
                <c:pt idx="48">
                  <c:v>66.241311733329496</c:v>
                </c:pt>
                <c:pt idx="49">
                  <c:v>66.391304510379697</c:v>
                </c:pt>
                <c:pt idx="50">
                  <c:v>66.541584619442077</c:v>
                </c:pt>
                <c:pt idx="51">
                  <c:v>66.692152144762858</c:v>
                </c:pt>
                <c:pt idx="52">
                  <c:v>66.843007172311019</c:v>
                </c:pt>
                <c:pt idx="53">
                  <c:v>66.99414978977947</c:v>
                </c:pt>
                <c:pt idx="54">
                  <c:v>67.145580086586378</c:v>
                </c:pt>
                <c:pt idx="55">
                  <c:v>67.297298153876412</c:v>
                </c:pt>
                <c:pt idx="56">
                  <c:v>67.44930408452214</c:v>
                </c:pt>
                <c:pt idx="57">
                  <c:v>67.601597973125266</c:v>
                </c:pt>
                <c:pt idx="58">
                  <c:v>67.754179916018117</c:v>
                </c:pt>
                <c:pt idx="59">
                  <c:v>67.907050011264943</c:v>
                </c:pt>
                <c:pt idx="60">
                  <c:v>68.060208358663402</c:v>
                </c:pt>
                <c:pt idx="61">
                  <c:v>68.213655059745946</c:v>
                </c:pt>
                <c:pt idx="62">
                  <c:v>68.367390217781391</c:v>
                </c:pt>
                <c:pt idx="63">
                  <c:v>68.521413937776273</c:v>
                </c:pt>
                <c:pt idx="64">
                  <c:v>68.675726326476507</c:v>
                </c:pt>
                <c:pt idx="65">
                  <c:v>68.830327492368852</c:v>
                </c:pt>
                <c:pt idx="66">
                  <c:v>68.985217545682545</c:v>
                </c:pt>
                <c:pt idx="67">
                  <c:v>69.140396598390822</c:v>
                </c:pt>
                <c:pt idx="68">
                  <c:v>69.295864764212638</c:v>
                </c:pt>
                <c:pt idx="69">
                  <c:v>69.451622158614242</c:v>
                </c:pt>
                <c:pt idx="70">
                  <c:v>69.607668898810886</c:v>
                </c:pt>
                <c:pt idx="71">
                  <c:v>69.764005103768554</c:v>
                </c:pt>
                <c:pt idx="72">
                  <c:v>69.920630894205615</c:v>
                </c:pt>
                <c:pt idx="73">
                  <c:v>70.077546392594712</c:v>
                </c:pt>
                <c:pt idx="74">
                  <c:v>70.234751723164337</c:v>
                </c:pt>
                <c:pt idx="75">
                  <c:v>70.392247011900878</c:v>
                </c:pt>
                <c:pt idx="76">
                  <c:v>70.550032386550271</c:v>
                </c:pt>
                <c:pt idx="77">
                  <c:v>70.708107976619957</c:v>
                </c:pt>
                <c:pt idx="78">
                  <c:v>70.866473913380702</c:v>
                </c:pt>
                <c:pt idx="79">
                  <c:v>71.025130329868588</c:v>
                </c:pt>
                <c:pt idx="80">
                  <c:v>71.18407736088686</c:v>
                </c:pt>
                <c:pt idx="81">
                  <c:v>71.343315143007985</c:v>
                </c:pt>
                <c:pt idx="82">
                  <c:v>71.502843814575542</c:v>
                </c:pt>
                <c:pt idx="83">
                  <c:v>71.662663515706356</c:v>
                </c:pt>
                <c:pt idx="84">
                  <c:v>71.822774388292459</c:v>
                </c:pt>
                <c:pt idx="85">
                  <c:v>71.983176576003146</c:v>
                </c:pt>
                <c:pt idx="86">
                  <c:v>72.14387022428717</c:v>
                </c:pt>
                <c:pt idx="87">
                  <c:v>72.304855480374769</c:v>
                </c:pt>
                <c:pt idx="88">
                  <c:v>72.466132493279872</c:v>
                </c:pt>
                <c:pt idx="89">
                  <c:v>72.627701413802257</c:v>
                </c:pt>
                <c:pt idx="90">
                  <c:v>72.789562394529767</c:v>
                </c:pt>
                <c:pt idx="91">
                  <c:v>72.951715589840532</c:v>
                </c:pt>
                <c:pt idx="92">
                  <c:v>73.114161155905251</c:v>
                </c:pt>
                <c:pt idx="93">
                  <c:v>73.276899250689382</c:v>
                </c:pt>
                <c:pt idx="94">
                  <c:v>73.439930033955633</c:v>
                </c:pt>
                <c:pt idx="95">
                  <c:v>73.603253667266159</c:v>
                </c:pt>
                <c:pt idx="96">
                  <c:v>73.766870313984967</c:v>
                </c:pt>
                <c:pt idx="97">
                  <c:v>73.930780139280301</c:v>
                </c:pt>
                <c:pt idx="98">
                  <c:v>74.094983310127134</c:v>
                </c:pt>
                <c:pt idx="99">
                  <c:v>74.259479995309505</c:v>
                </c:pt>
                <c:pt idx="100">
                  <c:v>74.424270365423112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3EF-4B1E-B765-E43B65049EC4}"/>
            </c:ext>
          </c:extLst>
        </c:ser>
        <c:ser>
          <c:idx val="1"/>
          <c:order val="1"/>
          <c:tx>
            <c:strRef>
              <c:f>'Efficiency vs Load Calculations'!$BF$8</c:f>
              <c:strCache>
                <c:ptCount val="1"/>
                <c:pt idx="0">
                  <c:v>Boost ''SYNC'' MOSFET Temp Rise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  <c:pt idx="41">
                  <c:v>8.1999999999999993</c:v>
                </c:pt>
                <c:pt idx="42">
                  <c:v>8.4</c:v>
                </c:pt>
                <c:pt idx="43">
                  <c:v>8.6</c:v>
                </c:pt>
                <c:pt idx="44">
                  <c:v>8.8000000000000007</c:v>
                </c:pt>
                <c:pt idx="45">
                  <c:v>9</c:v>
                </c:pt>
                <c:pt idx="46">
                  <c:v>9.1999999999999993</c:v>
                </c:pt>
                <c:pt idx="47">
                  <c:v>9.4</c:v>
                </c:pt>
                <c:pt idx="48">
                  <c:v>9.6</c:v>
                </c:pt>
                <c:pt idx="49">
                  <c:v>9.8000000000000007</c:v>
                </c:pt>
                <c:pt idx="50">
                  <c:v>10</c:v>
                </c:pt>
                <c:pt idx="51">
                  <c:v>10.199999999999999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</c:v>
                </c:pt>
                <c:pt idx="81">
                  <c:v>16.2</c:v>
                </c:pt>
                <c:pt idx="82">
                  <c:v>16.399999999999999</c:v>
                </c:pt>
                <c:pt idx="83">
                  <c:v>16.600000000000001</c:v>
                </c:pt>
                <c:pt idx="84">
                  <c:v>16.8</c:v>
                </c:pt>
                <c:pt idx="85">
                  <c:v>17</c:v>
                </c:pt>
                <c:pt idx="86">
                  <c:v>17.2</c:v>
                </c:pt>
                <c:pt idx="87">
                  <c:v>17.399999999999999</c:v>
                </c:pt>
                <c:pt idx="88">
                  <c:v>17.600000000000001</c:v>
                </c:pt>
                <c:pt idx="89">
                  <c:v>17.8</c:v>
                </c:pt>
                <c:pt idx="90">
                  <c:v>18</c:v>
                </c:pt>
                <c:pt idx="91">
                  <c:v>18.2</c:v>
                </c:pt>
                <c:pt idx="92">
                  <c:v>18.399999999999999</c:v>
                </c:pt>
                <c:pt idx="93">
                  <c:v>18.600000000000001</c:v>
                </c:pt>
                <c:pt idx="94">
                  <c:v>18.8</c:v>
                </c:pt>
                <c:pt idx="95">
                  <c:v>19</c:v>
                </c:pt>
                <c:pt idx="96">
                  <c:v>19.2</c:v>
                </c:pt>
                <c:pt idx="97">
                  <c:v>19.399999999999999</c:v>
                </c:pt>
                <c:pt idx="98">
                  <c:v>19.600000000000001</c:v>
                </c:pt>
                <c:pt idx="99">
                  <c:v>19.8</c:v>
                </c:pt>
                <c:pt idx="100">
                  <c:v>20</c:v>
                </c:pt>
              </c:numCache>
            </c:numRef>
          </c:xVal>
          <c:yVal>
            <c:numRef>
              <c:f>'Efficiency vs Load Calculations'!$BF$9:$BF$109</c:f>
              <c:numCache>
                <c:formatCode>0.0</c:formatCode>
                <c:ptCount val="101"/>
                <c:pt idx="0">
                  <c:v>1.5725128447059114</c:v>
                </c:pt>
                <c:pt idx="1">
                  <c:v>1.641672334683187</c:v>
                </c:pt>
                <c:pt idx="2">
                  <c:v>1.713044766246806</c:v>
                </c:pt>
                <c:pt idx="3">
                  <c:v>1.7866303158489187</c:v>
                </c:pt>
                <c:pt idx="4">
                  <c:v>1.8624292779377556</c:v>
                </c:pt>
                <c:pt idx="5">
                  <c:v>1.9404420649967953</c:v>
                </c:pt>
                <c:pt idx="6">
                  <c:v>2.0206692075996449</c:v>
                </c:pt>
                <c:pt idx="7">
                  <c:v>2.1031113544806397</c:v>
                </c:pt>
                <c:pt idx="8">
                  <c:v>2.1877692726211859</c:v>
                </c:pt>
                <c:pt idx="9">
                  <c:v>2.2746438473518591</c:v>
                </c:pt>
                <c:pt idx="10">
                  <c:v>2.3637360824702967</c:v>
                </c:pt>
                <c:pt idx="11">
                  <c:v>2.4550471003748982</c:v>
                </c:pt>
                <c:pt idx="12">
                  <c:v>2.5485781422143798</c:v>
                </c:pt>
                <c:pt idx="13">
                  <c:v>2.644330568053217</c:v>
                </c:pt>
                <c:pt idx="14">
                  <c:v>2.7423058570530046</c:v>
                </c:pt>
                <c:pt idx="15">
                  <c:v>2.8425056076698034</c:v>
                </c:pt>
                <c:pt idx="16">
                  <c:v>2.9449315378674972</c:v>
                </c:pt>
                <c:pt idx="17">
                  <c:v>3.0495854853472317</c:v>
                </c:pt>
                <c:pt idx="18">
                  <c:v>3.1564694077929834</c:v>
                </c:pt>
                <c:pt idx="19">
                  <c:v>3.265585383133319</c:v>
                </c:pt>
                <c:pt idx="20">
                  <c:v>3.3769356098194225</c:v>
                </c:pt>
                <c:pt idx="21">
                  <c:v>3.4905224071194412</c:v>
                </c:pt>
                <c:pt idx="22">
                  <c:v>3.6063482154292399</c:v>
                </c:pt>
                <c:pt idx="23">
                  <c:v>3.7244155965996359</c:v>
                </c:pt>
                <c:pt idx="24">
                  <c:v>3.8447272342801946</c:v>
                </c:pt>
                <c:pt idx="25">
                  <c:v>3.9672859342796669</c:v>
                </c:pt>
                <c:pt idx="26">
                  <c:v>4.0920946249431838</c:v>
                </c:pt>
                <c:pt idx="27">
                  <c:v>4.2191563575462707</c:v>
                </c:pt>
                <c:pt idx="28">
                  <c:v>4.3484743067057909</c:v>
                </c:pt>
                <c:pt idx="29">
                  <c:v>4.4800517708079486</c:v>
                </c:pt>
                <c:pt idx="30">
                  <c:v>4.6138921724534185</c:v>
                </c:pt>
                <c:pt idx="31">
                  <c:v>4.7499990589197294</c:v>
                </c:pt>
                <c:pt idx="32">
                  <c:v>4.8883761026410468</c:v>
                </c:pt>
                <c:pt idx="33">
                  <c:v>5.0290271017054327</c:v>
                </c:pt>
                <c:pt idx="34">
                  <c:v>5.1719559803697344</c:v>
                </c:pt>
                <c:pt idx="35">
                  <c:v>5.3171667895922212</c:v>
                </c:pt>
                <c:pt idx="36">
                  <c:v>5.4646637075831324</c:v>
                </c:pt>
                <c:pt idx="37">
                  <c:v>5.6144510403732282</c:v>
                </c:pt>
                <c:pt idx="38">
                  <c:v>5.7665332224005379</c:v>
                </c:pt>
                <c:pt idx="39">
                  <c:v>5.9209148171154284</c:v>
                </c:pt>
                <c:pt idx="40">
                  <c:v>6.0776005176041457</c:v>
                </c:pt>
                <c:pt idx="41">
                  <c:v>6.2365951472310091</c:v>
                </c:pt>
                <c:pt idx="42">
                  <c:v>6.3979036602994173</c:v>
                </c:pt>
                <c:pt idx="43">
                  <c:v>6.5615311427318161</c:v>
                </c:pt>
                <c:pt idx="44">
                  <c:v>6.7274828127688338</c:v>
                </c:pt>
                <c:pt idx="45">
                  <c:v>6.8957640216877447</c:v>
                </c:pt>
                <c:pt idx="46">
                  <c:v>7.0663802545404639</c:v>
                </c:pt>
                <c:pt idx="47">
                  <c:v>7.23933713091124</c:v>
                </c:pt>
                <c:pt idx="48">
                  <c:v>7.4146404056942696</c:v>
                </c:pt>
                <c:pt idx="49">
                  <c:v>7.5922959698914338</c:v>
                </c:pt>
                <c:pt idx="50">
                  <c:v>7.7723098514303386</c:v>
                </c:pt>
                <c:pt idx="51">
                  <c:v>7.9546882160029044</c:v>
                </c:pt>
                <c:pt idx="52">
                  <c:v>8.1394373679247227</c:v>
                </c:pt>
                <c:pt idx="53">
                  <c:v>8.326563751015378</c:v>
                </c:pt>
                <c:pt idx="54">
                  <c:v>8.516073949500008</c:v>
                </c:pt>
                <c:pt idx="55">
                  <c:v>8.707974688932298</c:v>
                </c:pt>
                <c:pt idx="56">
                  <c:v>8.9022728371392077</c:v>
                </c:pt>
                <c:pt idx="57">
                  <c:v>9.0989754051876304</c:v>
                </c:pt>
                <c:pt idx="58">
                  <c:v>9.2980895483732553</c:v>
                </c:pt>
                <c:pt idx="59">
                  <c:v>9.4996225672319348</c:v>
                </c:pt>
                <c:pt idx="60">
                  <c:v>9.7035819085737849</c:v>
                </c:pt>
                <c:pt idx="61">
                  <c:v>9.9099751665403009</c:v>
                </c:pt>
                <c:pt idx="62">
                  <c:v>10.118810083684801</c:v>
                </c:pt>
                <c:pt idx="63">
                  <c:v>10.330094552076478</c:v>
                </c:pt>
                <c:pt idx="64">
                  <c:v>10.543836614428335</c:v>
                </c:pt>
                <c:pt idx="65">
                  <c:v>10.760044465249337</c:v>
                </c:pt>
                <c:pt idx="66">
                  <c:v>10.978726452021112</c:v>
                </c:pt>
                <c:pt idx="67">
                  <c:v>11.199891076399483</c:v>
                </c:pt>
                <c:pt idx="68">
                  <c:v>11.423546995441141</c:v>
                </c:pt>
                <c:pt idx="69">
                  <c:v>11.64970302285591</c:v>
                </c:pt>
                <c:pt idx="70">
                  <c:v>11.878368130284805</c:v>
                </c:pt>
                <c:pt idx="71">
                  <c:v>12.109551448604353</c:v>
                </c:pt>
                <c:pt idx="72">
                  <c:v>12.343262269257457</c:v>
                </c:pt>
                <c:pt idx="73">
                  <c:v>12.579510045611222</c:v>
                </c:pt>
                <c:pt idx="74">
                  <c:v>12.818304394342132</c:v>
                </c:pt>
                <c:pt idx="75">
                  <c:v>13.05965509684891</c:v>
                </c:pt>
                <c:pt idx="76">
                  <c:v>13.303572100693529</c:v>
                </c:pt>
                <c:pt idx="77">
                  <c:v>13.550065521070698</c:v>
                </c:pt>
                <c:pt idx="78">
                  <c:v>13.799145642306353</c:v>
                </c:pt>
                <c:pt idx="79">
                  <c:v>14.05082291938548</c:v>
                </c:pt>
                <c:pt idx="80">
                  <c:v>14.30510797950971</c:v>
                </c:pt>
                <c:pt idx="81">
                  <c:v>14.562011623685244</c:v>
                </c:pt>
                <c:pt idx="82">
                  <c:v>14.821544828341409</c:v>
                </c:pt>
                <c:pt idx="83">
                  <c:v>15.083718746980423</c:v>
                </c:pt>
                <c:pt idx="84">
                  <c:v>15.348544711858803</c:v>
                </c:pt>
                <c:pt idx="85">
                  <c:v>15.616034235700921</c:v>
                </c:pt>
                <c:pt idx="86">
                  <c:v>15.886199013445202</c:v>
                </c:pt>
                <c:pt idx="87">
                  <c:v>16.159050924023447</c:v>
                </c:pt>
                <c:pt idx="88">
                  <c:v>16.434602032173888</c:v>
                </c:pt>
                <c:pt idx="89">
                  <c:v>16.712864590288369</c:v>
                </c:pt>
                <c:pt idx="90">
                  <c:v>16.993851040294366</c:v>
                </c:pt>
                <c:pt idx="91">
                  <c:v>17.277574015572291</c:v>
                </c:pt>
                <c:pt idx="92">
                  <c:v>17.564046342908675</c:v>
                </c:pt>
                <c:pt idx="93">
                  <c:v>17.85328104448584</c:v>
                </c:pt>
                <c:pt idx="94">
                  <c:v>18.145291339908638</c:v>
                </c:pt>
                <c:pt idx="95">
                  <c:v>18.440090648268896</c:v>
                </c:pt>
                <c:pt idx="96">
                  <c:v>18.737692590248155</c:v>
                </c:pt>
                <c:pt idx="97">
                  <c:v>19.038110990259348</c:v>
                </c:pt>
                <c:pt idx="98">
                  <c:v>19.341359878628143</c:v>
                </c:pt>
                <c:pt idx="99">
                  <c:v>19.647453493814496</c:v>
                </c:pt>
                <c:pt idx="100">
                  <c:v>19.956406284675204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3EF-4B1E-B765-E43B65049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335360"/>
        <c:axId val="158337280"/>
      </c:scatterChart>
      <c:valAx>
        <c:axId val="158335360"/>
        <c:scaling>
          <c:orientation val="minMax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Input</a:t>
                </a:r>
                <a:r>
                  <a:rPr lang="en-US" sz="1100" baseline="0"/>
                  <a:t> Voltage (V)</a:t>
                </a:r>
                <a:endParaRPr lang="en-US" sz="1100"/>
              </a:p>
            </c:rich>
          </c:tx>
          <c:layout>
            <c:manualLayout>
              <c:xMode val="edge"/>
              <c:yMode val="edge"/>
              <c:x val="0.47052333022741466"/>
              <c:y val="0.9379852666345700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337280"/>
        <c:crosses val="autoZero"/>
        <c:crossBetween val="midCat"/>
      </c:valAx>
      <c:valAx>
        <c:axId val="1583372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Temperature (</a:t>
                </a:r>
                <a:r>
                  <a:rPr lang="en-US" sz="1100">
                    <a:sym typeface="Symbol"/>
                  </a:rPr>
                  <a:t></a:t>
                </a:r>
                <a:r>
                  <a:rPr lang="en-US" sz="1100"/>
                  <a:t>C)</a:t>
                </a:r>
              </a:p>
            </c:rich>
          </c:tx>
          <c:layout>
            <c:manualLayout>
              <c:xMode val="edge"/>
              <c:yMode val="edge"/>
              <c:x val="1.3813487878384515E-2"/>
              <c:y val="0.403849932959563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335360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60965366061085946"/>
          <c:y val="2.0620499360656842E-2"/>
          <c:w val="0.351320840481532"/>
          <c:h val="9.860752613023962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200"/>
              <a:t>MOSFET &amp;</a:t>
            </a:r>
            <a:r>
              <a:rPr lang="en-US" sz="1200" baseline="0"/>
              <a:t> Inductor</a:t>
            </a:r>
            <a:r>
              <a:rPr lang="en-US" sz="1200"/>
              <a:t> Power Dissipation</a:t>
            </a:r>
          </a:p>
        </c:rich>
      </c:tx>
      <c:layout>
        <c:manualLayout>
          <c:xMode val="edge"/>
          <c:yMode val="edge"/>
          <c:x val="0.13740051025090394"/>
          <c:y val="4.9059139784946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00636942675162"/>
          <c:y val="0.15927440521547717"/>
          <c:w val="0.8471337579617837"/>
          <c:h val="0.70362972493790654"/>
        </c:manualLayout>
      </c:layout>
      <c:scatterChart>
        <c:scatterStyle val="lineMarker"/>
        <c:varyColors val="0"/>
        <c:ser>
          <c:idx val="2"/>
          <c:order val="0"/>
          <c:tx>
            <c:strRef>
              <c:f>'Efficiency vs Load Calculations'!$BK$8</c:f>
              <c:strCache>
                <c:ptCount val="1"/>
                <c:pt idx="0">
                  <c:v>Boost ''Control'' MOSFET Loss</c:v>
                </c:pt>
              </c:strCache>
            </c:strRef>
          </c:tx>
          <c:spPr>
            <a:ln w="25400">
              <a:solidFill>
                <a:srgbClr val="000080"/>
              </a:solidFill>
              <a:prstDash val="dash"/>
            </a:ln>
          </c:spPr>
          <c:marker>
            <c:symbol val="none"/>
          </c:marker>
          <c:xVal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  <c:pt idx="41">
                  <c:v>8.1999999999999993</c:v>
                </c:pt>
                <c:pt idx="42">
                  <c:v>8.4</c:v>
                </c:pt>
                <c:pt idx="43">
                  <c:v>8.6</c:v>
                </c:pt>
                <c:pt idx="44">
                  <c:v>8.8000000000000007</c:v>
                </c:pt>
                <c:pt idx="45">
                  <c:v>9</c:v>
                </c:pt>
                <c:pt idx="46">
                  <c:v>9.1999999999999993</c:v>
                </c:pt>
                <c:pt idx="47">
                  <c:v>9.4</c:v>
                </c:pt>
                <c:pt idx="48">
                  <c:v>9.6</c:v>
                </c:pt>
                <c:pt idx="49">
                  <c:v>9.8000000000000007</c:v>
                </c:pt>
                <c:pt idx="50">
                  <c:v>10</c:v>
                </c:pt>
                <c:pt idx="51">
                  <c:v>10.199999999999999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</c:v>
                </c:pt>
                <c:pt idx="81">
                  <c:v>16.2</c:v>
                </c:pt>
                <c:pt idx="82">
                  <c:v>16.399999999999999</c:v>
                </c:pt>
                <c:pt idx="83">
                  <c:v>16.600000000000001</c:v>
                </c:pt>
                <c:pt idx="84">
                  <c:v>16.8</c:v>
                </c:pt>
                <c:pt idx="85">
                  <c:v>17</c:v>
                </c:pt>
                <c:pt idx="86">
                  <c:v>17.2</c:v>
                </c:pt>
                <c:pt idx="87">
                  <c:v>17.399999999999999</c:v>
                </c:pt>
                <c:pt idx="88">
                  <c:v>17.600000000000001</c:v>
                </c:pt>
                <c:pt idx="89">
                  <c:v>17.8</c:v>
                </c:pt>
                <c:pt idx="90">
                  <c:v>18</c:v>
                </c:pt>
                <c:pt idx="91">
                  <c:v>18.2</c:v>
                </c:pt>
                <c:pt idx="92">
                  <c:v>18.399999999999999</c:v>
                </c:pt>
                <c:pt idx="93">
                  <c:v>18.600000000000001</c:v>
                </c:pt>
                <c:pt idx="94">
                  <c:v>18.8</c:v>
                </c:pt>
                <c:pt idx="95">
                  <c:v>19</c:v>
                </c:pt>
                <c:pt idx="96">
                  <c:v>19.2</c:v>
                </c:pt>
                <c:pt idx="97">
                  <c:v>19.399999999999999</c:v>
                </c:pt>
                <c:pt idx="98">
                  <c:v>19.600000000000001</c:v>
                </c:pt>
                <c:pt idx="99">
                  <c:v>19.8</c:v>
                </c:pt>
                <c:pt idx="100">
                  <c:v>20</c:v>
                </c:pt>
              </c:numCache>
            </c:numRef>
          </c:xVal>
          <c:yVal>
            <c:numRef>
              <c:f>'Efficiency vs Load Calculations'!$BK$9:$BK$109</c:f>
              <c:numCache>
                <c:formatCode>0.000</c:formatCode>
                <c:ptCount val="101"/>
                <c:pt idx="0">
                  <c:v>1.2110046691915841</c:v>
                </c:pt>
                <c:pt idx="1">
                  <c:v>1.2113569137442224</c:v>
                </c:pt>
                <c:pt idx="2">
                  <c:v>1.2117148798936417</c:v>
                </c:pt>
                <c:pt idx="3">
                  <c:v>1.2120785608594831</c:v>
                </c:pt>
                <c:pt idx="4">
                  <c:v>1.2124479498952296</c:v>
                </c:pt>
                <c:pt idx="5">
                  <c:v>1.2128230402881408</c:v>
                </c:pt>
                <c:pt idx="6">
                  <c:v>1.2132038253591912</c:v>
                </c:pt>
                <c:pt idx="7">
                  <c:v>1.213590298463004</c:v>
                </c:pt>
                <c:pt idx="8">
                  <c:v>1.2139824529877914</c:v>
                </c:pt>
                <c:pt idx="9">
                  <c:v>1.2143802823552896</c:v>
                </c:pt>
                <c:pt idx="10">
                  <c:v>1.2150768085658159</c:v>
                </c:pt>
                <c:pt idx="11">
                  <c:v>1.2178592019906462</c:v>
                </c:pt>
                <c:pt idx="12">
                  <c:v>1.2206473033641174</c:v>
                </c:pt>
                <c:pt idx="13">
                  <c:v>1.2234411130753939</c:v>
                </c:pt>
                <c:pt idx="14">
                  <c:v>1.2262406315475189</c:v>
                </c:pt>
                <c:pt idx="15">
                  <c:v>1.2290458592374183</c:v>
                </c:pt>
                <c:pt idx="16">
                  <c:v>1.2318567966359084</c:v>
                </c:pt>
                <c:pt idx="17">
                  <c:v>1.2346734442677019</c:v>
                </c:pt>
                <c:pt idx="18">
                  <c:v>1.2374958026914173</c:v>
                </c:pt>
                <c:pt idx="19">
                  <c:v>1.2403238724995844</c:v>
                </c:pt>
                <c:pt idx="20">
                  <c:v>1.2431576543186555</c:v>
                </c:pt>
                <c:pt idx="21">
                  <c:v>1.2459971488090125</c:v>
                </c:pt>
                <c:pt idx="22">
                  <c:v>1.2488423566649769</c:v>
                </c:pt>
                <c:pt idx="23">
                  <c:v>1.2516932786148205</c:v>
                </c:pt>
                <c:pt idx="24">
                  <c:v>1.2545499154207751</c:v>
                </c:pt>
                <c:pt idx="25">
                  <c:v>1.2574122678790434</c:v>
                </c:pt>
                <c:pt idx="26">
                  <c:v>1.2602803368198112</c:v>
                </c:pt>
                <c:pt idx="27">
                  <c:v>1.2631541231072594</c:v>
                </c:pt>
                <c:pt idx="28">
                  <c:v>1.2660336276395749</c:v>
                </c:pt>
                <c:pt idx="29">
                  <c:v>1.268918851348966</c:v>
                </c:pt>
                <c:pt idx="30">
                  <c:v>1.2718097952016727</c:v>
                </c:pt>
                <c:pt idx="31">
                  <c:v>1.2747064601979845</c:v>
                </c:pt>
                <c:pt idx="32">
                  <c:v>1.2776088473722516</c:v>
                </c:pt>
                <c:pt idx="33">
                  <c:v>1.280516957792901</c:v>
                </c:pt>
                <c:pt idx="34">
                  <c:v>1.2834307925624524</c:v>
                </c:pt>
                <c:pt idx="35">
                  <c:v>1.2863503528175333</c:v>
                </c:pt>
                <c:pt idx="36">
                  <c:v>1.2892756397288951</c:v>
                </c:pt>
                <c:pt idx="37">
                  <c:v>1.2922066545014317</c:v>
                </c:pt>
                <c:pt idx="38">
                  <c:v>1.2951433983741953</c:v>
                </c:pt>
                <c:pt idx="39">
                  <c:v>1.2980858726204145</c:v>
                </c:pt>
                <c:pt idx="40">
                  <c:v>1.301034078547513</c:v>
                </c:pt>
                <c:pt idx="41">
                  <c:v>1.3039880174971283</c:v>
                </c:pt>
                <c:pt idx="42">
                  <c:v>1.3069476908451325</c:v>
                </c:pt>
                <c:pt idx="43">
                  <c:v>1.3099131000016486</c:v>
                </c:pt>
                <c:pt idx="44">
                  <c:v>1.3128842464110748</c:v>
                </c:pt>
                <c:pt idx="45">
                  <c:v>1.3158611315521034</c:v>
                </c:pt>
                <c:pt idx="46">
                  <c:v>1.3188437569377416</c:v>
                </c:pt>
                <c:pt idx="47">
                  <c:v>1.3218321241153355</c:v>
                </c:pt>
                <c:pt idx="48">
                  <c:v>1.32482623466659</c:v>
                </c:pt>
                <c:pt idx="49">
                  <c:v>1.327826090207594</c:v>
                </c:pt>
                <c:pt idx="50">
                  <c:v>1.3308316923888415</c:v>
                </c:pt>
                <c:pt idx="51">
                  <c:v>1.3338430428952572</c:v>
                </c:pt>
                <c:pt idx="52">
                  <c:v>1.3368601434462204</c:v>
                </c:pt>
                <c:pt idx="53">
                  <c:v>1.3398829957955893</c:v>
                </c:pt>
                <c:pt idx="54">
                  <c:v>1.3429116017317275</c:v>
                </c:pt>
                <c:pt idx="55">
                  <c:v>1.3459459630775283</c:v>
                </c:pt>
                <c:pt idx="56">
                  <c:v>1.3489860816904429</c:v>
                </c:pt>
                <c:pt idx="57">
                  <c:v>1.3520319594625052</c:v>
                </c:pt>
                <c:pt idx="58">
                  <c:v>1.3550835983203624</c:v>
                </c:pt>
                <c:pt idx="59">
                  <c:v>1.3581410002252989</c:v>
                </c:pt>
                <c:pt idx="60">
                  <c:v>1.361204167173268</c:v>
                </c:pt>
                <c:pt idx="61">
                  <c:v>1.364273101194919</c:v>
                </c:pt>
                <c:pt idx="62">
                  <c:v>1.3673478043556277</c:v>
                </c:pt>
                <c:pt idx="63">
                  <c:v>1.3704282787555255</c:v>
                </c:pt>
                <c:pt idx="64">
                  <c:v>1.3735145265295301</c:v>
                </c:pt>
                <c:pt idx="65">
                  <c:v>1.376606549847377</c:v>
                </c:pt>
                <c:pt idx="66">
                  <c:v>1.3797043509136508</c:v>
                </c:pt>
                <c:pt idx="67">
                  <c:v>1.3828079319678164</c:v>
                </c:pt>
                <c:pt idx="68">
                  <c:v>1.3859172952842529</c:v>
                </c:pt>
                <c:pt idx="69">
                  <c:v>1.3890324431722849</c:v>
                </c:pt>
                <c:pt idx="70">
                  <c:v>1.3921533779762179</c:v>
                </c:pt>
                <c:pt idx="71">
                  <c:v>1.3952801020753711</c:v>
                </c:pt>
                <c:pt idx="72">
                  <c:v>1.3984126178841123</c:v>
                </c:pt>
                <c:pt idx="73">
                  <c:v>1.4015509278518943</c:v>
                </c:pt>
                <c:pt idx="74">
                  <c:v>1.4046950344632867</c:v>
                </c:pt>
                <c:pt idx="75">
                  <c:v>1.4078449402380175</c:v>
                </c:pt>
                <c:pt idx="76">
                  <c:v>1.4110006477310053</c:v>
                </c:pt>
                <c:pt idx="77">
                  <c:v>1.4141621595323992</c:v>
                </c:pt>
                <c:pt idx="78">
                  <c:v>1.417329478267614</c:v>
                </c:pt>
                <c:pt idx="79">
                  <c:v>1.4205026065973718</c:v>
                </c:pt>
                <c:pt idx="80">
                  <c:v>1.4236815472177371</c:v>
                </c:pt>
                <c:pt idx="81">
                  <c:v>1.4268663028601596</c:v>
                </c:pt>
                <c:pt idx="82">
                  <c:v>1.4300568762915109</c:v>
                </c:pt>
                <c:pt idx="83">
                  <c:v>1.4332532703141272</c:v>
                </c:pt>
                <c:pt idx="84">
                  <c:v>1.4364554877658491</c:v>
                </c:pt>
                <c:pt idx="85">
                  <c:v>1.439663531520063</c:v>
                </c:pt>
                <c:pt idx="86">
                  <c:v>1.4428774044857433</c:v>
                </c:pt>
                <c:pt idx="87">
                  <c:v>1.4460971096074953</c:v>
                </c:pt>
                <c:pt idx="88">
                  <c:v>1.4493226498655973</c:v>
                </c:pt>
                <c:pt idx="89">
                  <c:v>1.4525540282760452</c:v>
                </c:pt>
                <c:pt idx="90">
                  <c:v>1.4557912478905954</c:v>
                </c:pt>
                <c:pt idx="91">
                  <c:v>1.4590343117968108</c:v>
                </c:pt>
                <c:pt idx="92">
                  <c:v>1.4622832231181049</c:v>
                </c:pt>
                <c:pt idx="93">
                  <c:v>1.4655379850137877</c:v>
                </c:pt>
                <c:pt idx="94">
                  <c:v>1.4687986006791127</c:v>
                </c:pt>
                <c:pt idx="95">
                  <c:v>1.4720650733453231</c:v>
                </c:pt>
                <c:pt idx="96">
                  <c:v>1.4753374062796993</c:v>
                </c:pt>
                <c:pt idx="97">
                  <c:v>1.4786156027856059</c:v>
                </c:pt>
                <c:pt idx="98">
                  <c:v>1.4818996662025425</c:v>
                </c:pt>
                <c:pt idx="99">
                  <c:v>1.4851895999061901</c:v>
                </c:pt>
                <c:pt idx="100">
                  <c:v>1.4884854073084623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5A8-42F2-9E8C-4AC28D4F752D}"/>
            </c:ext>
          </c:extLst>
        </c:ser>
        <c:ser>
          <c:idx val="3"/>
          <c:order val="1"/>
          <c:tx>
            <c:strRef>
              <c:f>'Efficiency vs Load Calculations'!$BL$8</c:f>
              <c:strCache>
                <c:ptCount val="1"/>
                <c:pt idx="0">
                  <c:v>Boost ''SYNC'' MOSFET Loss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  <c:pt idx="41">
                  <c:v>8.1999999999999993</c:v>
                </c:pt>
                <c:pt idx="42">
                  <c:v>8.4</c:v>
                </c:pt>
                <c:pt idx="43">
                  <c:v>8.6</c:v>
                </c:pt>
                <c:pt idx="44">
                  <c:v>8.8000000000000007</c:v>
                </c:pt>
                <c:pt idx="45">
                  <c:v>9</c:v>
                </c:pt>
                <c:pt idx="46">
                  <c:v>9.1999999999999993</c:v>
                </c:pt>
                <c:pt idx="47">
                  <c:v>9.4</c:v>
                </c:pt>
                <c:pt idx="48">
                  <c:v>9.6</c:v>
                </c:pt>
                <c:pt idx="49">
                  <c:v>9.8000000000000007</c:v>
                </c:pt>
                <c:pt idx="50">
                  <c:v>10</c:v>
                </c:pt>
                <c:pt idx="51">
                  <c:v>10.199999999999999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</c:v>
                </c:pt>
                <c:pt idx="81">
                  <c:v>16.2</c:v>
                </c:pt>
                <c:pt idx="82">
                  <c:v>16.399999999999999</c:v>
                </c:pt>
                <c:pt idx="83">
                  <c:v>16.600000000000001</c:v>
                </c:pt>
                <c:pt idx="84">
                  <c:v>16.8</c:v>
                </c:pt>
                <c:pt idx="85">
                  <c:v>17</c:v>
                </c:pt>
                <c:pt idx="86">
                  <c:v>17.2</c:v>
                </c:pt>
                <c:pt idx="87">
                  <c:v>17.399999999999999</c:v>
                </c:pt>
                <c:pt idx="88">
                  <c:v>17.600000000000001</c:v>
                </c:pt>
                <c:pt idx="89">
                  <c:v>17.8</c:v>
                </c:pt>
                <c:pt idx="90">
                  <c:v>18</c:v>
                </c:pt>
                <c:pt idx="91">
                  <c:v>18.2</c:v>
                </c:pt>
                <c:pt idx="92">
                  <c:v>18.399999999999999</c:v>
                </c:pt>
                <c:pt idx="93">
                  <c:v>18.600000000000001</c:v>
                </c:pt>
                <c:pt idx="94">
                  <c:v>18.8</c:v>
                </c:pt>
                <c:pt idx="95">
                  <c:v>19</c:v>
                </c:pt>
                <c:pt idx="96">
                  <c:v>19.2</c:v>
                </c:pt>
                <c:pt idx="97">
                  <c:v>19.399999999999999</c:v>
                </c:pt>
                <c:pt idx="98">
                  <c:v>19.600000000000001</c:v>
                </c:pt>
                <c:pt idx="99">
                  <c:v>19.8</c:v>
                </c:pt>
                <c:pt idx="100">
                  <c:v>20</c:v>
                </c:pt>
              </c:numCache>
            </c:numRef>
          </c:xVal>
          <c:yVal>
            <c:numRef>
              <c:f>'Efficiency vs Load Calculations'!$BL$9:$BL$109</c:f>
              <c:numCache>
                <c:formatCode>0.000</c:formatCode>
                <c:ptCount val="101"/>
                <c:pt idx="0">
                  <c:v>3.1450256894118227E-2</c:v>
                </c:pt>
                <c:pt idx="1">
                  <c:v>3.283344669366374E-2</c:v>
                </c:pt>
                <c:pt idx="2">
                  <c:v>3.4260895324936119E-2</c:v>
                </c:pt>
                <c:pt idx="3">
                  <c:v>3.5732606316978374E-2</c:v>
                </c:pt>
                <c:pt idx="4">
                  <c:v>3.7248585558755112E-2</c:v>
                </c:pt>
                <c:pt idx="5">
                  <c:v>3.8808841299935906E-2</c:v>
                </c:pt>
                <c:pt idx="6">
                  <c:v>4.0413384151992894E-2</c:v>
                </c:pt>
                <c:pt idx="7">
                  <c:v>4.2062227089612797E-2</c:v>
                </c:pt>
                <c:pt idx="8">
                  <c:v>4.3755385452423717E-2</c:v>
                </c:pt>
                <c:pt idx="9">
                  <c:v>4.5492876947037179E-2</c:v>
                </c:pt>
                <c:pt idx="10">
                  <c:v>4.7274721649405931E-2</c:v>
                </c:pt>
                <c:pt idx="11">
                  <c:v>4.9100942007497962E-2</c:v>
                </c:pt>
                <c:pt idx="12">
                  <c:v>5.0971562844287596E-2</c:v>
                </c:pt>
                <c:pt idx="13">
                  <c:v>5.2886611361064338E-2</c:v>
                </c:pt>
                <c:pt idx="14">
                  <c:v>5.4846117141060094E-2</c:v>
                </c:pt>
                <c:pt idx="15">
                  <c:v>5.6850112153396068E-2</c:v>
                </c:pt>
                <c:pt idx="16">
                  <c:v>5.889863075734994E-2</c:v>
                </c:pt>
                <c:pt idx="17">
                  <c:v>6.0991709706944633E-2</c:v>
                </c:pt>
                <c:pt idx="18">
                  <c:v>6.3129388155859667E-2</c:v>
                </c:pt>
                <c:pt idx="19">
                  <c:v>6.5311707662666377E-2</c:v>
                </c:pt>
                <c:pt idx="20">
                  <c:v>6.7538712196388448E-2</c:v>
                </c:pt>
                <c:pt idx="21">
                  <c:v>6.981044814238882E-2</c:v>
                </c:pt>
                <c:pt idx="22">
                  <c:v>7.2126964308584798E-2</c:v>
                </c:pt>
                <c:pt idx="23">
                  <c:v>7.4488311931992721E-2</c:v>
                </c:pt>
                <c:pt idx="24">
                  <c:v>7.6894544685603888E-2</c:v>
                </c:pt>
                <c:pt idx="25">
                  <c:v>7.9345718685593342E-2</c:v>
                </c:pt>
                <c:pt idx="26">
                  <c:v>8.1841892498863672E-2</c:v>
                </c:pt>
                <c:pt idx="27">
                  <c:v>8.4383127150925413E-2</c:v>
                </c:pt>
                <c:pt idx="28">
                  <c:v>8.6969486134115814E-2</c:v>
                </c:pt>
                <c:pt idx="29">
                  <c:v>8.9601035416158978E-2</c:v>
                </c:pt>
                <c:pt idx="30">
                  <c:v>9.2277843449068364E-2</c:v>
                </c:pt>
                <c:pt idx="31">
                  <c:v>9.4999981178394588E-2</c:v>
                </c:pt>
                <c:pt idx="32">
                  <c:v>9.7767522052820938E-2</c:v>
                </c:pt>
                <c:pt idx="33">
                  <c:v>0.10058054203410866</c:v>
                </c:pt>
                <c:pt idx="34">
                  <c:v>0.10343911960739469</c:v>
                </c:pt>
                <c:pt idx="35">
                  <c:v>0.10634333579184442</c:v>
                </c:pt>
                <c:pt idx="36">
                  <c:v>0.10929327415166265</c:v>
                </c:pt>
                <c:pt idx="37">
                  <c:v>0.11228902080746456</c:v>
                </c:pt>
                <c:pt idx="38">
                  <c:v>0.11533066444801077</c:v>
                </c:pt>
                <c:pt idx="39">
                  <c:v>0.11841829634230858</c:v>
                </c:pt>
                <c:pt idx="40">
                  <c:v>0.12155201035208291</c:v>
                </c:pt>
                <c:pt idx="41">
                  <c:v>0.12473190294462018</c:v>
                </c:pt>
                <c:pt idx="42">
                  <c:v>0.12795807320598834</c:v>
                </c:pt>
                <c:pt idx="43">
                  <c:v>0.13123062285463633</c:v>
                </c:pt>
                <c:pt idx="44">
                  <c:v>0.13454965625537668</c:v>
                </c:pt>
                <c:pt idx="45">
                  <c:v>0.13791528043375489</c:v>
                </c:pt>
                <c:pt idx="46">
                  <c:v>0.14132760509080927</c:v>
                </c:pt>
                <c:pt idx="47">
                  <c:v>0.1447867426182248</c:v>
                </c:pt>
                <c:pt idx="48">
                  <c:v>0.1482928081138854</c:v>
                </c:pt>
                <c:pt idx="49">
                  <c:v>0.15184591939782868</c:v>
                </c:pt>
                <c:pt idx="50">
                  <c:v>0.15544619702860676</c:v>
                </c:pt>
                <c:pt idx="51">
                  <c:v>0.15909376432005809</c:v>
                </c:pt>
                <c:pt idx="52">
                  <c:v>0.16278874735849447</c:v>
                </c:pt>
                <c:pt idx="53">
                  <c:v>0.16653127502030757</c:v>
                </c:pt>
                <c:pt idx="54">
                  <c:v>0.17032147899000016</c:v>
                </c:pt>
                <c:pt idx="55">
                  <c:v>0.17415949377864595</c:v>
                </c:pt>
                <c:pt idx="56">
                  <c:v>0.17804545674278416</c:v>
                </c:pt>
                <c:pt idx="57">
                  <c:v>0.1819795081037526</c:v>
                </c:pt>
                <c:pt idx="58">
                  <c:v>0.1859617909674651</c:v>
                </c:pt>
                <c:pt idx="59">
                  <c:v>0.18999245134463871</c:v>
                </c:pt>
                <c:pt idx="60">
                  <c:v>0.19407163817147571</c:v>
                </c:pt>
                <c:pt idx="61">
                  <c:v>0.19819950333080602</c:v>
                </c:pt>
                <c:pt idx="62">
                  <c:v>0.20237620167369602</c:v>
                </c:pt>
                <c:pt idx="63">
                  <c:v>0.20660189104152957</c:v>
                </c:pt>
                <c:pt idx="64">
                  <c:v>0.21087673228856668</c:v>
                </c:pt>
                <c:pt idx="65">
                  <c:v>0.21520088930498674</c:v>
                </c:pt>
                <c:pt idx="66">
                  <c:v>0.21957452904042224</c:v>
                </c:pt>
                <c:pt idx="67">
                  <c:v>0.22399782152798967</c:v>
                </c:pt>
                <c:pt idx="68">
                  <c:v>0.22847093990882283</c:v>
                </c:pt>
                <c:pt idx="69">
                  <c:v>0.23299406045711818</c:v>
                </c:pt>
                <c:pt idx="70">
                  <c:v>0.23756736260569611</c:v>
                </c:pt>
                <c:pt idx="71">
                  <c:v>0.24219102897208705</c:v>
                </c:pt>
                <c:pt idx="72">
                  <c:v>0.24686524538514915</c:v>
                </c:pt>
                <c:pt idx="73">
                  <c:v>0.25159020091222445</c:v>
                </c:pt>
                <c:pt idx="74">
                  <c:v>0.25636608788684262</c:v>
                </c:pt>
                <c:pt idx="75">
                  <c:v>0.2611931019369782</c:v>
                </c:pt>
                <c:pt idx="76">
                  <c:v>0.26607144201387056</c:v>
                </c:pt>
                <c:pt idx="77">
                  <c:v>0.27100131042141395</c:v>
                </c:pt>
                <c:pt idx="78">
                  <c:v>0.27598291284612708</c:v>
                </c:pt>
                <c:pt idx="79">
                  <c:v>0.28101645838770961</c:v>
                </c:pt>
                <c:pt idx="80">
                  <c:v>0.28610215959019419</c:v>
                </c:pt>
                <c:pt idx="81">
                  <c:v>0.2912402324737049</c:v>
                </c:pt>
                <c:pt idx="82">
                  <c:v>0.29643089656682819</c:v>
                </c:pt>
                <c:pt idx="83">
                  <c:v>0.30167437493960847</c:v>
                </c:pt>
                <c:pt idx="84">
                  <c:v>0.30697089423717605</c:v>
                </c:pt>
                <c:pt idx="85">
                  <c:v>0.31232068471401842</c:v>
                </c:pt>
                <c:pt idx="86">
                  <c:v>0.31772398026890403</c:v>
                </c:pt>
                <c:pt idx="87">
                  <c:v>0.32318101848046893</c:v>
                </c:pt>
                <c:pt idx="88">
                  <c:v>0.32869204064347779</c:v>
                </c:pt>
                <c:pt idx="89">
                  <c:v>0.33425729180576735</c:v>
                </c:pt>
                <c:pt idx="90">
                  <c:v>0.33987702080588733</c:v>
                </c:pt>
                <c:pt idx="91">
                  <c:v>0.34555148031144584</c:v>
                </c:pt>
                <c:pt idx="92">
                  <c:v>0.35128092685817347</c:v>
                </c:pt>
                <c:pt idx="93">
                  <c:v>0.35706562088971683</c:v>
                </c:pt>
                <c:pt idx="94">
                  <c:v>0.36290582679817279</c:v>
                </c:pt>
                <c:pt idx="95">
                  <c:v>0.36880181296537795</c:v>
                </c:pt>
                <c:pt idx="96">
                  <c:v>0.37475385180496312</c:v>
                </c:pt>
                <c:pt idx="97">
                  <c:v>0.38076221980518699</c:v>
                </c:pt>
                <c:pt idx="98">
                  <c:v>0.3868271975725629</c:v>
                </c:pt>
                <c:pt idx="99">
                  <c:v>0.39294906987628991</c:v>
                </c:pt>
                <c:pt idx="100">
                  <c:v>0.39912812569350409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5A8-42F2-9E8C-4AC28D4F752D}"/>
            </c:ext>
          </c:extLst>
        </c:ser>
        <c:ser>
          <c:idx val="0"/>
          <c:order val="2"/>
          <c:tx>
            <c:v>Inductor Loss</c:v>
          </c:tx>
          <c:spPr>
            <a:ln w="31750">
              <a:solidFill>
                <a:srgbClr val="FF6600"/>
              </a:solidFill>
              <a:prstDash val="lgDash"/>
            </a:ln>
          </c:spPr>
          <c:marker>
            <c:symbol val="none"/>
          </c:marker>
          <c:xVal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  <c:pt idx="41">
                  <c:v>8.1999999999999993</c:v>
                </c:pt>
                <c:pt idx="42">
                  <c:v>8.4</c:v>
                </c:pt>
                <c:pt idx="43">
                  <c:v>8.6</c:v>
                </c:pt>
                <c:pt idx="44">
                  <c:v>8.8000000000000007</c:v>
                </c:pt>
                <c:pt idx="45">
                  <c:v>9</c:v>
                </c:pt>
                <c:pt idx="46">
                  <c:v>9.1999999999999993</c:v>
                </c:pt>
                <c:pt idx="47">
                  <c:v>9.4</c:v>
                </c:pt>
                <c:pt idx="48">
                  <c:v>9.6</c:v>
                </c:pt>
                <c:pt idx="49">
                  <c:v>9.8000000000000007</c:v>
                </c:pt>
                <c:pt idx="50">
                  <c:v>10</c:v>
                </c:pt>
                <c:pt idx="51">
                  <c:v>10.199999999999999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</c:v>
                </c:pt>
                <c:pt idx="81">
                  <c:v>16.2</c:v>
                </c:pt>
                <c:pt idx="82">
                  <c:v>16.399999999999999</c:v>
                </c:pt>
                <c:pt idx="83">
                  <c:v>16.600000000000001</c:v>
                </c:pt>
                <c:pt idx="84">
                  <c:v>16.8</c:v>
                </c:pt>
                <c:pt idx="85">
                  <c:v>17</c:v>
                </c:pt>
                <c:pt idx="86">
                  <c:v>17.2</c:v>
                </c:pt>
                <c:pt idx="87">
                  <c:v>17.399999999999999</c:v>
                </c:pt>
                <c:pt idx="88">
                  <c:v>17.600000000000001</c:v>
                </c:pt>
                <c:pt idx="89">
                  <c:v>17.8</c:v>
                </c:pt>
                <c:pt idx="90">
                  <c:v>18</c:v>
                </c:pt>
                <c:pt idx="91">
                  <c:v>18.2</c:v>
                </c:pt>
                <c:pt idx="92">
                  <c:v>18.399999999999999</c:v>
                </c:pt>
                <c:pt idx="93">
                  <c:v>18.600000000000001</c:v>
                </c:pt>
                <c:pt idx="94">
                  <c:v>18.8</c:v>
                </c:pt>
                <c:pt idx="95">
                  <c:v>19</c:v>
                </c:pt>
                <c:pt idx="96">
                  <c:v>19.2</c:v>
                </c:pt>
                <c:pt idx="97">
                  <c:v>19.399999999999999</c:v>
                </c:pt>
                <c:pt idx="98">
                  <c:v>19.600000000000001</c:v>
                </c:pt>
                <c:pt idx="99">
                  <c:v>19.8</c:v>
                </c:pt>
                <c:pt idx="100">
                  <c:v>20</c:v>
                </c:pt>
              </c:numCache>
            </c:numRef>
          </c:xVal>
          <c:yVal>
            <c:numRef>
              <c:f>'Efficiency vs Load Calculations'!$T$9:$T$109</c:f>
              <c:numCache>
                <c:formatCode>0.000</c:formatCode>
                <c:ptCount val="101"/>
                <c:pt idx="0">
                  <c:v>0.49776810399117544</c:v>
                </c:pt>
                <c:pt idx="1">
                  <c:v>0.4977496689499572</c:v>
                </c:pt>
                <c:pt idx="2">
                  <c:v>0.49795641797056961</c:v>
                </c:pt>
                <c:pt idx="3">
                  <c:v>0.49838838744010078</c:v>
                </c:pt>
                <c:pt idx="4">
                  <c:v>0.49904563808419466</c:v>
                </c:pt>
                <c:pt idx="5">
                  <c:v>0.49992825498345672</c:v>
                </c:pt>
                <c:pt idx="6">
                  <c:v>0.50103634759644611</c:v>
                </c:pt>
                <c:pt idx="7">
                  <c:v>0.50237004978926791</c:v>
                </c:pt>
                <c:pt idx="8">
                  <c:v>0.50392951987176926</c:v>
                </c:pt>
                <c:pt idx="9">
                  <c:v>0.50571494064037692</c:v>
                </c:pt>
                <c:pt idx="10">
                  <c:v>0.50772651942757441</c:v>
                </c:pt>
                <c:pt idx="11">
                  <c:v>0.50996448815806927</c:v>
                </c:pt>
                <c:pt idx="12">
                  <c:v>0.51242910341165238</c:v>
                </c:pt>
                <c:pt idx="13">
                  <c:v>0.5151206464928062</c:v>
                </c:pt>
                <c:pt idx="14">
                  <c:v>0.51803942350707755</c:v>
                </c:pt>
                <c:pt idx="15">
                  <c:v>0.52118576544426409</c:v>
                </c:pt>
                <c:pt idx="16">
                  <c:v>0.52456002826845816</c:v>
                </c:pt>
                <c:pt idx="17">
                  <c:v>0.52816259301498392</c:v>
                </c:pt>
                <c:pt idx="18">
                  <c:v>0.53199386589428443</c:v>
                </c:pt>
                <c:pt idx="19">
                  <c:v>0.53605427840281705</c:v>
                </c:pt>
                <c:pt idx="20">
                  <c:v>0.54034428744099749</c:v>
                </c:pt>
                <c:pt idx="21">
                  <c:v>0.5448643754382716</c:v>
                </c:pt>
                <c:pt idx="22">
                  <c:v>0.54961505048536352</c:v>
                </c:pt>
                <c:pt idx="23">
                  <c:v>0.55459684647378016</c:v>
                </c:pt>
                <c:pt idx="24">
                  <c:v>0.55981032324263424</c:v>
                </c:pt>
                <c:pt idx="25">
                  <c:v>0.56525606673286843</c:v>
                </c:pt>
                <c:pt idx="26">
                  <c:v>0.57093468914895817</c:v>
                </c:pt>
                <c:pt idx="27">
                  <c:v>0.57684682912817864</c:v>
                </c:pt>
                <c:pt idx="28">
                  <c:v>0.582993151917513</c:v>
                </c:pt>
                <c:pt idx="29">
                  <c:v>0.58937434955831636</c:v>
                </c:pt>
                <c:pt idx="30">
                  <c:v>0.59599114107881079</c:v>
                </c:pt>
                <c:pt idx="31">
                  <c:v>0.60284427269451635</c:v>
                </c:pt>
                <c:pt idx="32">
                  <c:v>0.60993451801673992</c:v>
                </c:pt>
                <c:pt idx="33">
                  <c:v>0.61726267826920544</c:v>
                </c:pt>
                <c:pt idx="34">
                  <c:v>0.62482958251296183</c:v>
                </c:pt>
                <c:pt idx="35">
                  <c:v>0.63263608787967596</c:v>
                </c:pt>
                <c:pt idx="36">
                  <c:v>0.64068307981343864</c:v>
                </c:pt>
                <c:pt idx="37">
                  <c:v>0.64897147232121422</c:v>
                </c:pt>
                <c:pt idx="38">
                  <c:v>0.65750220823206262</c:v>
                </c:pt>
                <c:pt idx="39">
                  <c:v>0.66627625946527691</c:v>
                </c:pt>
                <c:pt idx="40">
                  <c:v>0.67529462730758238</c:v>
                </c:pt>
                <c:pt idx="41">
                  <c:v>0.68455834269953875</c:v>
                </c:pt>
                <c:pt idx="42">
                  <c:v>0.69406846653131826</c:v>
                </c:pt>
                <c:pt idx="43">
                  <c:v>0.70382608994799245</c:v>
                </c:pt>
                <c:pt idx="44">
                  <c:v>0.71383233466452922</c:v>
                </c:pt>
                <c:pt idx="45">
                  <c:v>0.7240883532906448</c:v>
                </c:pt>
                <c:pt idx="46">
                  <c:v>0.73459532966570174</c:v>
                </c:pt>
                <c:pt idx="47">
                  <c:v>0.74535447920383979</c:v>
                </c:pt>
                <c:pt idx="48">
                  <c:v>0.75636704924952558</c:v>
                </c:pt>
                <c:pt idx="49">
                  <c:v>0.76763431944372584</c:v>
                </c:pt>
                <c:pt idx="50">
                  <c:v>0.77915760210090568</c:v>
                </c:pt>
                <c:pt idx="51">
                  <c:v>0.7909382425970588</c:v>
                </c:pt>
                <c:pt idx="52">
                  <c:v>0.80297761976900772</c:v>
                </c:pt>
                <c:pt idx="53">
                  <c:v>0.81527714632517601</c:v>
                </c:pt>
                <c:pt idx="54">
                  <c:v>0.82783826926808723</c:v>
                </c:pt>
                <c:pt idx="55">
                  <c:v>0.84066247032882191</c:v>
                </c:pt>
                <c:pt idx="56">
                  <c:v>0.85375126641368881</c:v>
                </c:pt>
                <c:pt idx="57">
                  <c:v>0.86710621006336619</c:v>
                </c:pt>
                <c:pt idx="58">
                  <c:v>0.88072888992477916</c:v>
                </c:pt>
                <c:pt idx="59">
                  <c:v>0.89462093123599662</c:v>
                </c:pt>
                <c:pt idx="60">
                  <c:v>0.90878399632442086</c:v>
                </c:pt>
                <c:pt idx="61">
                  <c:v>0.92321978511858038</c:v>
                </c:pt>
                <c:pt idx="62">
                  <c:v>0.93793003567380895</c:v>
                </c:pt>
                <c:pt idx="63">
                  <c:v>0.95291652471215182</c:v>
                </c:pt>
                <c:pt idx="64">
                  <c:v>0.9681810681767985</c:v>
                </c:pt>
                <c:pt idx="65">
                  <c:v>0.98372552180139072</c:v>
                </c:pt>
                <c:pt idx="66">
                  <c:v>0.99955178169455272</c:v>
                </c:pt>
                <c:pt idx="67">
                  <c:v>1.0156617849399914</c:v>
                </c:pt>
                <c:pt idx="68">
                  <c:v>1.0320575102125442</c:v>
                </c:pt>
                <c:pt idx="69">
                  <c:v>1.0487409784105521</c:v>
                </c:pt>
                <c:pt idx="70">
                  <c:v>1.0657142533049491</c:v>
                </c:pt>
                <c:pt idx="71">
                  <c:v>1.0829794422054828</c:v>
                </c:pt>
                <c:pt idx="72">
                  <c:v>1.1005386966444695</c:v>
                </c:pt>
                <c:pt idx="73">
                  <c:v>1.1183942130785338</c:v>
                </c:pt>
                <c:pt idx="74">
                  <c:v>1.1365482336087696</c:v>
                </c:pt>
                <c:pt idx="75">
                  <c:v>1.1550030467197892</c:v>
                </c:pt>
                <c:pt idx="76">
                  <c:v>1.1737609880381301</c:v>
                </c:pt>
                <c:pt idx="77">
                  <c:v>1.1928244411105233</c:v>
                </c:pt>
                <c:pt idx="78">
                  <c:v>1.2121958382025231</c:v>
                </c:pt>
                <c:pt idx="79">
                  <c:v>1.2318776611180198</c:v>
                </c:pt>
                <c:pt idx="80">
                  <c:v>1.2518724420401965</c:v>
                </c:pt>
                <c:pt idx="81">
                  <c:v>1.2721827643944668</c:v>
                </c:pt>
                <c:pt idx="82">
                  <c:v>1.2928112637339866</c:v>
                </c:pt>
                <c:pt idx="83">
                  <c:v>1.3137606286483394</c:v>
                </c:pt>
                <c:pt idx="84">
                  <c:v>1.3350336016959998</c:v>
                </c:pt>
                <c:pt idx="85">
                  <c:v>1.3566329803612329</c:v>
                </c:pt>
                <c:pt idx="86">
                  <c:v>1.3785616180360682</c:v>
                </c:pt>
                <c:pt idx="87">
                  <c:v>1.4008224250280497</c:v>
                </c:pt>
                <c:pt idx="88">
                  <c:v>1.4234183695944489</c:v>
                </c:pt>
                <c:pt idx="89">
                  <c:v>1.4463524790036839</c:v>
                </c:pt>
                <c:pt idx="90">
                  <c:v>1.4696278406246908</c:v>
                </c:pt>
                <c:pt idx="91">
                  <c:v>1.4932476030450181</c:v>
                </c:pt>
                <c:pt idx="92">
                  <c:v>1.5172149772184684</c:v>
                </c:pt>
                <c:pt idx="93">
                  <c:v>1.5415332376430966</c:v>
                </c:pt>
                <c:pt idx="94">
                  <c:v>1.5662057235704383</c:v>
                </c:pt>
                <c:pt idx="95">
                  <c:v>1.5912358402468607</c:v>
                </c:pt>
                <c:pt idx="96">
                  <c:v>1.6166270601879442</c:v>
                </c:pt>
                <c:pt idx="97">
                  <c:v>1.6423829244868526</c:v>
                </c:pt>
                <c:pt idx="98">
                  <c:v>1.6685070441576857</c:v>
                </c:pt>
                <c:pt idx="99">
                  <c:v>1.6950031015148099</c:v>
                </c:pt>
                <c:pt idx="100">
                  <c:v>1.7218748515892479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5A8-42F2-9E8C-4AC28D4F75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372224"/>
        <c:axId val="158374144"/>
      </c:scatterChart>
      <c:valAx>
        <c:axId val="158372224"/>
        <c:scaling>
          <c:orientation val="minMax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Input</a:t>
                </a:r>
                <a:r>
                  <a:rPr lang="en-US" sz="1100" baseline="0"/>
                  <a:t> Voltage (V)</a:t>
                </a:r>
                <a:endParaRPr lang="en-US" sz="1100"/>
              </a:p>
            </c:rich>
          </c:tx>
          <c:layout>
            <c:manualLayout>
              <c:xMode val="edge"/>
              <c:yMode val="edge"/>
              <c:x val="0.47898089171975511"/>
              <c:y val="0.9254040724748199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374144"/>
        <c:crosses val="autoZero"/>
        <c:crossBetween val="midCat"/>
      </c:valAx>
      <c:valAx>
        <c:axId val="1583741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Power Disipation (W)</a:t>
                </a:r>
              </a:p>
            </c:rich>
          </c:tx>
          <c:layout>
            <c:manualLayout>
              <c:xMode val="edge"/>
              <c:yMode val="edge"/>
              <c:x val="1.9108297737292643E-2"/>
              <c:y val="0.3461025738718144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372224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2383745388469802"/>
          <c:y val="1.0080645161290322E-2"/>
          <c:w val="0.35068494759833341"/>
          <c:h val="0.129032469731606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600"/>
              <a:t> Overall Efficiency</a:t>
            </a:r>
          </a:p>
        </c:rich>
      </c:tx>
      <c:layout>
        <c:manualLayout>
          <c:xMode val="edge"/>
          <c:yMode val="edge"/>
          <c:x val="0.41192468827576156"/>
          <c:y val="3.02419354838718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74102129638858"/>
          <c:y val="0.15927435034411094"/>
          <c:w val="0.85384629851107507"/>
          <c:h val="0.72983942815910108"/>
        </c:manualLayout>
      </c:layout>
      <c:scatterChart>
        <c:scatterStyle val="lineMarker"/>
        <c:varyColors val="0"/>
        <c:ser>
          <c:idx val="0"/>
          <c:order val="0"/>
          <c:tx>
            <c:v>Efficiency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  <c:pt idx="41">
                  <c:v>8.1999999999999993</c:v>
                </c:pt>
                <c:pt idx="42">
                  <c:v>8.4</c:v>
                </c:pt>
                <c:pt idx="43">
                  <c:v>8.6</c:v>
                </c:pt>
                <c:pt idx="44">
                  <c:v>8.8000000000000007</c:v>
                </c:pt>
                <c:pt idx="45">
                  <c:v>9</c:v>
                </c:pt>
                <c:pt idx="46">
                  <c:v>9.1999999999999993</c:v>
                </c:pt>
                <c:pt idx="47">
                  <c:v>9.4</c:v>
                </c:pt>
                <c:pt idx="48">
                  <c:v>9.6</c:v>
                </c:pt>
                <c:pt idx="49">
                  <c:v>9.8000000000000007</c:v>
                </c:pt>
                <c:pt idx="50">
                  <c:v>10</c:v>
                </c:pt>
                <c:pt idx="51">
                  <c:v>10.199999999999999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</c:v>
                </c:pt>
                <c:pt idx="81">
                  <c:v>16.2</c:v>
                </c:pt>
                <c:pt idx="82">
                  <c:v>16.399999999999999</c:v>
                </c:pt>
                <c:pt idx="83">
                  <c:v>16.600000000000001</c:v>
                </c:pt>
                <c:pt idx="84">
                  <c:v>16.8</c:v>
                </c:pt>
                <c:pt idx="85">
                  <c:v>17</c:v>
                </c:pt>
                <c:pt idx="86">
                  <c:v>17.2</c:v>
                </c:pt>
                <c:pt idx="87">
                  <c:v>17.399999999999999</c:v>
                </c:pt>
                <c:pt idx="88">
                  <c:v>17.600000000000001</c:v>
                </c:pt>
                <c:pt idx="89">
                  <c:v>17.8</c:v>
                </c:pt>
                <c:pt idx="90">
                  <c:v>18</c:v>
                </c:pt>
                <c:pt idx="91">
                  <c:v>18.2</c:v>
                </c:pt>
                <c:pt idx="92">
                  <c:v>18.399999999999999</c:v>
                </c:pt>
                <c:pt idx="93">
                  <c:v>18.600000000000001</c:v>
                </c:pt>
                <c:pt idx="94">
                  <c:v>18.8</c:v>
                </c:pt>
                <c:pt idx="95">
                  <c:v>19</c:v>
                </c:pt>
                <c:pt idx="96">
                  <c:v>19.2</c:v>
                </c:pt>
                <c:pt idx="97">
                  <c:v>19.399999999999999</c:v>
                </c:pt>
                <c:pt idx="98">
                  <c:v>19.600000000000001</c:v>
                </c:pt>
                <c:pt idx="99">
                  <c:v>19.8</c:v>
                </c:pt>
                <c:pt idx="100">
                  <c:v>20</c:v>
                </c:pt>
              </c:numCache>
            </c:numRef>
          </c:xVal>
          <c:yVal>
            <c:numRef>
              <c:f>'Efficiency vs Load Calculations'!$BD$9:$BD$109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7E0-45DB-9682-28670646EC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390912"/>
        <c:axId val="158892800"/>
      </c:scatterChart>
      <c:valAx>
        <c:axId val="158390912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Input</a:t>
                </a:r>
                <a:r>
                  <a:rPr lang="en-US" sz="1100" baseline="0"/>
                  <a:t> Voltage (V)</a:t>
                </a:r>
                <a:endParaRPr lang="en-US" sz="1100"/>
              </a:p>
            </c:rich>
          </c:tx>
          <c:layout>
            <c:manualLayout>
              <c:xMode val="edge"/>
              <c:yMode val="edge"/>
              <c:x val="0.4576315442322012"/>
              <c:y val="0.9435492337651342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892800"/>
        <c:crosses val="autoZero"/>
        <c:crossBetween val="midCat"/>
      </c:valAx>
      <c:valAx>
        <c:axId val="158892800"/>
        <c:scaling>
          <c:orientation val="minMax"/>
          <c:max val="1"/>
          <c:min val="0.70000000000000007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Efficiency (%)</a:t>
                </a:r>
              </a:p>
            </c:rich>
          </c:tx>
          <c:layout>
            <c:manualLayout>
              <c:xMode val="edge"/>
              <c:yMode val="edge"/>
              <c:x val="6.7750677506776052E-3"/>
              <c:y val="0.42741977817289695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390912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636970175475957"/>
          <c:y val="3.6290322580645726E-2"/>
          <c:w val="0.11788632112042907"/>
          <c:h val="4.233870967741935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LM5175 Bode Plot</a:t>
            </a:r>
          </a:p>
        </c:rich>
      </c:tx>
      <c:layout>
        <c:manualLayout>
          <c:xMode val="edge"/>
          <c:yMode val="edge"/>
          <c:x val="0.40864917395529671"/>
          <c:y val="2.1377650374348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49854227405264"/>
          <c:y val="9.5803642121931945E-2"/>
          <c:w val="0.80272108843537593"/>
          <c:h val="0.7173404994392298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'Stability Calculations'!$Q$12</c:f>
              <c:strCache>
                <c:ptCount val="1"/>
                <c:pt idx="0">
                  <c:v>Gain (dB)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'Stability Calculations'!$A$13:$A$613</c:f>
              <c:numCache>
                <c:formatCode>General</c:formatCode>
                <c:ptCount val="601"/>
                <c:pt idx="0">
                  <c:v>1</c:v>
                </c:pt>
                <c:pt idx="1">
                  <c:v>1.0965</c:v>
                </c:pt>
                <c:pt idx="2">
                  <c:v>1.2022999999999999</c:v>
                </c:pt>
                <c:pt idx="3">
                  <c:v>1.3183</c:v>
                </c:pt>
                <c:pt idx="4">
                  <c:v>1.4454</c:v>
                </c:pt>
                <c:pt idx="5">
                  <c:v>1.5849</c:v>
                </c:pt>
                <c:pt idx="6">
                  <c:v>1.7378</c:v>
                </c:pt>
                <c:pt idx="7">
                  <c:v>1.9055</c:v>
                </c:pt>
                <c:pt idx="8">
                  <c:v>2.0893000000000002</c:v>
                </c:pt>
                <c:pt idx="9">
                  <c:v>2.2909000000000002</c:v>
                </c:pt>
                <c:pt idx="10">
                  <c:v>2.5118999999999998</c:v>
                </c:pt>
                <c:pt idx="11">
                  <c:v>2.7542</c:v>
                </c:pt>
                <c:pt idx="12">
                  <c:v>3.02</c:v>
                </c:pt>
                <c:pt idx="13">
                  <c:v>3.3113000000000001</c:v>
                </c:pt>
                <c:pt idx="14">
                  <c:v>3.6307999999999998</c:v>
                </c:pt>
                <c:pt idx="15">
                  <c:v>3.9811000000000001</c:v>
                </c:pt>
                <c:pt idx="16">
                  <c:v>4.3651999999999997</c:v>
                </c:pt>
                <c:pt idx="17">
                  <c:v>4.7862999999999998</c:v>
                </c:pt>
                <c:pt idx="18">
                  <c:v>5.2481</c:v>
                </c:pt>
                <c:pt idx="19">
                  <c:v>5.7544000000000004</c:v>
                </c:pt>
                <c:pt idx="20">
                  <c:v>6.3095999999999997</c:v>
                </c:pt>
                <c:pt idx="21">
                  <c:v>6.9183000000000003</c:v>
                </c:pt>
                <c:pt idx="22">
                  <c:v>7.5857999999999999</c:v>
                </c:pt>
                <c:pt idx="23">
                  <c:v>8.3176000000000005</c:v>
                </c:pt>
                <c:pt idx="24">
                  <c:v>9.1201000000000008</c:v>
                </c:pt>
                <c:pt idx="25">
                  <c:v>10</c:v>
                </c:pt>
                <c:pt idx="26">
                  <c:v>10.965</c:v>
                </c:pt>
                <c:pt idx="27">
                  <c:v>12.023</c:v>
                </c:pt>
                <c:pt idx="28">
                  <c:v>13.183</c:v>
                </c:pt>
                <c:pt idx="29">
                  <c:v>14.454000000000001</c:v>
                </c:pt>
                <c:pt idx="30">
                  <c:v>15.849</c:v>
                </c:pt>
                <c:pt idx="31">
                  <c:v>17.378</c:v>
                </c:pt>
                <c:pt idx="32">
                  <c:v>19.055</c:v>
                </c:pt>
                <c:pt idx="33">
                  <c:v>20.893000000000001</c:v>
                </c:pt>
                <c:pt idx="34">
                  <c:v>22.909000000000002</c:v>
                </c:pt>
                <c:pt idx="35">
                  <c:v>25.119</c:v>
                </c:pt>
                <c:pt idx="36">
                  <c:v>27.542000000000002</c:v>
                </c:pt>
                <c:pt idx="37">
                  <c:v>30.2</c:v>
                </c:pt>
                <c:pt idx="38">
                  <c:v>33.113</c:v>
                </c:pt>
                <c:pt idx="39">
                  <c:v>36.308</c:v>
                </c:pt>
                <c:pt idx="40">
                  <c:v>39.811</c:v>
                </c:pt>
                <c:pt idx="41">
                  <c:v>43.652000000000001</c:v>
                </c:pt>
                <c:pt idx="42">
                  <c:v>47.863</c:v>
                </c:pt>
                <c:pt idx="43">
                  <c:v>52.481000000000002</c:v>
                </c:pt>
                <c:pt idx="44">
                  <c:v>57.544000000000004</c:v>
                </c:pt>
                <c:pt idx="45">
                  <c:v>63.095999999999997</c:v>
                </c:pt>
                <c:pt idx="46">
                  <c:v>69.183000000000007</c:v>
                </c:pt>
                <c:pt idx="47">
                  <c:v>75.858000000000004</c:v>
                </c:pt>
                <c:pt idx="48">
                  <c:v>83.176000000000002</c:v>
                </c:pt>
                <c:pt idx="49">
                  <c:v>91.201000000000008</c:v>
                </c:pt>
                <c:pt idx="50">
                  <c:v>100</c:v>
                </c:pt>
                <c:pt idx="51">
                  <c:v>109.65</c:v>
                </c:pt>
                <c:pt idx="52">
                  <c:v>120.23</c:v>
                </c:pt>
                <c:pt idx="53">
                  <c:v>131.83000000000001</c:v>
                </c:pt>
                <c:pt idx="54">
                  <c:v>144.54</c:v>
                </c:pt>
                <c:pt idx="55">
                  <c:v>158.49</c:v>
                </c:pt>
                <c:pt idx="56">
                  <c:v>173.78</c:v>
                </c:pt>
                <c:pt idx="57">
                  <c:v>190.55</c:v>
                </c:pt>
                <c:pt idx="58">
                  <c:v>208.93</c:v>
                </c:pt>
                <c:pt idx="59">
                  <c:v>229.09</c:v>
                </c:pt>
                <c:pt idx="60">
                  <c:v>251.19</c:v>
                </c:pt>
                <c:pt idx="61">
                  <c:v>275.42</c:v>
                </c:pt>
                <c:pt idx="62">
                  <c:v>302</c:v>
                </c:pt>
                <c:pt idx="63">
                  <c:v>331.13</c:v>
                </c:pt>
                <c:pt idx="64">
                  <c:v>363.08</c:v>
                </c:pt>
                <c:pt idx="65">
                  <c:v>398.11</c:v>
                </c:pt>
                <c:pt idx="66">
                  <c:v>436.52</c:v>
                </c:pt>
                <c:pt idx="67">
                  <c:v>478.63</c:v>
                </c:pt>
                <c:pt idx="68">
                  <c:v>524.80999999999995</c:v>
                </c:pt>
                <c:pt idx="69">
                  <c:v>575.44000000000005</c:v>
                </c:pt>
                <c:pt idx="70">
                  <c:v>630.96</c:v>
                </c:pt>
                <c:pt idx="71">
                  <c:v>691.83</c:v>
                </c:pt>
                <c:pt idx="72">
                  <c:v>758.58</c:v>
                </c:pt>
                <c:pt idx="73">
                  <c:v>831.76</c:v>
                </c:pt>
                <c:pt idx="74">
                  <c:v>912.01</c:v>
                </c:pt>
                <c:pt idx="75">
                  <c:v>1000</c:v>
                </c:pt>
                <c:pt idx="76">
                  <c:v>1096.5</c:v>
                </c:pt>
                <c:pt idx="77">
                  <c:v>1202.3</c:v>
                </c:pt>
                <c:pt idx="78">
                  <c:v>1318.3</c:v>
                </c:pt>
                <c:pt idx="79">
                  <c:v>1445.4</c:v>
                </c:pt>
                <c:pt idx="80">
                  <c:v>1584.9</c:v>
                </c:pt>
                <c:pt idx="81">
                  <c:v>1737.8</c:v>
                </c:pt>
                <c:pt idx="82">
                  <c:v>1905.5</c:v>
                </c:pt>
                <c:pt idx="83">
                  <c:v>2089.3000000000002</c:v>
                </c:pt>
                <c:pt idx="84">
                  <c:v>2290.9</c:v>
                </c:pt>
                <c:pt idx="85">
                  <c:v>2511.9</c:v>
                </c:pt>
                <c:pt idx="86">
                  <c:v>2754.2</c:v>
                </c:pt>
                <c:pt idx="87">
                  <c:v>3020</c:v>
                </c:pt>
                <c:pt idx="88">
                  <c:v>3311.3</c:v>
                </c:pt>
                <c:pt idx="89">
                  <c:v>3630.8</c:v>
                </c:pt>
                <c:pt idx="90">
                  <c:v>3981.1</c:v>
                </c:pt>
                <c:pt idx="91">
                  <c:v>4365.2</c:v>
                </c:pt>
                <c:pt idx="92">
                  <c:v>4786.3</c:v>
                </c:pt>
                <c:pt idx="93">
                  <c:v>5248.1</c:v>
                </c:pt>
                <c:pt idx="94">
                  <c:v>5370.3</c:v>
                </c:pt>
                <c:pt idx="95">
                  <c:v>5432.85</c:v>
                </c:pt>
                <c:pt idx="96">
                  <c:v>5495.4</c:v>
                </c:pt>
                <c:pt idx="97">
                  <c:v>5559.4</c:v>
                </c:pt>
                <c:pt idx="98">
                  <c:v>5623.4</c:v>
                </c:pt>
                <c:pt idx="99">
                  <c:v>5688.9</c:v>
                </c:pt>
                <c:pt idx="100">
                  <c:v>5754.4</c:v>
                </c:pt>
                <c:pt idx="101">
                  <c:v>5821.4</c:v>
                </c:pt>
                <c:pt idx="102">
                  <c:v>5888.4</c:v>
                </c:pt>
                <c:pt idx="103">
                  <c:v>5957</c:v>
                </c:pt>
                <c:pt idx="104">
                  <c:v>6025.6</c:v>
                </c:pt>
                <c:pt idx="105">
                  <c:v>6095.8</c:v>
                </c:pt>
                <c:pt idx="106">
                  <c:v>6166</c:v>
                </c:pt>
                <c:pt idx="107">
                  <c:v>6237.8</c:v>
                </c:pt>
                <c:pt idx="108">
                  <c:v>6309.6</c:v>
                </c:pt>
                <c:pt idx="109">
                  <c:v>6383.05</c:v>
                </c:pt>
                <c:pt idx="110">
                  <c:v>6456.5</c:v>
                </c:pt>
                <c:pt idx="111">
                  <c:v>6531.7</c:v>
                </c:pt>
                <c:pt idx="112">
                  <c:v>6606.9</c:v>
                </c:pt>
                <c:pt idx="113">
                  <c:v>6683.85</c:v>
                </c:pt>
                <c:pt idx="114">
                  <c:v>6760.8</c:v>
                </c:pt>
                <c:pt idx="115">
                  <c:v>6839.55</c:v>
                </c:pt>
                <c:pt idx="116">
                  <c:v>6918.3</c:v>
                </c:pt>
                <c:pt idx="117">
                  <c:v>6998.9</c:v>
                </c:pt>
                <c:pt idx="118">
                  <c:v>7079.5</c:v>
                </c:pt>
                <c:pt idx="119">
                  <c:v>7161.95</c:v>
                </c:pt>
                <c:pt idx="120">
                  <c:v>7244.4</c:v>
                </c:pt>
                <c:pt idx="121">
                  <c:v>7328.75</c:v>
                </c:pt>
                <c:pt idx="122">
                  <c:v>7413.1</c:v>
                </c:pt>
                <c:pt idx="123">
                  <c:v>7499.45</c:v>
                </c:pt>
                <c:pt idx="124">
                  <c:v>7585.8</c:v>
                </c:pt>
                <c:pt idx="125">
                  <c:v>7674.15</c:v>
                </c:pt>
                <c:pt idx="126">
                  <c:v>7762.5</c:v>
                </c:pt>
                <c:pt idx="127">
                  <c:v>7852.9</c:v>
                </c:pt>
                <c:pt idx="128">
                  <c:v>7943.3</c:v>
                </c:pt>
                <c:pt idx="129">
                  <c:v>8035.8</c:v>
                </c:pt>
                <c:pt idx="130">
                  <c:v>8128.3</c:v>
                </c:pt>
                <c:pt idx="131">
                  <c:v>8222.9500000000007</c:v>
                </c:pt>
                <c:pt idx="132">
                  <c:v>8270.2750000000015</c:v>
                </c:pt>
                <c:pt idx="133">
                  <c:v>8317.6</c:v>
                </c:pt>
                <c:pt idx="134">
                  <c:v>8366.0499999999993</c:v>
                </c:pt>
                <c:pt idx="135">
                  <c:v>8414.5</c:v>
                </c:pt>
                <c:pt idx="136">
                  <c:v>8462.9500000000007</c:v>
                </c:pt>
                <c:pt idx="137">
                  <c:v>8511.4</c:v>
                </c:pt>
                <c:pt idx="138">
                  <c:v>8560.9500000000007</c:v>
                </c:pt>
                <c:pt idx="139">
                  <c:v>8610.5</c:v>
                </c:pt>
                <c:pt idx="140">
                  <c:v>8660.0499999999993</c:v>
                </c:pt>
                <c:pt idx="141">
                  <c:v>8709.6</c:v>
                </c:pt>
                <c:pt idx="142">
                  <c:v>8760.3250000000007</c:v>
                </c:pt>
                <c:pt idx="143">
                  <c:v>8811.0499999999993</c:v>
                </c:pt>
                <c:pt idx="144">
                  <c:v>8861.7749999999996</c:v>
                </c:pt>
                <c:pt idx="145">
                  <c:v>8912.5</c:v>
                </c:pt>
                <c:pt idx="146">
                  <c:v>8964.4</c:v>
                </c:pt>
                <c:pt idx="147">
                  <c:v>9016.2999999999993</c:v>
                </c:pt>
                <c:pt idx="148">
                  <c:v>9068.2000000000007</c:v>
                </c:pt>
                <c:pt idx="149">
                  <c:v>9120.1</c:v>
                </c:pt>
                <c:pt idx="150">
                  <c:v>9173.2000000000007</c:v>
                </c:pt>
                <c:pt idx="151">
                  <c:v>9226.2999999999993</c:v>
                </c:pt>
                <c:pt idx="152">
                  <c:v>9279.4</c:v>
                </c:pt>
                <c:pt idx="153">
                  <c:v>9332.5</c:v>
                </c:pt>
                <c:pt idx="154">
                  <c:v>9386.85</c:v>
                </c:pt>
                <c:pt idx="155">
                  <c:v>9441.2000000000007</c:v>
                </c:pt>
                <c:pt idx="156">
                  <c:v>9495.5499999999993</c:v>
                </c:pt>
                <c:pt idx="157">
                  <c:v>9549.9</c:v>
                </c:pt>
                <c:pt idx="158">
                  <c:v>9605.5249999999996</c:v>
                </c:pt>
                <c:pt idx="159">
                  <c:v>9661.15</c:v>
                </c:pt>
                <c:pt idx="160">
                  <c:v>9716.7749999999996</c:v>
                </c:pt>
                <c:pt idx="161">
                  <c:v>9772.4</c:v>
                </c:pt>
                <c:pt idx="162">
                  <c:v>9829.2999999999993</c:v>
                </c:pt>
                <c:pt idx="163">
                  <c:v>9886.2000000000007</c:v>
                </c:pt>
                <c:pt idx="164">
                  <c:v>9943.1</c:v>
                </c:pt>
                <c:pt idx="165">
                  <c:v>10000</c:v>
                </c:pt>
                <c:pt idx="166">
                  <c:v>10058.25</c:v>
                </c:pt>
                <c:pt idx="167">
                  <c:v>10116.5</c:v>
                </c:pt>
                <c:pt idx="168">
                  <c:v>10174.75</c:v>
                </c:pt>
                <c:pt idx="169">
                  <c:v>10233</c:v>
                </c:pt>
                <c:pt idx="170">
                  <c:v>10292.5</c:v>
                </c:pt>
                <c:pt idx="171">
                  <c:v>10352</c:v>
                </c:pt>
                <c:pt idx="172">
                  <c:v>10411.5</c:v>
                </c:pt>
                <c:pt idx="173">
                  <c:v>10471</c:v>
                </c:pt>
                <c:pt idx="174">
                  <c:v>10532</c:v>
                </c:pt>
                <c:pt idx="175">
                  <c:v>10593</c:v>
                </c:pt>
                <c:pt idx="176">
                  <c:v>10654</c:v>
                </c:pt>
                <c:pt idx="177">
                  <c:v>10715</c:v>
                </c:pt>
                <c:pt idx="178">
                  <c:v>10777.5</c:v>
                </c:pt>
                <c:pt idx="179">
                  <c:v>10840</c:v>
                </c:pt>
                <c:pt idx="180">
                  <c:v>10902.5</c:v>
                </c:pt>
                <c:pt idx="181">
                  <c:v>10965</c:v>
                </c:pt>
                <c:pt idx="182">
                  <c:v>11028.75</c:v>
                </c:pt>
                <c:pt idx="183">
                  <c:v>11092.5</c:v>
                </c:pt>
                <c:pt idx="184">
                  <c:v>11156.25</c:v>
                </c:pt>
                <c:pt idx="185">
                  <c:v>11220</c:v>
                </c:pt>
                <c:pt idx="186">
                  <c:v>11285.5</c:v>
                </c:pt>
                <c:pt idx="187">
                  <c:v>11351</c:v>
                </c:pt>
                <c:pt idx="188">
                  <c:v>11416.5</c:v>
                </c:pt>
                <c:pt idx="189">
                  <c:v>11482</c:v>
                </c:pt>
                <c:pt idx="190">
                  <c:v>11548.75</c:v>
                </c:pt>
                <c:pt idx="191">
                  <c:v>11615.5</c:v>
                </c:pt>
                <c:pt idx="192">
                  <c:v>11682.25</c:v>
                </c:pt>
                <c:pt idx="193">
                  <c:v>11749</c:v>
                </c:pt>
                <c:pt idx="194">
                  <c:v>11817.5</c:v>
                </c:pt>
                <c:pt idx="195">
                  <c:v>11886</c:v>
                </c:pt>
                <c:pt idx="196">
                  <c:v>11954.5</c:v>
                </c:pt>
                <c:pt idx="197">
                  <c:v>12023</c:v>
                </c:pt>
                <c:pt idx="198">
                  <c:v>12093</c:v>
                </c:pt>
                <c:pt idx="199">
                  <c:v>12163</c:v>
                </c:pt>
                <c:pt idx="200">
                  <c:v>12233</c:v>
                </c:pt>
                <c:pt idx="201">
                  <c:v>12303</c:v>
                </c:pt>
                <c:pt idx="202">
                  <c:v>12374.5</c:v>
                </c:pt>
                <c:pt idx="203">
                  <c:v>12446</c:v>
                </c:pt>
                <c:pt idx="204">
                  <c:v>12517.5</c:v>
                </c:pt>
                <c:pt idx="205">
                  <c:v>12589</c:v>
                </c:pt>
                <c:pt idx="206">
                  <c:v>12662.25</c:v>
                </c:pt>
                <c:pt idx="207">
                  <c:v>12735.5</c:v>
                </c:pt>
                <c:pt idx="208">
                  <c:v>12808.75</c:v>
                </c:pt>
                <c:pt idx="209">
                  <c:v>12882</c:v>
                </c:pt>
                <c:pt idx="210">
                  <c:v>12957.25</c:v>
                </c:pt>
                <c:pt idx="211">
                  <c:v>13032.5</c:v>
                </c:pt>
                <c:pt idx="212">
                  <c:v>13107.75</c:v>
                </c:pt>
                <c:pt idx="213">
                  <c:v>13183</c:v>
                </c:pt>
                <c:pt idx="214">
                  <c:v>13259.75</c:v>
                </c:pt>
                <c:pt idx="215">
                  <c:v>13336.5</c:v>
                </c:pt>
                <c:pt idx="216">
                  <c:v>13413.25</c:v>
                </c:pt>
                <c:pt idx="217">
                  <c:v>13490</c:v>
                </c:pt>
                <c:pt idx="218">
                  <c:v>13568.5</c:v>
                </c:pt>
                <c:pt idx="219">
                  <c:v>13647</c:v>
                </c:pt>
                <c:pt idx="220">
                  <c:v>13725.5</c:v>
                </c:pt>
                <c:pt idx="221">
                  <c:v>13804</c:v>
                </c:pt>
                <c:pt idx="222">
                  <c:v>13884.25</c:v>
                </c:pt>
                <c:pt idx="223">
                  <c:v>13964.5</c:v>
                </c:pt>
                <c:pt idx="224">
                  <c:v>14044.75</c:v>
                </c:pt>
                <c:pt idx="225">
                  <c:v>14125</c:v>
                </c:pt>
                <c:pt idx="226">
                  <c:v>14207.25</c:v>
                </c:pt>
                <c:pt idx="227">
                  <c:v>14289.5</c:v>
                </c:pt>
                <c:pt idx="228">
                  <c:v>14371.75</c:v>
                </c:pt>
                <c:pt idx="229">
                  <c:v>14454</c:v>
                </c:pt>
                <c:pt idx="230">
                  <c:v>14622.5</c:v>
                </c:pt>
                <c:pt idx="231">
                  <c:v>14706.75</c:v>
                </c:pt>
                <c:pt idx="232">
                  <c:v>14791</c:v>
                </c:pt>
                <c:pt idx="233">
                  <c:v>14877.25</c:v>
                </c:pt>
                <c:pt idx="234">
                  <c:v>14963.5</c:v>
                </c:pt>
                <c:pt idx="235">
                  <c:v>15049.75</c:v>
                </c:pt>
                <c:pt idx="236">
                  <c:v>15136</c:v>
                </c:pt>
                <c:pt idx="237">
                  <c:v>15224</c:v>
                </c:pt>
                <c:pt idx="238">
                  <c:v>15312</c:v>
                </c:pt>
                <c:pt idx="239">
                  <c:v>15400</c:v>
                </c:pt>
                <c:pt idx="240">
                  <c:v>15488</c:v>
                </c:pt>
                <c:pt idx="241">
                  <c:v>15578.25</c:v>
                </c:pt>
                <c:pt idx="242">
                  <c:v>15668.5</c:v>
                </c:pt>
                <c:pt idx="243">
                  <c:v>15758.75</c:v>
                </c:pt>
                <c:pt idx="244">
                  <c:v>15849</c:v>
                </c:pt>
                <c:pt idx="245">
                  <c:v>15941.25</c:v>
                </c:pt>
                <c:pt idx="246">
                  <c:v>16033.5</c:v>
                </c:pt>
                <c:pt idx="247">
                  <c:v>16125.75</c:v>
                </c:pt>
                <c:pt idx="248">
                  <c:v>16218</c:v>
                </c:pt>
                <c:pt idx="249">
                  <c:v>16312.5</c:v>
                </c:pt>
                <c:pt idx="250">
                  <c:v>16407</c:v>
                </c:pt>
                <c:pt idx="251">
                  <c:v>16501.5</c:v>
                </c:pt>
                <c:pt idx="252">
                  <c:v>16596</c:v>
                </c:pt>
                <c:pt idx="253">
                  <c:v>16692.5</c:v>
                </c:pt>
                <c:pt idx="254">
                  <c:v>16789</c:v>
                </c:pt>
                <c:pt idx="255">
                  <c:v>16885.5</c:v>
                </c:pt>
                <c:pt idx="256">
                  <c:v>16982</c:v>
                </c:pt>
                <c:pt idx="257">
                  <c:v>17081</c:v>
                </c:pt>
                <c:pt idx="258">
                  <c:v>17180</c:v>
                </c:pt>
                <c:pt idx="259">
                  <c:v>17279</c:v>
                </c:pt>
                <c:pt idx="260">
                  <c:v>17378</c:v>
                </c:pt>
                <c:pt idx="261">
                  <c:v>17479.25</c:v>
                </c:pt>
                <c:pt idx="262">
                  <c:v>17580.5</c:v>
                </c:pt>
                <c:pt idx="263">
                  <c:v>17681.75</c:v>
                </c:pt>
                <c:pt idx="264">
                  <c:v>17783</c:v>
                </c:pt>
                <c:pt idx="265">
                  <c:v>17886.5</c:v>
                </c:pt>
                <c:pt idx="266">
                  <c:v>17990</c:v>
                </c:pt>
                <c:pt idx="267">
                  <c:v>18093.5</c:v>
                </c:pt>
                <c:pt idx="268">
                  <c:v>18197</c:v>
                </c:pt>
                <c:pt idx="269">
                  <c:v>18303</c:v>
                </c:pt>
                <c:pt idx="270">
                  <c:v>18409</c:v>
                </c:pt>
                <c:pt idx="271">
                  <c:v>18515</c:v>
                </c:pt>
                <c:pt idx="272">
                  <c:v>18621</c:v>
                </c:pt>
                <c:pt idx="273">
                  <c:v>18729.5</c:v>
                </c:pt>
                <c:pt idx="274">
                  <c:v>18838</c:v>
                </c:pt>
                <c:pt idx="275">
                  <c:v>18946.5</c:v>
                </c:pt>
                <c:pt idx="276">
                  <c:v>19055</c:v>
                </c:pt>
                <c:pt idx="277">
                  <c:v>19165.75</c:v>
                </c:pt>
                <c:pt idx="278">
                  <c:v>19276.5</c:v>
                </c:pt>
                <c:pt idx="279">
                  <c:v>19387.25</c:v>
                </c:pt>
                <c:pt idx="280">
                  <c:v>19498</c:v>
                </c:pt>
                <c:pt idx="281">
                  <c:v>19611.75</c:v>
                </c:pt>
                <c:pt idx="282">
                  <c:v>19725.5</c:v>
                </c:pt>
                <c:pt idx="283">
                  <c:v>19839.25</c:v>
                </c:pt>
                <c:pt idx="284">
                  <c:v>19953</c:v>
                </c:pt>
                <c:pt idx="285">
                  <c:v>20069</c:v>
                </c:pt>
                <c:pt idx="286">
                  <c:v>20185</c:v>
                </c:pt>
                <c:pt idx="287">
                  <c:v>20301</c:v>
                </c:pt>
                <c:pt idx="288">
                  <c:v>20417</c:v>
                </c:pt>
                <c:pt idx="289">
                  <c:v>20536</c:v>
                </c:pt>
                <c:pt idx="290">
                  <c:v>20655</c:v>
                </c:pt>
                <c:pt idx="291">
                  <c:v>20774</c:v>
                </c:pt>
                <c:pt idx="292">
                  <c:v>20893</c:v>
                </c:pt>
                <c:pt idx="293">
                  <c:v>21014.75</c:v>
                </c:pt>
                <c:pt idx="294">
                  <c:v>21136.5</c:v>
                </c:pt>
                <c:pt idx="295">
                  <c:v>21258.25</c:v>
                </c:pt>
                <c:pt idx="296">
                  <c:v>21380</c:v>
                </c:pt>
                <c:pt idx="297">
                  <c:v>21504.5</c:v>
                </c:pt>
                <c:pt idx="298">
                  <c:v>21629</c:v>
                </c:pt>
                <c:pt idx="299">
                  <c:v>21753.5</c:v>
                </c:pt>
                <c:pt idx="300">
                  <c:v>21878</c:v>
                </c:pt>
                <c:pt idx="301">
                  <c:v>22005.25</c:v>
                </c:pt>
                <c:pt idx="302">
                  <c:v>22132.5</c:v>
                </c:pt>
                <c:pt idx="303">
                  <c:v>22259.75</c:v>
                </c:pt>
                <c:pt idx="304">
                  <c:v>22387</c:v>
                </c:pt>
                <c:pt idx="305">
                  <c:v>22517.5</c:v>
                </c:pt>
                <c:pt idx="306">
                  <c:v>22648</c:v>
                </c:pt>
                <c:pt idx="307">
                  <c:v>22778.5</c:v>
                </c:pt>
                <c:pt idx="308">
                  <c:v>22909</c:v>
                </c:pt>
                <c:pt idx="309">
                  <c:v>23042.25</c:v>
                </c:pt>
                <c:pt idx="310">
                  <c:v>23175.5</c:v>
                </c:pt>
                <c:pt idx="311">
                  <c:v>23308.75</c:v>
                </c:pt>
                <c:pt idx="312">
                  <c:v>23442</c:v>
                </c:pt>
                <c:pt idx="313">
                  <c:v>23578.5</c:v>
                </c:pt>
                <c:pt idx="314">
                  <c:v>23715</c:v>
                </c:pt>
                <c:pt idx="315">
                  <c:v>23851.5</c:v>
                </c:pt>
                <c:pt idx="316">
                  <c:v>23988</c:v>
                </c:pt>
                <c:pt idx="317">
                  <c:v>24127.75</c:v>
                </c:pt>
                <c:pt idx="318">
                  <c:v>24267.5</c:v>
                </c:pt>
                <c:pt idx="319">
                  <c:v>24407.25</c:v>
                </c:pt>
                <c:pt idx="320">
                  <c:v>24547</c:v>
                </c:pt>
                <c:pt idx="321">
                  <c:v>24690</c:v>
                </c:pt>
                <c:pt idx="322">
                  <c:v>24833</c:v>
                </c:pt>
                <c:pt idx="323">
                  <c:v>24976</c:v>
                </c:pt>
                <c:pt idx="324">
                  <c:v>25119</c:v>
                </c:pt>
                <c:pt idx="325">
                  <c:v>25265.25</c:v>
                </c:pt>
                <c:pt idx="326">
                  <c:v>25411.5</c:v>
                </c:pt>
                <c:pt idx="327">
                  <c:v>25557.75</c:v>
                </c:pt>
                <c:pt idx="328">
                  <c:v>25704</c:v>
                </c:pt>
                <c:pt idx="329">
                  <c:v>25853.75</c:v>
                </c:pt>
                <c:pt idx="330">
                  <c:v>26003.5</c:v>
                </c:pt>
                <c:pt idx="331">
                  <c:v>26153.25</c:v>
                </c:pt>
                <c:pt idx="332">
                  <c:v>26303</c:v>
                </c:pt>
                <c:pt idx="333">
                  <c:v>26456</c:v>
                </c:pt>
                <c:pt idx="334">
                  <c:v>26609</c:v>
                </c:pt>
                <c:pt idx="335">
                  <c:v>26762</c:v>
                </c:pt>
                <c:pt idx="336">
                  <c:v>26915</c:v>
                </c:pt>
                <c:pt idx="337">
                  <c:v>27071.75</c:v>
                </c:pt>
                <c:pt idx="338">
                  <c:v>27228.5</c:v>
                </c:pt>
                <c:pt idx="339">
                  <c:v>27385.25</c:v>
                </c:pt>
                <c:pt idx="340">
                  <c:v>27542</c:v>
                </c:pt>
                <c:pt idx="341">
                  <c:v>27702.5</c:v>
                </c:pt>
                <c:pt idx="342">
                  <c:v>27863</c:v>
                </c:pt>
                <c:pt idx="343">
                  <c:v>28023.5</c:v>
                </c:pt>
                <c:pt idx="344">
                  <c:v>28184</c:v>
                </c:pt>
                <c:pt idx="345">
                  <c:v>28348</c:v>
                </c:pt>
                <c:pt idx="346">
                  <c:v>28512</c:v>
                </c:pt>
                <c:pt idx="347">
                  <c:v>28676</c:v>
                </c:pt>
                <c:pt idx="348">
                  <c:v>28840</c:v>
                </c:pt>
                <c:pt idx="349">
                  <c:v>29008</c:v>
                </c:pt>
                <c:pt idx="350">
                  <c:v>29176</c:v>
                </c:pt>
                <c:pt idx="351">
                  <c:v>29344</c:v>
                </c:pt>
                <c:pt idx="352">
                  <c:v>29512</c:v>
                </c:pt>
                <c:pt idx="353">
                  <c:v>29684</c:v>
                </c:pt>
                <c:pt idx="354">
                  <c:v>29856</c:v>
                </c:pt>
                <c:pt idx="355">
                  <c:v>30028</c:v>
                </c:pt>
                <c:pt idx="356">
                  <c:v>30200</c:v>
                </c:pt>
                <c:pt idx="357">
                  <c:v>30375.75</c:v>
                </c:pt>
                <c:pt idx="358">
                  <c:v>30551.5</c:v>
                </c:pt>
                <c:pt idx="359">
                  <c:v>30727.25</c:v>
                </c:pt>
                <c:pt idx="360">
                  <c:v>30903</c:v>
                </c:pt>
                <c:pt idx="361">
                  <c:v>31083</c:v>
                </c:pt>
                <c:pt idx="362">
                  <c:v>31263</c:v>
                </c:pt>
                <c:pt idx="363">
                  <c:v>31443</c:v>
                </c:pt>
                <c:pt idx="364">
                  <c:v>31623</c:v>
                </c:pt>
                <c:pt idx="365">
                  <c:v>31807</c:v>
                </c:pt>
                <c:pt idx="366">
                  <c:v>31991</c:v>
                </c:pt>
                <c:pt idx="367">
                  <c:v>32175</c:v>
                </c:pt>
                <c:pt idx="368">
                  <c:v>32359</c:v>
                </c:pt>
                <c:pt idx="369">
                  <c:v>32547.5</c:v>
                </c:pt>
                <c:pt idx="370">
                  <c:v>32736</c:v>
                </c:pt>
                <c:pt idx="371">
                  <c:v>32924.5</c:v>
                </c:pt>
                <c:pt idx="372">
                  <c:v>33113</c:v>
                </c:pt>
                <c:pt idx="373">
                  <c:v>33305.75</c:v>
                </c:pt>
                <c:pt idx="374">
                  <c:v>33498.5</c:v>
                </c:pt>
                <c:pt idx="375">
                  <c:v>33691.25</c:v>
                </c:pt>
                <c:pt idx="376">
                  <c:v>33884</c:v>
                </c:pt>
                <c:pt idx="377">
                  <c:v>34081.5</c:v>
                </c:pt>
                <c:pt idx="378">
                  <c:v>34279</c:v>
                </c:pt>
                <c:pt idx="379">
                  <c:v>34476.5</c:v>
                </c:pt>
                <c:pt idx="380">
                  <c:v>34674</c:v>
                </c:pt>
                <c:pt idx="381">
                  <c:v>34875.75</c:v>
                </c:pt>
                <c:pt idx="382">
                  <c:v>35077.5</c:v>
                </c:pt>
                <c:pt idx="383">
                  <c:v>35279.25</c:v>
                </c:pt>
                <c:pt idx="384">
                  <c:v>35481</c:v>
                </c:pt>
                <c:pt idx="385">
                  <c:v>35687.75</c:v>
                </c:pt>
                <c:pt idx="386">
                  <c:v>35894.5</c:v>
                </c:pt>
                <c:pt idx="387">
                  <c:v>36101.25</c:v>
                </c:pt>
                <c:pt idx="388">
                  <c:v>36308</c:v>
                </c:pt>
                <c:pt idx="389">
                  <c:v>36519.5</c:v>
                </c:pt>
                <c:pt idx="390">
                  <c:v>36731</c:v>
                </c:pt>
                <c:pt idx="391">
                  <c:v>36942.5</c:v>
                </c:pt>
                <c:pt idx="392">
                  <c:v>37154</c:v>
                </c:pt>
                <c:pt idx="393">
                  <c:v>37370.25</c:v>
                </c:pt>
                <c:pt idx="394">
                  <c:v>37586.5</c:v>
                </c:pt>
                <c:pt idx="395">
                  <c:v>37802.75</c:v>
                </c:pt>
                <c:pt idx="396">
                  <c:v>38019</c:v>
                </c:pt>
                <c:pt idx="397">
                  <c:v>38240.5</c:v>
                </c:pt>
                <c:pt idx="398">
                  <c:v>38462</c:v>
                </c:pt>
                <c:pt idx="399">
                  <c:v>38683.5</c:v>
                </c:pt>
                <c:pt idx="400">
                  <c:v>38905</c:v>
                </c:pt>
                <c:pt idx="401">
                  <c:v>39131.5</c:v>
                </c:pt>
                <c:pt idx="402">
                  <c:v>39358</c:v>
                </c:pt>
                <c:pt idx="403">
                  <c:v>39584.5</c:v>
                </c:pt>
                <c:pt idx="404">
                  <c:v>39811</c:v>
                </c:pt>
                <c:pt idx="405">
                  <c:v>40042.75</c:v>
                </c:pt>
                <c:pt idx="406">
                  <c:v>40274.5</c:v>
                </c:pt>
                <c:pt idx="407">
                  <c:v>40506.25</c:v>
                </c:pt>
                <c:pt idx="408">
                  <c:v>40738</c:v>
                </c:pt>
                <c:pt idx="409">
                  <c:v>40975.25</c:v>
                </c:pt>
                <c:pt idx="410">
                  <c:v>41212.5</c:v>
                </c:pt>
                <c:pt idx="411">
                  <c:v>41449.75</c:v>
                </c:pt>
                <c:pt idx="412">
                  <c:v>41687</c:v>
                </c:pt>
                <c:pt idx="413">
                  <c:v>41929.75</c:v>
                </c:pt>
                <c:pt idx="414">
                  <c:v>42172.5</c:v>
                </c:pt>
                <c:pt idx="415">
                  <c:v>42415.25</c:v>
                </c:pt>
                <c:pt idx="416">
                  <c:v>42658</c:v>
                </c:pt>
                <c:pt idx="417">
                  <c:v>42906.5</c:v>
                </c:pt>
                <c:pt idx="418">
                  <c:v>43155</c:v>
                </c:pt>
                <c:pt idx="419">
                  <c:v>43403.5</c:v>
                </c:pt>
                <c:pt idx="420">
                  <c:v>43652</c:v>
                </c:pt>
                <c:pt idx="421">
                  <c:v>43906</c:v>
                </c:pt>
                <c:pt idx="422">
                  <c:v>44160</c:v>
                </c:pt>
                <c:pt idx="423">
                  <c:v>44414</c:v>
                </c:pt>
                <c:pt idx="424">
                  <c:v>44668</c:v>
                </c:pt>
                <c:pt idx="425">
                  <c:v>44928.25</c:v>
                </c:pt>
                <c:pt idx="426">
                  <c:v>45188.5</c:v>
                </c:pt>
                <c:pt idx="427">
                  <c:v>45448.75</c:v>
                </c:pt>
                <c:pt idx="428">
                  <c:v>45709</c:v>
                </c:pt>
                <c:pt idx="429">
                  <c:v>45975.25</c:v>
                </c:pt>
                <c:pt idx="430">
                  <c:v>46241.5</c:v>
                </c:pt>
                <c:pt idx="431">
                  <c:v>46507.75</c:v>
                </c:pt>
                <c:pt idx="432">
                  <c:v>46774</c:v>
                </c:pt>
                <c:pt idx="433">
                  <c:v>47046.25</c:v>
                </c:pt>
                <c:pt idx="434">
                  <c:v>47318.5</c:v>
                </c:pt>
                <c:pt idx="435">
                  <c:v>47590.75</c:v>
                </c:pt>
                <c:pt idx="436">
                  <c:v>47863</c:v>
                </c:pt>
                <c:pt idx="437">
                  <c:v>48141.75</c:v>
                </c:pt>
                <c:pt idx="438">
                  <c:v>48420.5</c:v>
                </c:pt>
                <c:pt idx="439">
                  <c:v>48699.25</c:v>
                </c:pt>
                <c:pt idx="440">
                  <c:v>48978</c:v>
                </c:pt>
                <c:pt idx="441">
                  <c:v>49263.25</c:v>
                </c:pt>
                <c:pt idx="442">
                  <c:v>49548.5</c:v>
                </c:pt>
                <c:pt idx="443">
                  <c:v>49833.75</c:v>
                </c:pt>
                <c:pt idx="444">
                  <c:v>50119</c:v>
                </c:pt>
                <c:pt idx="445">
                  <c:v>50410.75</c:v>
                </c:pt>
                <c:pt idx="446">
                  <c:v>50702.5</c:v>
                </c:pt>
                <c:pt idx="447">
                  <c:v>50994.25</c:v>
                </c:pt>
                <c:pt idx="448">
                  <c:v>51286</c:v>
                </c:pt>
                <c:pt idx="449">
                  <c:v>51584.75</c:v>
                </c:pt>
                <c:pt idx="450">
                  <c:v>51883.5</c:v>
                </c:pt>
                <c:pt idx="451">
                  <c:v>52182.25</c:v>
                </c:pt>
                <c:pt idx="452">
                  <c:v>52481</c:v>
                </c:pt>
                <c:pt idx="453">
                  <c:v>52786.5</c:v>
                </c:pt>
                <c:pt idx="454">
                  <c:v>53092</c:v>
                </c:pt>
                <c:pt idx="455">
                  <c:v>53397.5</c:v>
                </c:pt>
                <c:pt idx="456">
                  <c:v>53703</c:v>
                </c:pt>
                <c:pt idx="457">
                  <c:v>54015.75</c:v>
                </c:pt>
                <c:pt idx="458">
                  <c:v>54328.5</c:v>
                </c:pt>
                <c:pt idx="459">
                  <c:v>54641.25</c:v>
                </c:pt>
                <c:pt idx="460">
                  <c:v>54954</c:v>
                </c:pt>
                <c:pt idx="461">
                  <c:v>55274</c:v>
                </c:pt>
                <c:pt idx="462">
                  <c:v>55594</c:v>
                </c:pt>
                <c:pt idx="463">
                  <c:v>55914</c:v>
                </c:pt>
                <c:pt idx="464">
                  <c:v>56234</c:v>
                </c:pt>
                <c:pt idx="465">
                  <c:v>56561.5</c:v>
                </c:pt>
                <c:pt idx="466">
                  <c:v>56889</c:v>
                </c:pt>
                <c:pt idx="467">
                  <c:v>57216.5</c:v>
                </c:pt>
                <c:pt idx="468">
                  <c:v>57544</c:v>
                </c:pt>
                <c:pt idx="469">
                  <c:v>57879</c:v>
                </c:pt>
                <c:pt idx="470">
                  <c:v>58214</c:v>
                </c:pt>
                <c:pt idx="471">
                  <c:v>58549</c:v>
                </c:pt>
                <c:pt idx="472">
                  <c:v>58884</c:v>
                </c:pt>
                <c:pt idx="473">
                  <c:v>59227</c:v>
                </c:pt>
                <c:pt idx="474">
                  <c:v>59570</c:v>
                </c:pt>
                <c:pt idx="475">
                  <c:v>59913</c:v>
                </c:pt>
                <c:pt idx="476">
                  <c:v>60256</c:v>
                </c:pt>
                <c:pt idx="477">
                  <c:v>60607</c:v>
                </c:pt>
                <c:pt idx="478">
                  <c:v>60958</c:v>
                </c:pt>
                <c:pt idx="479">
                  <c:v>61309</c:v>
                </c:pt>
                <c:pt idx="480">
                  <c:v>61660</c:v>
                </c:pt>
                <c:pt idx="481">
                  <c:v>62019</c:v>
                </c:pt>
                <c:pt idx="482">
                  <c:v>62378</c:v>
                </c:pt>
                <c:pt idx="483">
                  <c:v>62737</c:v>
                </c:pt>
                <c:pt idx="484">
                  <c:v>63096</c:v>
                </c:pt>
                <c:pt idx="485">
                  <c:v>63463.25</c:v>
                </c:pt>
                <c:pt idx="486">
                  <c:v>63830.5</c:v>
                </c:pt>
                <c:pt idx="487">
                  <c:v>64197.75</c:v>
                </c:pt>
                <c:pt idx="488">
                  <c:v>64565</c:v>
                </c:pt>
                <c:pt idx="489">
                  <c:v>64941</c:v>
                </c:pt>
                <c:pt idx="490">
                  <c:v>65317</c:v>
                </c:pt>
                <c:pt idx="491">
                  <c:v>65693</c:v>
                </c:pt>
                <c:pt idx="492">
                  <c:v>66069</c:v>
                </c:pt>
                <c:pt idx="493">
                  <c:v>66453.75</c:v>
                </c:pt>
                <c:pt idx="494">
                  <c:v>66838.5</c:v>
                </c:pt>
                <c:pt idx="495">
                  <c:v>67223.25</c:v>
                </c:pt>
                <c:pt idx="496">
                  <c:v>67608</c:v>
                </c:pt>
                <c:pt idx="497">
                  <c:v>68001.75</c:v>
                </c:pt>
                <c:pt idx="498">
                  <c:v>68395.5</c:v>
                </c:pt>
                <c:pt idx="499">
                  <c:v>68789.25</c:v>
                </c:pt>
                <c:pt idx="500">
                  <c:v>69183</c:v>
                </c:pt>
                <c:pt idx="501">
                  <c:v>69586</c:v>
                </c:pt>
                <c:pt idx="502">
                  <c:v>69989</c:v>
                </c:pt>
                <c:pt idx="503">
                  <c:v>70392</c:v>
                </c:pt>
                <c:pt idx="504">
                  <c:v>70795</c:v>
                </c:pt>
                <c:pt idx="505">
                  <c:v>71207.25</c:v>
                </c:pt>
                <c:pt idx="506">
                  <c:v>71619.5</c:v>
                </c:pt>
                <c:pt idx="507">
                  <c:v>72031.75</c:v>
                </c:pt>
                <c:pt idx="508">
                  <c:v>72444</c:v>
                </c:pt>
                <c:pt idx="509">
                  <c:v>72865.75</c:v>
                </c:pt>
                <c:pt idx="510">
                  <c:v>73287.5</c:v>
                </c:pt>
                <c:pt idx="511">
                  <c:v>73709.25</c:v>
                </c:pt>
                <c:pt idx="512">
                  <c:v>74131</c:v>
                </c:pt>
                <c:pt idx="513">
                  <c:v>74562.75</c:v>
                </c:pt>
                <c:pt idx="514">
                  <c:v>74994.5</c:v>
                </c:pt>
                <c:pt idx="515">
                  <c:v>75426.25</c:v>
                </c:pt>
                <c:pt idx="516">
                  <c:v>75858</c:v>
                </c:pt>
                <c:pt idx="517">
                  <c:v>76299.75</c:v>
                </c:pt>
                <c:pt idx="518">
                  <c:v>76741.5</c:v>
                </c:pt>
                <c:pt idx="519">
                  <c:v>77183.25</c:v>
                </c:pt>
                <c:pt idx="520">
                  <c:v>77625</c:v>
                </c:pt>
                <c:pt idx="521">
                  <c:v>78077</c:v>
                </c:pt>
                <c:pt idx="522">
                  <c:v>78529</c:v>
                </c:pt>
                <c:pt idx="523">
                  <c:v>78981</c:v>
                </c:pt>
                <c:pt idx="524">
                  <c:v>79433</c:v>
                </c:pt>
                <c:pt idx="525">
                  <c:v>79895.5</c:v>
                </c:pt>
                <c:pt idx="526">
                  <c:v>80358</c:v>
                </c:pt>
                <c:pt idx="527">
                  <c:v>80820.5</c:v>
                </c:pt>
                <c:pt idx="528">
                  <c:v>81283</c:v>
                </c:pt>
                <c:pt idx="529">
                  <c:v>81756.25</c:v>
                </c:pt>
                <c:pt idx="530">
                  <c:v>82229.5</c:v>
                </c:pt>
                <c:pt idx="531">
                  <c:v>82702.75</c:v>
                </c:pt>
                <c:pt idx="532">
                  <c:v>83176</c:v>
                </c:pt>
                <c:pt idx="533">
                  <c:v>83660.5</c:v>
                </c:pt>
                <c:pt idx="534">
                  <c:v>84145</c:v>
                </c:pt>
                <c:pt idx="535">
                  <c:v>84629.5</c:v>
                </c:pt>
                <c:pt idx="536">
                  <c:v>85114</c:v>
                </c:pt>
                <c:pt idx="537">
                  <c:v>85609.5</c:v>
                </c:pt>
                <c:pt idx="538">
                  <c:v>86105</c:v>
                </c:pt>
                <c:pt idx="539">
                  <c:v>86600.5</c:v>
                </c:pt>
                <c:pt idx="540">
                  <c:v>87096</c:v>
                </c:pt>
                <c:pt idx="541">
                  <c:v>87603.25</c:v>
                </c:pt>
                <c:pt idx="542">
                  <c:v>88110.5</c:v>
                </c:pt>
                <c:pt idx="543">
                  <c:v>88617.75</c:v>
                </c:pt>
                <c:pt idx="544">
                  <c:v>89125</c:v>
                </c:pt>
                <c:pt idx="545">
                  <c:v>89644</c:v>
                </c:pt>
                <c:pt idx="546">
                  <c:v>90163</c:v>
                </c:pt>
                <c:pt idx="547">
                  <c:v>90682</c:v>
                </c:pt>
                <c:pt idx="548">
                  <c:v>91201</c:v>
                </c:pt>
                <c:pt idx="549">
                  <c:v>91732</c:v>
                </c:pt>
                <c:pt idx="550">
                  <c:v>92263</c:v>
                </c:pt>
                <c:pt idx="551">
                  <c:v>92794</c:v>
                </c:pt>
                <c:pt idx="552">
                  <c:v>93325</c:v>
                </c:pt>
                <c:pt idx="553">
                  <c:v>93868.5</c:v>
                </c:pt>
                <c:pt idx="554">
                  <c:v>94412</c:v>
                </c:pt>
                <c:pt idx="555">
                  <c:v>94955.5</c:v>
                </c:pt>
                <c:pt idx="556">
                  <c:v>95499</c:v>
                </c:pt>
                <c:pt idx="557">
                  <c:v>96611.5</c:v>
                </c:pt>
                <c:pt idx="558">
                  <c:v>97724</c:v>
                </c:pt>
                <c:pt idx="559">
                  <c:v>98862</c:v>
                </c:pt>
                <c:pt idx="560">
                  <c:v>100000</c:v>
                </c:pt>
                <c:pt idx="561">
                  <c:v>101165</c:v>
                </c:pt>
                <c:pt idx="562">
                  <c:v>102330</c:v>
                </c:pt>
                <c:pt idx="563">
                  <c:v>103520</c:v>
                </c:pt>
                <c:pt idx="564">
                  <c:v>104710</c:v>
                </c:pt>
                <c:pt idx="565">
                  <c:v>105930</c:v>
                </c:pt>
                <c:pt idx="566">
                  <c:v>107150</c:v>
                </c:pt>
                <c:pt idx="567">
                  <c:v>108400</c:v>
                </c:pt>
                <c:pt idx="568">
                  <c:v>109650</c:v>
                </c:pt>
                <c:pt idx="569">
                  <c:v>110925</c:v>
                </c:pt>
                <c:pt idx="570">
                  <c:v>112200</c:v>
                </c:pt>
                <c:pt idx="571">
                  <c:v>113510</c:v>
                </c:pt>
                <c:pt idx="572">
                  <c:v>114820</c:v>
                </c:pt>
                <c:pt idx="573">
                  <c:v>116155</c:v>
                </c:pt>
                <c:pt idx="574">
                  <c:v>117490</c:v>
                </c:pt>
                <c:pt idx="575">
                  <c:v>118860</c:v>
                </c:pt>
                <c:pt idx="576">
                  <c:v>120230</c:v>
                </c:pt>
                <c:pt idx="577">
                  <c:v>126030</c:v>
                </c:pt>
                <c:pt idx="578">
                  <c:v>131830</c:v>
                </c:pt>
                <c:pt idx="579">
                  <c:v>144540</c:v>
                </c:pt>
                <c:pt idx="580">
                  <c:v>158490</c:v>
                </c:pt>
                <c:pt idx="581">
                  <c:v>173780</c:v>
                </c:pt>
                <c:pt idx="582">
                  <c:v>190550</c:v>
                </c:pt>
                <c:pt idx="583">
                  <c:v>208930</c:v>
                </c:pt>
                <c:pt idx="584">
                  <c:v>229090</c:v>
                </c:pt>
                <c:pt idx="585">
                  <c:v>251190</c:v>
                </c:pt>
                <c:pt idx="586">
                  <c:v>275420</c:v>
                </c:pt>
                <c:pt idx="587">
                  <c:v>302000</c:v>
                </c:pt>
                <c:pt idx="588">
                  <c:v>331130</c:v>
                </c:pt>
                <c:pt idx="589">
                  <c:v>363080</c:v>
                </c:pt>
                <c:pt idx="590">
                  <c:v>398110</c:v>
                </c:pt>
                <c:pt idx="591">
                  <c:v>436520</c:v>
                </c:pt>
                <c:pt idx="592">
                  <c:v>478630</c:v>
                </c:pt>
                <c:pt idx="593">
                  <c:v>524810</c:v>
                </c:pt>
                <c:pt idx="594">
                  <c:v>575440</c:v>
                </c:pt>
                <c:pt idx="595">
                  <c:v>630960</c:v>
                </c:pt>
                <c:pt idx="596">
                  <c:v>691830</c:v>
                </c:pt>
                <c:pt idx="597">
                  <c:v>758580</c:v>
                </c:pt>
                <c:pt idx="598">
                  <c:v>831760</c:v>
                </c:pt>
                <c:pt idx="599">
                  <c:v>912010</c:v>
                </c:pt>
                <c:pt idx="600">
                  <c:v>1000000</c:v>
                </c:pt>
              </c:numCache>
            </c:numRef>
          </c:xVal>
          <c:yVal>
            <c:numRef>
              <c:f>'Stability Calculations'!$Q$13:$Q$613</c:f>
              <c:numCache>
                <c:formatCode>0.00</c:formatCode>
                <c:ptCount val="601"/>
                <c:pt idx="0">
                  <c:v>74.381489850140269</c:v>
                </c:pt>
                <c:pt idx="1">
                  <c:v>73.621640522232624</c:v>
                </c:pt>
                <c:pt idx="2">
                  <c:v>72.855378521434744</c:v>
                </c:pt>
                <c:pt idx="3">
                  <c:v>72.083682052846342</c:v>
                </c:pt>
                <c:pt idx="4">
                  <c:v>71.307897644369021</c:v>
                </c:pt>
                <c:pt idx="5">
                  <c:v>70.52744632312293</c:v>
                </c:pt>
                <c:pt idx="6">
                  <c:v>69.74403936373588</c:v>
                </c:pt>
                <c:pt idx="7">
                  <c:v>68.957674726921866</c:v>
                </c:pt>
                <c:pt idx="8">
                  <c:v>68.169359640269732</c:v>
                </c:pt>
                <c:pt idx="9">
                  <c:v>67.378862779097375</c:v>
                </c:pt>
                <c:pt idx="10">
                  <c:v>66.586945289624325</c:v>
                </c:pt>
                <c:pt idx="11">
                  <c:v>65.793752689670796</c:v>
                </c:pt>
                <c:pt idx="12">
                  <c:v>64.999080605598436</c:v>
                </c:pt>
                <c:pt idx="13">
                  <c:v>64.203873303566056</c:v>
                </c:pt>
                <c:pt idx="14">
                  <c:v>63.40764752432932</c:v>
                </c:pt>
                <c:pt idx="15">
                  <c:v>62.610835610122955</c:v>
                </c:pt>
                <c:pt idx="16">
                  <c:v>61.813478820190426</c:v>
                </c:pt>
                <c:pt idx="17">
                  <c:v>61.0157784159084</c:v>
                </c:pt>
                <c:pt idx="18">
                  <c:v>60.217575650523273</c:v>
                </c:pt>
                <c:pt idx="19">
                  <c:v>59.419145310615747</c:v>
                </c:pt>
                <c:pt idx="20">
                  <c:v>58.620377926605876</c:v>
                </c:pt>
                <c:pt idx="21">
                  <c:v>57.821477240513943</c:v>
                </c:pt>
                <c:pt idx="22">
                  <c:v>57.022306025332909</c:v>
                </c:pt>
                <c:pt idx="23">
                  <c:v>56.223089335718029</c:v>
                </c:pt>
                <c:pt idx="24">
                  <c:v>55.423646023325226</c:v>
                </c:pt>
                <c:pt idx="25">
                  <c:v>54.624117870004902</c:v>
                </c:pt>
                <c:pt idx="26">
                  <c:v>53.824333142686179</c:v>
                </c:pt>
                <c:pt idx="27">
                  <c:v>53.024558113079394</c:v>
                </c:pt>
                <c:pt idx="28">
                  <c:v>52.22477094777237</c:v>
                </c:pt>
                <c:pt idx="29">
                  <c:v>51.425475767295467</c:v>
                </c:pt>
                <c:pt idx="30">
                  <c:v>50.625326534813681</c:v>
                </c:pt>
                <c:pt idx="31">
                  <c:v>49.825445432415265</c:v>
                </c:pt>
                <c:pt idx="32">
                  <c:v>49.025292757974263</c:v>
                </c:pt>
                <c:pt idx="33">
                  <c:v>48.225440385798805</c:v>
                </c:pt>
                <c:pt idx="34">
                  <c:v>47.425272088278014</c:v>
                </c:pt>
                <c:pt idx="35">
                  <c:v>46.625237640448525</c:v>
                </c:pt>
                <c:pt idx="36">
                  <c:v>45.825212767453287</c:v>
                </c:pt>
                <c:pt idx="37">
                  <c:v>45.024763350742418</c:v>
                </c:pt>
                <c:pt idx="38">
                  <c:v>44.224646679949785</c:v>
                </c:pt>
                <c:pt idx="39">
                  <c:v>43.42421108015224</c:v>
                </c:pt>
                <c:pt idx="40">
                  <c:v>42.623749585595199</c:v>
                </c:pt>
                <c:pt idx="41">
                  <c:v>41.823180475237784</c:v>
                </c:pt>
                <c:pt idx="42">
                  <c:v>41.02259737261268</c:v>
                </c:pt>
                <c:pt idx="43">
                  <c:v>40.221743757939585</c:v>
                </c:pt>
                <c:pt idx="44">
                  <c:v>39.42080614924874</c:v>
                </c:pt>
                <c:pt idx="45">
                  <c:v>38.61959063585374</c:v>
                </c:pt>
                <c:pt idx="46">
                  <c:v>37.818219935552456</c:v>
                </c:pt>
                <c:pt idx="47">
                  <c:v>37.016474625475567</c:v>
                </c:pt>
                <c:pt idx="48">
                  <c:v>36.214496153355348</c:v>
                </c:pt>
                <c:pt idx="49">
                  <c:v>35.412013385324158</c:v>
                </c:pt>
                <c:pt idx="50">
                  <c:v>34.609071794824082</c:v>
                </c:pt>
                <c:pt idx="51">
                  <c:v>33.805392082706788</c:v>
                </c:pt>
                <c:pt idx="52">
                  <c:v>33.001122703098929</c:v>
                </c:pt>
                <c:pt idx="53">
                  <c:v>32.196108153062319</c:v>
                </c:pt>
                <c:pt idx="54">
                  <c:v>31.390706292654563</c:v>
                </c:pt>
                <c:pt idx="55">
                  <c:v>30.583391040919391</c:v>
                </c:pt>
                <c:pt idx="56">
                  <c:v>29.775104251429966</c:v>
                </c:pt>
                <c:pt idx="57">
                  <c:v>28.965090694824632</c:v>
                </c:pt>
                <c:pt idx="58">
                  <c:v>28.153700051475361</c:v>
                </c:pt>
                <c:pt idx="59">
                  <c:v>27.340060910377211</c:v>
                </c:pt>
                <c:pt idx="60">
                  <c:v>26.524372236702014</c:v>
                </c:pt>
                <c:pt idx="61">
                  <c:v>25.706247170537932</c:v>
                </c:pt>
                <c:pt idx="62">
                  <c:v>24.884988130448029</c:v>
                </c:pt>
                <c:pt idx="63">
                  <c:v>24.061145617815303</c:v>
                </c:pt>
                <c:pt idx="64">
                  <c:v>23.233868709548076</c:v>
                </c:pt>
                <c:pt idx="65">
                  <c:v>22.403348114946461</c:v>
                </c:pt>
                <c:pt idx="66">
                  <c:v>21.569483261509255</c:v>
                </c:pt>
                <c:pt idx="67">
                  <c:v>20.732475211027914</c:v>
                </c:pt>
                <c:pt idx="68">
                  <c:v>19.892296895468647</c:v>
                </c:pt>
                <c:pt idx="69">
                  <c:v>19.049533512491092</c:v>
                </c:pt>
                <c:pt idx="70">
                  <c:v>18.204516987307692</c:v>
                </c:pt>
                <c:pt idx="71">
                  <c:v>17.358041323249104</c:v>
                </c:pt>
                <c:pt idx="72">
                  <c:v>16.510635868628675</c:v>
                </c:pt>
                <c:pt idx="73">
                  <c:v>15.66326348409012</c:v>
                </c:pt>
                <c:pt idx="74">
                  <c:v>14.816452993524006</c:v>
                </c:pt>
                <c:pt idx="75">
                  <c:v>13.971019738921555</c:v>
                </c:pt>
                <c:pt idx="76">
                  <c:v>13.127346877335807</c:v>
                </c:pt>
                <c:pt idx="77">
                  <c:v>12.286146388501651</c:v>
                </c:pt>
                <c:pt idx="78">
                  <c:v>11.447674245172308</c:v>
                </c:pt>
                <c:pt idx="79">
                  <c:v>10.612581113319914</c:v>
                </c:pt>
                <c:pt idx="80">
                  <c:v>9.7794422291821732</c:v>
                </c:pt>
                <c:pt idx="81">
                  <c:v>8.9492806056151082</c:v>
                </c:pt>
                <c:pt idx="82">
                  <c:v>8.1212800894158104</c:v>
                </c:pt>
                <c:pt idx="83">
                  <c:v>7.2956902099330856</c:v>
                </c:pt>
                <c:pt idx="84">
                  <c:v>6.471465096877095</c:v>
                </c:pt>
                <c:pt idx="85">
                  <c:v>5.648605788851019</c:v>
                </c:pt>
                <c:pt idx="86">
                  <c:v>4.8264780521351831</c:v>
                </c:pt>
                <c:pt idx="87">
                  <c:v>4.004091341336248</c:v>
                </c:pt>
                <c:pt idx="88">
                  <c:v>3.1816408236385589</c:v>
                </c:pt>
                <c:pt idx="89">
                  <c:v>2.3578317720288586</c:v>
                </c:pt>
                <c:pt idx="90">
                  <c:v>1.5322917871556352</c:v>
                </c:pt>
                <c:pt idx="91">
                  <c:v>0.70420531002888465</c:v>
                </c:pt>
                <c:pt idx="92">
                  <c:v>-0.12712995247175082</c:v>
                </c:pt>
                <c:pt idx="93">
                  <c:v>-0.96285965067561552</c:v>
                </c:pt>
                <c:pt idx="94">
                  <c:v>-1.1724864669238684</c:v>
                </c:pt>
                <c:pt idx="95">
                  <c:v>-1.2780779545387408</c:v>
                </c:pt>
                <c:pt idx="96">
                  <c:v>-1.3825484463387028</c:v>
                </c:pt>
                <c:pt idx="97">
                  <c:v>-1.4883080239181554</c:v>
                </c:pt>
                <c:pt idx="98">
                  <c:v>-1.5929490667175576</c:v>
                </c:pt>
                <c:pt idx="99">
                  <c:v>-1.6989120073269783</c:v>
                </c:pt>
                <c:pt idx="100">
                  <c:v>-1.8037583214836075</c:v>
                </c:pt>
                <c:pt idx="101">
                  <c:v>-1.909877893674655</c:v>
                </c:pt>
                <c:pt idx="102">
                  <c:v>-2.0148839160971059</c:v>
                </c:pt>
                <c:pt idx="103">
                  <c:v>-2.1212712297449885</c:v>
                </c:pt>
                <c:pt idx="104">
                  <c:v>-2.22654594626822</c:v>
                </c:pt>
                <c:pt idx="105">
                  <c:v>-2.3331516334264233</c:v>
                </c:pt>
                <c:pt idx="106">
                  <c:v>-2.4386469058726066</c:v>
                </c:pt>
                <c:pt idx="107">
                  <c:v>-2.5454252937708692</c:v>
                </c:pt>
                <c:pt idx="108">
                  <c:v>-2.6510965868542598</c:v>
                </c:pt>
                <c:pt idx="109">
                  <c:v>-2.7580779554324719</c:v>
                </c:pt>
                <c:pt idx="110">
                  <c:v>-2.8639551117378974</c:v>
                </c:pt>
                <c:pt idx="111">
                  <c:v>-2.9712380870666255</c:v>
                </c:pt>
                <c:pt idx="112">
                  <c:v>-3.0774179075908981</c:v>
                </c:pt>
                <c:pt idx="113">
                  <c:v>-3.184953871800519</c:v>
                </c:pt>
                <c:pt idx="114">
                  <c:v>-3.2913889373631289</c:v>
                </c:pt>
                <c:pt idx="115">
                  <c:v>-3.3992009937296119</c:v>
                </c:pt>
                <c:pt idx="116">
                  <c:v>-3.5059141347706428</c:v>
                </c:pt>
                <c:pt idx="117">
                  <c:v>-3.6140233059290199</c:v>
                </c:pt>
                <c:pt idx="118">
                  <c:v>-3.721035317773179</c:v>
                </c:pt>
                <c:pt idx="119">
                  <c:v>-3.8293953236975491</c:v>
                </c:pt>
                <c:pt idx="120">
                  <c:v>-3.9366610515483744</c:v>
                </c:pt>
                <c:pt idx="121">
                  <c:v>-4.0452931428158116</c:v>
                </c:pt>
                <c:pt idx="122">
                  <c:v>-4.152833591366722</c:v>
                </c:pt>
                <c:pt idx="123">
                  <c:v>-4.2618199683988047</c:v>
                </c:pt>
                <c:pt idx="124">
                  <c:v>-4.3697158817780295</c:v>
                </c:pt>
                <c:pt idx="125">
                  <c:v>-4.4790089663388164</c:v>
                </c:pt>
                <c:pt idx="126">
                  <c:v>-4.587213897829753</c:v>
                </c:pt>
                <c:pt idx="127">
                  <c:v>-4.6968299005368417</c:v>
                </c:pt>
                <c:pt idx="128">
                  <c:v>-4.8053599106747988</c:v>
                </c:pt>
                <c:pt idx="129">
                  <c:v>-4.9153135647990851</c:v>
                </c:pt>
                <c:pt idx="130">
                  <c:v>-5.0241832613920598</c:v>
                </c:pt>
                <c:pt idx="131">
                  <c:v>-5.1344879247380177</c:v>
                </c:pt>
                <c:pt idx="132">
                  <c:v>-5.1892328906448837</c:v>
                </c:pt>
                <c:pt idx="133">
                  <c:v>-5.2437105609654386</c:v>
                </c:pt>
                <c:pt idx="134">
                  <c:v>-5.2992096387418721</c:v>
                </c:pt>
                <c:pt idx="135">
                  <c:v>-5.3544351606821134</c:v>
                </c:pt>
                <c:pt idx="136">
                  <c:v>-5.4093903755848523</c:v>
                </c:pt>
                <c:pt idx="137">
                  <c:v>-5.4640784739125561</c:v>
                </c:pt>
                <c:pt idx="138">
                  <c:v>-5.5197351838085105</c:v>
                </c:pt>
                <c:pt idx="139">
                  <c:v>-5.5751190789988678</c:v>
                </c:pt>
                <c:pt idx="140">
                  <c:v>-5.6302333915256009</c:v>
                </c:pt>
                <c:pt idx="141">
                  <c:v>-5.6850812953035099</c:v>
                </c:pt>
                <c:pt idx="142">
                  <c:v>-5.7409571247118105</c:v>
                </c:pt>
                <c:pt idx="143">
                  <c:v>-5.7965603110764174</c:v>
                </c:pt>
                <c:pt idx="144">
                  <c:v>-5.8518940788321796</c:v>
                </c:pt>
                <c:pt idx="145">
                  <c:v>-5.906961594270058</c:v>
                </c:pt>
                <c:pt idx="146">
                  <c:v>-5.9630323681339501</c:v>
                </c:pt>
                <c:pt idx="147">
                  <c:v>-6.0188309372947622</c:v>
                </c:pt>
                <c:pt idx="148">
                  <c:v>-6.0743605128400091</c:v>
                </c:pt>
                <c:pt idx="149">
                  <c:v>-6.129624247827242</c:v>
                </c:pt>
                <c:pt idx="150">
                  <c:v>-6.185893854458099</c:v>
                </c:pt>
                <c:pt idx="151">
                  <c:v>-6.2418916823432111</c:v>
                </c:pt>
                <c:pt idx="152">
                  <c:v>-6.2976209283602769</c:v>
                </c:pt>
                <c:pt idx="153">
                  <c:v>-6.3530847314857652</c:v>
                </c:pt>
                <c:pt idx="154">
                  <c:v>-6.4095825070865224</c:v>
                </c:pt>
                <c:pt idx="155">
                  <c:v>-6.4658086697211914</c:v>
                </c:pt>
                <c:pt idx="156">
                  <c:v>-6.5217664054716185</c:v>
                </c:pt>
                <c:pt idx="157">
                  <c:v>-6.5774588425593485</c:v>
                </c:pt>
                <c:pt idx="158">
                  <c:v>-6.6341862699772509</c:v>
                </c:pt>
                <c:pt idx="159">
                  <c:v>-6.6906422558055088</c:v>
                </c:pt>
                <c:pt idx="160">
                  <c:v>-6.7468299739840401</c:v>
                </c:pt>
                <c:pt idx="161">
                  <c:v>-6.8027525406608556</c:v>
                </c:pt>
                <c:pt idx="162">
                  <c:v>-6.8596857799205582</c:v>
                </c:pt>
                <c:pt idx="163">
                  <c:v>-6.9163479897146063</c:v>
                </c:pt>
                <c:pt idx="164">
                  <c:v>-6.9727423263327104</c:v>
                </c:pt>
                <c:pt idx="165">
                  <c:v>-7.0288718884706869</c:v>
                </c:pt>
                <c:pt idx="166">
                  <c:v>-7.0860620754847243</c:v>
                </c:pt>
                <c:pt idx="167">
                  <c:v>-7.1429811677934376</c:v>
                </c:pt>
                <c:pt idx="168">
                  <c:v>-7.1996323109740619</c:v>
                </c:pt>
                <c:pt idx="169">
                  <c:v>-7.2560185930368117</c:v>
                </c:pt>
                <c:pt idx="170">
                  <c:v>-7.3133445856294923</c:v>
                </c:pt>
                <c:pt idx="171">
                  <c:v>-7.3704005628231517</c:v>
                </c:pt>
                <c:pt idx="172">
                  <c:v>-7.427189638253906</c:v>
                </c:pt>
                <c:pt idx="173">
                  <c:v>-7.4837148685331201</c:v>
                </c:pt>
                <c:pt idx="174">
                  <c:v>-7.5413943394510774</c:v>
                </c:pt>
                <c:pt idx="175">
                  <c:v>-7.5988028225915691</c:v>
                </c:pt>
                <c:pt idx="176">
                  <c:v>-7.6559434335605383</c:v>
                </c:pt>
                <c:pt idx="177">
                  <c:v>-7.7128192306548646</c:v>
                </c:pt>
                <c:pt idx="178">
                  <c:v>-7.7708220904084593</c:v>
                </c:pt>
                <c:pt idx="179">
                  <c:v>-7.828553273881135</c:v>
                </c:pt>
                <c:pt idx="180">
                  <c:v>-7.8860158920465846</c:v>
                </c:pt>
                <c:pt idx="181">
                  <c:v>-7.9432129984452455</c:v>
                </c:pt>
                <c:pt idx="182">
                  <c:v>-8.0012836250285293</c:v>
                </c:pt>
                <c:pt idx="183">
                  <c:v>-8.0590842537550103</c:v>
                </c:pt>
                <c:pt idx="184">
                  <c:v>-8.1166179489622596</c:v>
                </c:pt>
                <c:pt idx="185">
                  <c:v>-8.1738877184641634</c:v>
                </c:pt>
                <c:pt idx="186">
                  <c:v>-8.232457809665874</c:v>
                </c:pt>
                <c:pt idx="187">
                  <c:v>-8.2907555461741005</c:v>
                </c:pt>
                <c:pt idx="188">
                  <c:v>-8.3487840125961181</c:v>
                </c:pt>
                <c:pt idx="189">
                  <c:v>-8.406546236286184</c:v>
                </c:pt>
                <c:pt idx="190">
                  <c:v>-8.4651399560541076</c:v>
                </c:pt>
                <c:pt idx="191">
                  <c:v>-8.5234633464887963</c:v>
                </c:pt>
                <c:pt idx="192">
                  <c:v>-8.5815194366507477</c:v>
                </c:pt>
                <c:pt idx="193">
                  <c:v>-8.6393111994919387</c:v>
                </c:pt>
                <c:pt idx="194">
                  <c:v>-8.6983463492001754</c:v>
                </c:pt>
                <c:pt idx="195">
                  <c:v>-8.7571092981819021</c:v>
                </c:pt>
                <c:pt idx="196">
                  <c:v>-8.8156030837284565</c:v>
                </c:pt>
                <c:pt idx="197">
                  <c:v>-8.8738306866041778</c:v>
                </c:pt>
                <c:pt idx="198">
                  <c:v>-8.93306140089088</c:v>
                </c:pt>
                <c:pt idx="199">
                  <c:v>-8.9920202660357482</c:v>
                </c:pt>
                <c:pt idx="200">
                  <c:v>-9.0507102885945088</c:v>
                </c:pt>
                <c:pt idx="201">
                  <c:v>-9.1091344191513013</c:v>
                </c:pt>
                <c:pt idx="202">
                  <c:v>-9.1685390065364487</c:v>
                </c:pt>
                <c:pt idx="203">
                  <c:v>-9.227672234331326</c:v>
                </c:pt>
                <c:pt idx="204">
                  <c:v>-9.286537074560016</c:v>
                </c:pt>
                <c:pt idx="205">
                  <c:v>-9.3451364439395448</c:v>
                </c:pt>
                <c:pt idx="206">
                  <c:v>-9.404897759515892</c:v>
                </c:pt>
                <c:pt idx="207">
                  <c:v>-9.464386475257422</c:v>
                </c:pt>
                <c:pt idx="208">
                  <c:v>-9.5236055552849823</c:v>
                </c:pt>
                <c:pt idx="209">
                  <c:v>-9.5825579084351027</c:v>
                </c:pt>
                <c:pt idx="210">
                  <c:v>-9.6428451314261139</c:v>
                </c:pt>
                <c:pt idx="211">
                  <c:v>-9.7028569133620017</c:v>
                </c:pt>
                <c:pt idx="212">
                  <c:v>-9.7625962343223183</c:v>
                </c:pt>
                <c:pt idx="213">
                  <c:v>-9.822066018550446</c:v>
                </c:pt>
                <c:pt idx="214">
                  <c:v>-9.882446572964291</c:v>
                </c:pt>
                <c:pt idx="215">
                  <c:v>-9.942552710870272</c:v>
                </c:pt>
                <c:pt idx="216">
                  <c:v>-10.002387363987534</c:v>
                </c:pt>
                <c:pt idx="217">
                  <c:v>-10.061953409269304</c:v>
                </c:pt>
                <c:pt idx="218">
                  <c:v>-10.122602716127751</c:v>
                </c:pt>
                <c:pt idx="219">
                  <c:v>-10.182976944490321</c:v>
                </c:pt>
                <c:pt idx="220">
                  <c:v>-10.243079003361784</c:v>
                </c:pt>
                <c:pt idx="221">
                  <c:v>-10.302911747440035</c:v>
                </c:pt>
                <c:pt idx="222">
                  <c:v>-10.363802872353345</c:v>
                </c:pt>
                <c:pt idx="223">
                  <c:v>-10.424418406245294</c:v>
                </c:pt>
                <c:pt idx="224">
                  <c:v>-10.484761231502981</c:v>
                </c:pt>
                <c:pt idx="225">
                  <c:v>-10.544834176791838</c:v>
                </c:pt>
                <c:pt idx="226">
                  <c:v>-10.606127118884721</c:v>
                </c:pt>
                <c:pt idx="227">
                  <c:v>-10.667142410881667</c:v>
                </c:pt>
                <c:pt idx="228">
                  <c:v>-10.727882931083631</c:v>
                </c:pt>
                <c:pt idx="229">
                  <c:v>-10.788351504129469</c:v>
                </c:pt>
                <c:pt idx="230">
                  <c:v>-10.911391771472116</c:v>
                </c:pt>
                <c:pt idx="231">
                  <c:v>-10.972495523044765</c:v>
                </c:pt>
                <c:pt idx="232">
                  <c:v>-11.03332545865876</c:v>
                </c:pt>
                <c:pt idx="233">
                  <c:v>-11.09531867024449</c:v>
                </c:pt>
                <c:pt idx="234">
                  <c:v>-11.157030717517856</c:v>
                </c:pt>
                <c:pt idx="235">
                  <c:v>-11.218464456007073</c:v>
                </c:pt>
                <c:pt idx="236">
                  <c:v>-11.279622688172745</c:v>
                </c:pt>
                <c:pt idx="237">
                  <c:v>-11.341740717902724</c:v>
                </c:pt>
                <c:pt idx="238">
                  <c:v>-11.403577678657788</c:v>
                </c:pt>
                <c:pt idx="239">
                  <c:v>-11.465136384575832</c:v>
                </c:pt>
                <c:pt idx="240">
                  <c:v>-11.526419597825925</c:v>
                </c:pt>
                <c:pt idx="241">
                  <c:v>-11.58898640297507</c:v>
                </c:pt>
                <c:pt idx="242">
                  <c:v>-11.65126917025013</c:v>
                </c:pt>
                <c:pt idx="243">
                  <c:v>-11.713270717259984</c:v>
                </c:pt>
                <c:pt idx="244">
                  <c:v>-11.774993809686059</c:v>
                </c:pt>
                <c:pt idx="245">
                  <c:v>-11.837799774229483</c:v>
                </c:pt>
                <c:pt idx="246">
                  <c:v>-11.900320488817771</c:v>
                </c:pt>
                <c:pt idx="247">
                  <c:v>-11.962558747266407</c:v>
                </c:pt>
                <c:pt idx="248">
                  <c:v>-12.024517292221725</c:v>
                </c:pt>
                <c:pt idx="249">
                  <c:v>-12.087699805563517</c:v>
                </c:pt>
                <c:pt idx="250">
                  <c:v>-12.150594461730133</c:v>
                </c:pt>
                <c:pt idx="251">
                  <c:v>-12.213204050312347</c:v>
                </c:pt>
                <c:pt idx="252">
                  <c:v>-12.275531310064785</c:v>
                </c:pt>
                <c:pt idx="253">
                  <c:v>-12.338889104878195</c:v>
                </c:pt>
                <c:pt idx="254">
                  <c:v>-12.40195810968256</c:v>
                </c:pt>
                <c:pt idx="255">
                  <c:v>-12.464741084960846</c:v>
                </c:pt>
                <c:pt idx="256">
                  <c:v>-12.527240741346974</c:v>
                </c:pt>
                <c:pt idx="257">
                  <c:v>-12.59106792600919</c:v>
                </c:pt>
                <c:pt idx="258">
                  <c:v>-12.654602546037633</c:v>
                </c:pt>
                <c:pt idx="259">
                  <c:v>-12.717847372936015</c:v>
                </c:pt>
                <c:pt idx="260">
                  <c:v>-12.780805128438233</c:v>
                </c:pt>
                <c:pt idx="261">
                  <c:v>-12.844899595690279</c:v>
                </c:pt>
                <c:pt idx="262">
                  <c:v>-12.908699399083613</c:v>
                </c:pt>
                <c:pt idx="263">
                  <c:v>-12.972207296838526</c:v>
                </c:pt>
                <c:pt idx="264">
                  <c:v>-13.03542599812509</c:v>
                </c:pt>
                <c:pt idx="265">
                  <c:v>-13.099753422541623</c:v>
                </c:pt>
                <c:pt idx="266">
                  <c:v>-13.163784227807067</c:v>
                </c:pt>
                <c:pt idx="267">
                  <c:v>-13.227521156914047</c:v>
                </c:pt>
                <c:pt idx="268">
                  <c:v>-13.290966904625199</c:v>
                </c:pt>
                <c:pt idx="269">
                  <c:v>-13.355646108220821</c:v>
                </c:pt>
                <c:pt idx="270">
                  <c:v>-13.420025465402283</c:v>
                </c:pt>
                <c:pt idx="271">
                  <c:v>-13.484107721689689</c:v>
                </c:pt>
                <c:pt idx="272">
                  <c:v>-13.547895574836378</c:v>
                </c:pt>
                <c:pt idx="273">
                  <c:v>-13.612885725316378</c:v>
                </c:pt>
                <c:pt idx="274">
                  <c:v>-13.677572993622704</c:v>
                </c:pt>
                <c:pt idx="275">
                  <c:v>-13.741960125403436</c:v>
                </c:pt>
                <c:pt idx="276">
                  <c:v>-13.806049819120132</c:v>
                </c:pt>
                <c:pt idx="277">
                  <c:v>-13.871164561908</c:v>
                </c:pt>
                <c:pt idx="278">
                  <c:v>-13.93597493893993</c:v>
                </c:pt>
                <c:pt idx="279">
                  <c:v>-14.00048367575555</c:v>
                </c:pt>
                <c:pt idx="280">
                  <c:v>-14.064693451801713</c:v>
                </c:pt>
                <c:pt idx="281">
                  <c:v>-14.130334093753056</c:v>
                </c:pt>
                <c:pt idx="282">
                  <c:v>-14.195664944534037</c:v>
                </c:pt>
                <c:pt idx="283">
                  <c:v>-14.260688763238257</c:v>
                </c:pt>
                <c:pt idx="284">
                  <c:v>-14.325408262812099</c:v>
                </c:pt>
                <c:pt idx="285">
                  <c:v>-14.391097285974201</c:v>
                </c:pt>
                <c:pt idx="286">
                  <c:v>-14.456475388980795</c:v>
                </c:pt>
                <c:pt idx="287">
                  <c:v>-14.521545308326669</c:v>
                </c:pt>
                <c:pt idx="288">
                  <c:v>-14.586309735606573</c:v>
                </c:pt>
                <c:pt idx="289">
                  <c:v>-14.652434434650308</c:v>
                </c:pt>
                <c:pt idx="290">
                  <c:v>-14.71824323446069</c:v>
                </c:pt>
                <c:pt idx="291">
                  <c:v>-14.783738901171148</c:v>
                </c:pt>
                <c:pt idx="292">
                  <c:v>-14.848924156169872</c:v>
                </c:pt>
                <c:pt idx="293">
                  <c:v>-14.915297330878747</c:v>
                </c:pt>
                <c:pt idx="294">
                  <c:v>-14.981351205964152</c:v>
                </c:pt>
                <c:pt idx="295">
                  <c:v>-15.047088557918686</c:v>
                </c:pt>
                <c:pt idx="296">
                  <c:v>-15.112512119115102</c:v>
                </c:pt>
                <c:pt idx="297">
                  <c:v>-15.179091719461331</c:v>
                </c:pt>
                <c:pt idx="298">
                  <c:v>-15.245348836212518</c:v>
                </c:pt>
                <c:pt idx="299">
                  <c:v>-15.311286255292707</c:v>
                </c:pt>
                <c:pt idx="300">
                  <c:v>-15.3769067191923</c:v>
                </c:pt>
                <c:pt idx="301">
                  <c:v>-15.443651907665437</c:v>
                </c:pt>
                <c:pt idx="302">
                  <c:v>-15.510071643482659</c:v>
                </c:pt>
                <c:pt idx="303">
                  <c:v>-15.576168721397154</c:v>
                </c:pt>
                <c:pt idx="304">
                  <c:v>-15.641945893459804</c:v>
                </c:pt>
                <c:pt idx="305">
                  <c:v>-15.70907360553022</c:v>
                </c:pt>
                <c:pt idx="306">
                  <c:v>-15.775870591760391</c:v>
                </c:pt>
                <c:pt idx="307">
                  <c:v>-15.842339687628739</c:v>
                </c:pt>
                <c:pt idx="308">
                  <c:v>-15.908483686032183</c:v>
                </c:pt>
                <c:pt idx="309">
                  <c:v>-15.975688936463847</c:v>
                </c:pt>
                <c:pt idx="310">
                  <c:v>-16.042560997592247</c:v>
                </c:pt>
                <c:pt idx="311">
                  <c:v>-16.109102712090458</c:v>
                </c:pt>
                <c:pt idx="312">
                  <c:v>-16.175316880868248</c:v>
                </c:pt>
                <c:pt idx="313">
                  <c:v>-16.24280928785954</c:v>
                </c:pt>
                <c:pt idx="314">
                  <c:v>-16.309963796692632</c:v>
                </c:pt>
                <c:pt idx="315">
                  <c:v>-16.37678328870026</c:v>
                </c:pt>
                <c:pt idx="316">
                  <c:v>-16.44327060367263</c:v>
                </c:pt>
                <c:pt idx="317">
                  <c:v>-16.510999738116233</c:v>
                </c:pt>
                <c:pt idx="318">
                  <c:v>-16.57838658439541</c:v>
                </c:pt>
                <c:pt idx="319">
                  <c:v>-16.645434061317712</c:v>
                </c:pt>
                <c:pt idx="320">
                  <c:v>-16.712145046412729</c:v>
                </c:pt>
                <c:pt idx="321">
                  <c:v>-16.780062088392825</c:v>
                </c:pt>
                <c:pt idx="322">
                  <c:v>-16.847632773664454</c:v>
                </c:pt>
                <c:pt idx="323">
                  <c:v>-16.91486005750194</c:v>
                </c:pt>
                <c:pt idx="324">
                  <c:v>-16.981746854195151</c:v>
                </c:pt>
                <c:pt idx="325">
                  <c:v>-17.049804618078241</c:v>
                </c:pt>
                <c:pt idx="326">
                  <c:v>-17.117512281065515</c:v>
                </c:pt>
                <c:pt idx="327">
                  <c:v>-17.184872834016538</c:v>
                </c:pt>
                <c:pt idx="328">
                  <c:v>-17.251889227114717</c:v>
                </c:pt>
                <c:pt idx="329">
                  <c:v>-17.320155858065061</c:v>
                </c:pt>
                <c:pt idx="330">
                  <c:v>-17.38806779307982</c:v>
                </c:pt>
                <c:pt idx="331">
                  <c:v>-17.455628072900549</c:v>
                </c:pt>
                <c:pt idx="332">
                  <c:v>-17.522839697635803</c:v>
                </c:pt>
                <c:pt idx="333">
                  <c:v>-17.591152997367367</c:v>
                </c:pt>
                <c:pt idx="334">
                  <c:v>-17.659108549942534</c:v>
                </c:pt>
                <c:pt idx="335">
                  <c:v>-17.726709429686988</c:v>
                </c:pt>
                <c:pt idx="336">
                  <c:v>-17.793958670608919</c:v>
                </c:pt>
                <c:pt idx="337">
                  <c:v>-17.862494635627364</c:v>
                </c:pt>
                <c:pt idx="338">
                  <c:v>-17.930667834749471</c:v>
                </c:pt>
                <c:pt idx="339">
                  <c:v>-17.998481404840227</c:v>
                </c:pt>
                <c:pt idx="340">
                  <c:v>-18.065938442234184</c:v>
                </c:pt>
                <c:pt idx="341">
                  <c:v>-18.13464304767637</c:v>
                </c:pt>
                <c:pt idx="342">
                  <c:v>-18.202980301217391</c:v>
                </c:pt>
                <c:pt idx="343">
                  <c:v>-18.270953400490054</c:v>
                </c:pt>
                <c:pt idx="344">
                  <c:v>-18.33856550239037</c:v>
                </c:pt>
                <c:pt idx="345">
                  <c:v>-18.407282362892282</c:v>
                </c:pt>
                <c:pt idx="346">
                  <c:v>-18.475628847637338</c:v>
                </c:pt>
                <c:pt idx="347">
                  <c:v>-18.543608198429983</c:v>
                </c:pt>
                <c:pt idx="348">
                  <c:v>-18.611223616374236</c:v>
                </c:pt>
                <c:pt idx="349">
                  <c:v>-18.680114139399596</c:v>
                </c:pt>
                <c:pt idx="350">
                  <c:v>-18.748629433270104</c:v>
                </c:pt>
                <c:pt idx="351">
                  <c:v>-18.816772811765745</c:v>
                </c:pt>
                <c:pt idx="352">
                  <c:v>-18.884547547493653</c:v>
                </c:pt>
                <c:pt idx="353">
                  <c:v>-18.953557429300652</c:v>
                </c:pt>
                <c:pt idx="354">
                  <c:v>-19.02218771861742</c:v>
                </c:pt>
                <c:pt idx="355">
                  <c:v>-19.090441798740823</c:v>
                </c:pt>
                <c:pt idx="356">
                  <c:v>-19.158323011316728</c:v>
                </c:pt>
                <c:pt idx="357">
                  <c:v>-19.227302476066303</c:v>
                </c:pt>
                <c:pt idx="358">
                  <c:v>-19.295899561772156</c:v>
                </c:pt>
                <c:pt idx="359">
                  <c:v>-19.364117704015204</c:v>
                </c:pt>
                <c:pt idx="360">
                  <c:v>-19.431960296471974</c:v>
                </c:pt>
                <c:pt idx="361">
                  <c:v>-19.501057684690412</c:v>
                </c:pt>
                <c:pt idx="362">
                  <c:v>-19.569768214805944</c:v>
                </c:pt>
                <c:pt idx="363">
                  <c:v>-19.63809540125731</c:v>
                </c:pt>
                <c:pt idx="364">
                  <c:v>-19.706042715831899</c:v>
                </c:pt>
                <c:pt idx="365">
                  <c:v>-19.775110913804404</c:v>
                </c:pt>
                <c:pt idx="366">
                  <c:v>-19.843789372414477</c:v>
                </c:pt>
                <c:pt idx="367">
                  <c:v>-19.9120816670513</c:v>
                </c:pt>
                <c:pt idx="368">
                  <c:v>-19.979991329928581</c:v>
                </c:pt>
                <c:pt idx="369">
                  <c:v>-20.049168692133023</c:v>
                </c:pt>
                <c:pt idx="370">
                  <c:v>-20.117951847381722</c:v>
                </c:pt>
                <c:pt idx="371">
                  <c:v>-20.186344457589811</c:v>
                </c:pt>
                <c:pt idx="372">
                  <c:v>-20.254350140491034</c:v>
                </c:pt>
                <c:pt idx="373">
                  <c:v>-20.32349272029094</c:v>
                </c:pt>
                <c:pt idx="374">
                  <c:v>-20.392238241133228</c:v>
                </c:pt>
                <c:pt idx="375">
                  <c:v>-20.460590432772342</c:v>
                </c:pt>
                <c:pt idx="376">
                  <c:v>-20.528552980001038</c:v>
                </c:pt>
                <c:pt idx="377">
                  <c:v>-20.597789991165673</c:v>
                </c:pt>
                <c:pt idx="378">
                  <c:v>-20.666625608276053</c:v>
                </c:pt>
                <c:pt idx="379">
                  <c:v>-20.735063653487011</c:v>
                </c:pt>
                <c:pt idx="380">
                  <c:v>-20.803107902739157</c:v>
                </c:pt>
                <c:pt idx="381">
                  <c:v>-20.872213676229197</c:v>
                </c:pt>
                <c:pt idx="382">
                  <c:v>-20.940916344303751</c:v>
                </c:pt>
                <c:pt idx="383">
                  <c:v>-21.00921978760908</c:v>
                </c:pt>
                <c:pt idx="384">
                  <c:v>-21.077127839789611</c:v>
                </c:pt>
                <c:pt idx="385">
                  <c:v>-21.146312617685101</c:v>
                </c:pt>
                <c:pt idx="386">
                  <c:v>-21.215090167344819</c:v>
                </c:pt>
                <c:pt idx="387">
                  <c:v>-21.283464466001995</c:v>
                </c:pt>
                <c:pt idx="388">
                  <c:v>-21.351439442403283</c:v>
                </c:pt>
                <c:pt idx="389">
                  <c:v>-21.420566974419724</c:v>
                </c:pt>
                <c:pt idx="390">
                  <c:v>-21.489284790044742</c:v>
                </c:pt>
                <c:pt idx="391">
                  <c:v>-21.557596942675072</c:v>
                </c:pt>
                <c:pt idx="392">
                  <c:v>-21.625507435981856</c:v>
                </c:pt>
                <c:pt idx="393">
                  <c:v>-21.694531933452815</c:v>
                </c:pt>
                <c:pt idx="394">
                  <c:v>-21.763144836949117</c:v>
                </c:pt>
                <c:pt idx="395">
                  <c:v>-21.831350269889018</c:v>
                </c:pt>
                <c:pt idx="396">
                  <c:v>-21.899152304743001</c:v>
                </c:pt>
                <c:pt idx="397">
                  <c:v>-21.968186396796874</c:v>
                </c:pt>
                <c:pt idx="398">
                  <c:v>-22.036805754619607</c:v>
                </c:pt>
                <c:pt idx="399">
                  <c:v>-22.105014593534325</c:v>
                </c:pt>
                <c:pt idx="400">
                  <c:v>-22.172817076248531</c:v>
                </c:pt>
                <c:pt idx="401">
                  <c:v>-22.241734152922312</c:v>
                </c:pt>
                <c:pt idx="402">
                  <c:v>-22.310234959600095</c:v>
                </c:pt>
                <c:pt idx="403">
                  <c:v>-22.378323781928415</c:v>
                </c:pt>
                <c:pt idx="404">
                  <c:v>-22.446004851543005</c:v>
                </c:pt>
                <c:pt idx="405">
                  <c:v>-22.514837006552966</c:v>
                </c:pt>
                <c:pt idx="406">
                  <c:v>-22.583251080624457</c:v>
                </c:pt>
                <c:pt idx="407">
                  <c:v>-22.651251436367858</c:v>
                </c:pt>
                <c:pt idx="408">
                  <c:v>-22.718842380793703</c:v>
                </c:pt>
                <c:pt idx="409">
                  <c:v>-22.78761776352993</c:v>
                </c:pt>
                <c:pt idx="410">
                  <c:v>-22.855973031701904</c:v>
                </c:pt>
                <c:pt idx="411">
                  <c:v>-22.923912630789491</c:v>
                </c:pt>
                <c:pt idx="412">
                  <c:v>-22.991440948899541</c:v>
                </c:pt>
                <c:pt idx="413">
                  <c:v>-23.060113553113233</c:v>
                </c:pt>
                <c:pt idx="414">
                  <c:v>-23.128364700643765</c:v>
                </c:pt>
                <c:pt idx="415">
                  <c:v>-23.196198911128086</c:v>
                </c:pt>
                <c:pt idx="416">
                  <c:v>-23.263620645124028</c:v>
                </c:pt>
                <c:pt idx="417">
                  <c:v>-23.332216740430894</c:v>
                </c:pt>
                <c:pt idx="418">
                  <c:v>-23.400389860943474</c:v>
                </c:pt>
                <c:pt idx="419">
                  <c:v>-23.468144605287744</c:v>
                </c:pt>
                <c:pt idx="420">
                  <c:v>-23.535485511140063</c:v>
                </c:pt>
                <c:pt idx="421">
                  <c:v>-23.603893841838666</c:v>
                </c:pt>
                <c:pt idx="422">
                  <c:v>-23.671879208188038</c:v>
                </c:pt>
                <c:pt idx="423">
                  <c:v>-23.739446264544121</c:v>
                </c:pt>
                <c:pt idx="424">
                  <c:v>-23.806599602778583</c:v>
                </c:pt>
                <c:pt idx="425">
                  <c:v>-23.874980959764592</c:v>
                </c:pt>
                <c:pt idx="426">
                  <c:v>-23.942937550932406</c:v>
                </c:pt>
                <c:pt idx="427">
                  <c:v>-24.010474117745233</c:v>
                </c:pt>
                <c:pt idx="428">
                  <c:v>-24.077595337011783</c:v>
                </c:pt>
                <c:pt idx="429">
                  <c:v>-24.145839008250782</c:v>
                </c:pt>
                <c:pt idx="430">
                  <c:v>-24.213657659589877</c:v>
                </c:pt>
                <c:pt idx="431">
                  <c:v>-24.281056095305075</c:v>
                </c:pt>
                <c:pt idx="432">
                  <c:v>-24.348039053213096</c:v>
                </c:pt>
                <c:pt idx="433">
                  <c:v>-24.416106726054917</c:v>
                </c:pt>
                <c:pt idx="434">
                  <c:v>-24.483749795322176</c:v>
                </c:pt>
                <c:pt idx="435">
                  <c:v>-24.550973117642826</c:v>
                </c:pt>
                <c:pt idx="436">
                  <c:v>-24.617781481509795</c:v>
                </c:pt>
                <c:pt idx="437">
                  <c:v>-24.685759895639702</c:v>
                </c:pt>
                <c:pt idx="438">
                  <c:v>-24.753313245842605</c:v>
                </c:pt>
                <c:pt idx="439">
                  <c:v>-24.820446456904619</c:v>
                </c:pt>
                <c:pt idx="440">
                  <c:v>-24.887164383442904</c:v>
                </c:pt>
                <c:pt idx="441">
                  <c:v>-24.955013133614035</c:v>
                </c:pt>
                <c:pt idx="442">
                  <c:v>-25.022437071625482</c:v>
                </c:pt>
                <c:pt idx="443">
                  <c:v>-25.089441178838872</c:v>
                </c:pt>
                <c:pt idx="444">
                  <c:v>-25.156030364569798</c:v>
                </c:pt>
                <c:pt idx="445">
                  <c:v>-25.223712751244285</c:v>
                </c:pt>
                <c:pt idx="446">
                  <c:v>-25.290971253918038</c:v>
                </c:pt>
                <c:pt idx="447">
                  <c:v>-25.357810898979736</c:v>
                </c:pt>
                <c:pt idx="448">
                  <c:v>-25.424236639063416</c:v>
                </c:pt>
                <c:pt idx="449">
                  <c:v>-25.491832318252001</c:v>
                </c:pt>
                <c:pt idx="450">
                  <c:v>-25.559004271598063</c:v>
                </c:pt>
                <c:pt idx="451">
                  <c:v>-25.625757584392623</c:v>
                </c:pt>
                <c:pt idx="452">
                  <c:v>-25.692097266139822</c:v>
                </c:pt>
                <c:pt idx="453">
                  <c:v>-25.75951322252358</c:v>
                </c:pt>
                <c:pt idx="454">
                  <c:v>-25.826507003572516</c:v>
                </c:pt>
                <c:pt idx="455">
                  <c:v>-25.893083728482349</c:v>
                </c:pt>
                <c:pt idx="456">
                  <c:v>-25.959248439077566</c:v>
                </c:pt>
                <c:pt idx="457">
                  <c:v>-26.026561730502227</c:v>
                </c:pt>
                <c:pt idx="458">
                  <c:v>-26.093453670659969</c:v>
                </c:pt>
                <c:pt idx="459">
                  <c:v>-26.159929425530951</c:v>
                </c:pt>
                <c:pt idx="460">
                  <c:v>-26.225994081838778</c:v>
                </c:pt>
                <c:pt idx="461">
                  <c:v>-26.29316993313499</c:v>
                </c:pt>
                <c:pt idx="462">
                  <c:v>-26.359925931094427</c:v>
                </c:pt>
                <c:pt idx="463">
                  <c:v>-26.426267275753172</c:v>
                </c:pt>
                <c:pt idx="464">
                  <c:v>-26.492199086224648</c:v>
                </c:pt>
                <c:pt idx="465">
                  <c:v>-26.559257387616494</c:v>
                </c:pt>
                <c:pt idx="466">
                  <c:v>-26.625897328908824</c:v>
                </c:pt>
                <c:pt idx="467">
                  <c:v>-26.692124143642868</c:v>
                </c:pt>
                <c:pt idx="468">
                  <c:v>-26.757942982747679</c:v>
                </c:pt>
                <c:pt idx="469">
                  <c:v>-26.824852311318985</c:v>
                </c:pt>
                <c:pt idx="470">
                  <c:v>-26.891345408650743</c:v>
                </c:pt>
                <c:pt idx="471">
                  <c:v>-26.957427529028884</c:v>
                </c:pt>
                <c:pt idx="472">
                  <c:v>-27.023103842676313</c:v>
                </c:pt>
                <c:pt idx="473">
                  <c:v>-27.089933399944577</c:v>
                </c:pt>
                <c:pt idx="474">
                  <c:v>-27.156348243460858</c:v>
                </c:pt>
                <c:pt idx="475">
                  <c:v>-27.222353658805396</c:v>
                </c:pt>
                <c:pt idx="476">
                  <c:v>-27.287954845792974</c:v>
                </c:pt>
                <c:pt idx="477">
                  <c:v>-27.354672945888808</c:v>
                </c:pt>
                <c:pt idx="478">
                  <c:v>-27.420978490765208</c:v>
                </c:pt>
                <c:pt idx="479">
                  <c:v>-27.486876783992102</c:v>
                </c:pt>
                <c:pt idx="480">
                  <c:v>-27.552373041933265</c:v>
                </c:pt>
                <c:pt idx="481">
                  <c:v>-27.618951554940882</c:v>
                </c:pt>
                <c:pt idx="482">
                  <c:v>-27.685120263283636</c:v>
                </c:pt>
                <c:pt idx="483">
                  <c:v>-27.750884475704179</c:v>
                </c:pt>
                <c:pt idx="484">
                  <c:v>-27.816249412562723</c:v>
                </c:pt>
                <c:pt idx="485">
                  <c:v>-27.88270867628826</c:v>
                </c:pt>
                <c:pt idx="486">
                  <c:v>-27.948760878197273</c:v>
                </c:pt>
                <c:pt idx="487">
                  <c:v>-28.014411330703773</c:v>
                </c:pt>
                <c:pt idx="488">
                  <c:v>-28.079665256685878</c:v>
                </c:pt>
                <c:pt idx="489">
                  <c:v>-28.146068456605779</c:v>
                </c:pt>
                <c:pt idx="490">
                  <c:v>-28.212066809624133</c:v>
                </c:pt>
                <c:pt idx="491">
                  <c:v>-28.277665640473401</c:v>
                </c:pt>
                <c:pt idx="492">
                  <c:v>-28.342870182991135</c:v>
                </c:pt>
                <c:pt idx="493">
                  <c:v>-28.409189326463075</c:v>
                </c:pt>
                <c:pt idx="494">
                  <c:v>-28.475106421175195</c:v>
                </c:pt>
                <c:pt idx="495">
                  <c:v>-28.540626790956374</c:v>
                </c:pt>
                <c:pt idx="496">
                  <c:v>-28.605755667671943</c:v>
                </c:pt>
                <c:pt idx="497">
                  <c:v>-28.672008054639846</c:v>
                </c:pt>
                <c:pt idx="498">
                  <c:v>-28.737861218918525</c:v>
                </c:pt>
                <c:pt idx="499">
                  <c:v>-28.80332048091697</c:v>
                </c:pt>
                <c:pt idx="500">
                  <c:v>-28.868391068065456</c:v>
                </c:pt>
                <c:pt idx="501">
                  <c:v>-28.934593179167901</c:v>
                </c:pt>
                <c:pt idx="502">
                  <c:v>-29.000398929612075</c:v>
                </c:pt>
                <c:pt idx="503">
                  <c:v>-29.065813633600214</c:v>
                </c:pt>
                <c:pt idx="504">
                  <c:v>-29.130842511403397</c:v>
                </c:pt>
                <c:pt idx="505">
                  <c:v>-29.196970122225281</c:v>
                </c:pt>
                <c:pt idx="506">
                  <c:v>-29.262704750023659</c:v>
                </c:pt>
                <c:pt idx="507">
                  <c:v>-29.328051690218608</c:v>
                </c:pt>
                <c:pt idx="508">
                  <c:v>-29.393016143644889</c:v>
                </c:pt>
                <c:pt idx="509">
                  <c:v>-29.459087172118522</c:v>
                </c:pt>
                <c:pt idx="510">
                  <c:v>-29.524768599819346</c:v>
                </c:pt>
                <c:pt idx="511">
                  <c:v>-29.590065700887202</c:v>
                </c:pt>
                <c:pt idx="512">
                  <c:v>-29.654983654289335</c:v>
                </c:pt>
                <c:pt idx="513">
                  <c:v>-29.721053429839973</c:v>
                </c:pt>
                <c:pt idx="514">
                  <c:v>-29.786736551528314</c:v>
                </c:pt>
                <c:pt idx="515">
                  <c:v>-29.852038278582931</c:v>
                </c:pt>
                <c:pt idx="516">
                  <c:v>-29.916963774326383</c:v>
                </c:pt>
                <c:pt idx="517">
                  <c:v>-29.98300892883104</c:v>
                </c:pt>
                <c:pt idx="518">
                  <c:v>-30.048670859079959</c:v>
                </c:pt>
                <c:pt idx="519">
                  <c:v>-30.113954797046773</c:v>
                </c:pt>
                <c:pt idx="520">
                  <c:v>-30.178865878373486</c:v>
                </c:pt>
                <c:pt idx="521">
                  <c:v>-30.244902426327403</c:v>
                </c:pt>
                <c:pt idx="522">
                  <c:v>-30.310559192306059</c:v>
                </c:pt>
                <c:pt idx="523">
                  <c:v>-30.37584137809673</c:v>
                </c:pt>
                <c:pt idx="524">
                  <c:v>-30.440754088814206</c:v>
                </c:pt>
                <c:pt idx="525">
                  <c:v>-30.506797504478079</c:v>
                </c:pt>
                <c:pt idx="526">
                  <c:v>-30.57246459319764</c:v>
                </c:pt>
                <c:pt idx="527">
                  <c:v>-30.637760523557631</c:v>
                </c:pt>
                <c:pt idx="528">
                  <c:v>-30.702690367218594</c:v>
                </c:pt>
                <c:pt idx="529">
                  <c:v>-30.768755632975537</c:v>
                </c:pt>
                <c:pt idx="530">
                  <c:v>-30.834448038347297</c:v>
                </c:pt>
                <c:pt idx="531">
                  <c:v>-30.89977271564463</c:v>
                </c:pt>
                <c:pt idx="532">
                  <c:v>-30.964734700095327</c:v>
                </c:pt>
                <c:pt idx="533">
                  <c:v>-31.030870376989569</c:v>
                </c:pt>
                <c:pt idx="534">
                  <c:v>-31.096636290327542</c:v>
                </c:pt>
                <c:pt idx="535">
                  <c:v>-31.162037540863668</c:v>
                </c:pt>
                <c:pt idx="536">
                  <c:v>-31.227079132008164</c:v>
                </c:pt>
                <c:pt idx="537">
                  <c:v>-31.293230529633508</c:v>
                </c:pt>
                <c:pt idx="538">
                  <c:v>-31.359016034150851</c:v>
                </c:pt>
                <c:pt idx="539">
                  <c:v>-31.424440695829841</c:v>
                </c:pt>
                <c:pt idx="540">
                  <c:v>-31.489509467834431</c:v>
                </c:pt>
                <c:pt idx="541">
                  <c:v>-31.555757665887235</c:v>
                </c:pt>
                <c:pt idx="542">
                  <c:v>-31.621643097983991</c:v>
                </c:pt>
                <c:pt idx="543">
                  <c:v>-31.687170776191142</c:v>
                </c:pt>
                <c:pt idx="544">
                  <c:v>-31.752345615415596</c:v>
                </c:pt>
                <c:pt idx="545">
                  <c:v>-31.818670005720971</c:v>
                </c:pt>
                <c:pt idx="546">
                  <c:v>-31.884635129129336</c:v>
                </c:pt>
                <c:pt idx="547">
                  <c:v>-31.950245948722142</c:v>
                </c:pt>
                <c:pt idx="548">
                  <c:v>-32.015507330666622</c:v>
                </c:pt>
                <c:pt idx="549">
                  <c:v>-32.081920971795419</c:v>
                </c:pt>
                <c:pt idx="550">
                  <c:v>-32.147978833900666</c:v>
                </c:pt>
                <c:pt idx="551">
                  <c:v>-32.213685828142971</c:v>
                </c:pt>
                <c:pt idx="552">
                  <c:v>-32.279046769115112</c:v>
                </c:pt>
                <c:pt idx="553">
                  <c:v>-32.345592896164838</c:v>
                </c:pt>
                <c:pt idx="554">
                  <c:v>-32.411786392104418</c:v>
                </c:pt>
                <c:pt idx="555">
                  <c:v>-32.477632119973308</c:v>
                </c:pt>
                <c:pt idx="556">
                  <c:v>-32.543134846515237</c:v>
                </c:pt>
                <c:pt idx="557">
                  <c:v>-32.67616350608786</c:v>
                </c:pt>
                <c:pt idx="558">
                  <c:v>-32.807813399775512</c:v>
                </c:pt>
                <c:pt idx="559">
                  <c:v>-32.941093289701662</c:v>
                </c:pt>
                <c:pt idx="560">
                  <c:v>-33.073007965464221</c:v>
                </c:pt>
                <c:pt idx="561">
                  <c:v>-33.206676734573975</c:v>
                </c:pt>
                <c:pt idx="562">
                  <c:v>-33.338991369012277</c:v>
                </c:pt>
                <c:pt idx="563">
                  <c:v>-33.472785253627684</c:v>
                </c:pt>
                <c:pt idx="564">
                  <c:v>-33.605241625159351</c:v>
                </c:pt>
                <c:pt idx="565">
                  <c:v>-33.739686204022355</c:v>
                </c:pt>
                <c:pt idx="566">
                  <c:v>-33.87279966684099</c:v>
                </c:pt>
                <c:pt idx="567">
                  <c:v>-34.007842957613697</c:v>
                </c:pt>
                <c:pt idx="568">
                  <c:v>-34.141562861987872</c:v>
                </c:pt>
                <c:pt idx="569">
                  <c:v>-34.276630306405394</c:v>
                </c:pt>
                <c:pt idx="570">
                  <c:v>-34.410393347809652</c:v>
                </c:pt>
                <c:pt idx="571">
                  <c:v>-34.546505833116363</c:v>
                </c:pt>
                <c:pt idx="572">
                  <c:v>-34.681313364808169</c:v>
                </c:pt>
                <c:pt idx="573">
                  <c:v>-34.817386515518557</c:v>
                </c:pt>
                <c:pt idx="574">
                  <c:v>-34.952174855344566</c:v>
                </c:pt>
                <c:pt idx="575">
                  <c:v>-35.089196195753736</c:v>
                </c:pt>
                <c:pt idx="576">
                  <c:v>-35.22493422185314</c:v>
                </c:pt>
                <c:pt idx="577">
                  <c:v>-35.786113424885365</c:v>
                </c:pt>
                <c:pt idx="578">
                  <c:v>-36.327120454367389</c:v>
                </c:pt>
                <c:pt idx="579">
                  <c:v>-37.451074450254708</c:v>
                </c:pt>
                <c:pt idx="580">
                  <c:v>-38.601930332789351</c:v>
                </c:pt>
                <c:pt idx="581">
                  <c:v>-39.780760892945047</c:v>
                </c:pt>
                <c:pt idx="582">
                  <c:v>-40.990358251739032</c:v>
                </c:pt>
                <c:pt idx="583">
                  <c:v>-42.231128921964157</c:v>
                </c:pt>
                <c:pt idx="584">
                  <c:v>-43.504562780489415</c:v>
                </c:pt>
                <c:pt idx="585">
                  <c:v>-44.809774206229946</c:v>
                </c:pt>
                <c:pt idx="586">
                  <c:v>-46.146129073991197</c:v>
                </c:pt>
                <c:pt idx="587">
                  <c:v>-47.512997333500387</c:v>
                </c:pt>
                <c:pt idx="588">
                  <c:v>-48.90727933153363</c:v>
                </c:pt>
                <c:pt idx="589">
                  <c:v>-50.327989518821809</c:v>
                </c:pt>
                <c:pt idx="590">
                  <c:v>-51.77231675110513</c:v>
                </c:pt>
                <c:pt idx="591">
                  <c:v>-53.238027149962342</c:v>
                </c:pt>
                <c:pt idx="592">
                  <c:v>-54.722577857941879</c:v>
                </c:pt>
                <c:pt idx="593">
                  <c:v>-56.224157135391337</c:v>
                </c:pt>
                <c:pt idx="594">
                  <c:v>-57.740256716374915</c:v>
                </c:pt>
                <c:pt idx="595">
                  <c:v>-59.269241181510317</c:v>
                </c:pt>
                <c:pt idx="596">
                  <c:v>-60.809046484053496</c:v>
                </c:pt>
                <c:pt idx="597">
                  <c:v>-62.358438850565925</c:v>
                </c:pt>
                <c:pt idx="598">
                  <c:v>-63.915657114480382</c:v>
                </c:pt>
                <c:pt idx="599">
                  <c:v>-65.479894591967991</c:v>
                </c:pt>
                <c:pt idx="600">
                  <c:v>-67.049868305647593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855-41F1-84E2-E768F8DC01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014272"/>
        <c:axId val="159016448"/>
      </c:scatterChart>
      <c:scatterChart>
        <c:scatterStyle val="lineMarker"/>
        <c:varyColors val="0"/>
        <c:ser>
          <c:idx val="1"/>
          <c:order val="1"/>
          <c:tx>
            <c:strRef>
              <c:f>'Stability Calculations'!$S$12</c:f>
              <c:strCache>
                <c:ptCount val="1"/>
                <c:pt idx="0">
                  <c:v>Phase (°)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'Stability Calculations'!$A$13:$A$613</c:f>
              <c:numCache>
                <c:formatCode>General</c:formatCode>
                <c:ptCount val="601"/>
                <c:pt idx="0">
                  <c:v>1</c:v>
                </c:pt>
                <c:pt idx="1">
                  <c:v>1.0965</c:v>
                </c:pt>
                <c:pt idx="2">
                  <c:v>1.2022999999999999</c:v>
                </c:pt>
                <c:pt idx="3">
                  <c:v>1.3183</c:v>
                </c:pt>
                <c:pt idx="4">
                  <c:v>1.4454</c:v>
                </c:pt>
                <c:pt idx="5">
                  <c:v>1.5849</c:v>
                </c:pt>
                <c:pt idx="6">
                  <c:v>1.7378</c:v>
                </c:pt>
                <c:pt idx="7">
                  <c:v>1.9055</c:v>
                </c:pt>
                <c:pt idx="8">
                  <c:v>2.0893000000000002</c:v>
                </c:pt>
                <c:pt idx="9">
                  <c:v>2.2909000000000002</c:v>
                </c:pt>
                <c:pt idx="10">
                  <c:v>2.5118999999999998</c:v>
                </c:pt>
                <c:pt idx="11">
                  <c:v>2.7542</c:v>
                </c:pt>
                <c:pt idx="12">
                  <c:v>3.02</c:v>
                </c:pt>
                <c:pt idx="13">
                  <c:v>3.3113000000000001</c:v>
                </c:pt>
                <c:pt idx="14">
                  <c:v>3.6307999999999998</c:v>
                </c:pt>
                <c:pt idx="15">
                  <c:v>3.9811000000000001</c:v>
                </c:pt>
                <c:pt idx="16">
                  <c:v>4.3651999999999997</c:v>
                </c:pt>
                <c:pt idx="17">
                  <c:v>4.7862999999999998</c:v>
                </c:pt>
                <c:pt idx="18">
                  <c:v>5.2481</c:v>
                </c:pt>
                <c:pt idx="19">
                  <c:v>5.7544000000000004</c:v>
                </c:pt>
                <c:pt idx="20">
                  <c:v>6.3095999999999997</c:v>
                </c:pt>
                <c:pt idx="21">
                  <c:v>6.9183000000000003</c:v>
                </c:pt>
                <c:pt idx="22">
                  <c:v>7.5857999999999999</c:v>
                </c:pt>
                <c:pt idx="23">
                  <c:v>8.3176000000000005</c:v>
                </c:pt>
                <c:pt idx="24">
                  <c:v>9.1201000000000008</c:v>
                </c:pt>
                <c:pt idx="25">
                  <c:v>10</c:v>
                </c:pt>
                <c:pt idx="26">
                  <c:v>10.965</c:v>
                </c:pt>
                <c:pt idx="27">
                  <c:v>12.023</c:v>
                </c:pt>
                <c:pt idx="28">
                  <c:v>13.183</c:v>
                </c:pt>
                <c:pt idx="29">
                  <c:v>14.454000000000001</c:v>
                </c:pt>
                <c:pt idx="30">
                  <c:v>15.849</c:v>
                </c:pt>
                <c:pt idx="31">
                  <c:v>17.378</c:v>
                </c:pt>
                <c:pt idx="32">
                  <c:v>19.055</c:v>
                </c:pt>
                <c:pt idx="33">
                  <c:v>20.893000000000001</c:v>
                </c:pt>
                <c:pt idx="34">
                  <c:v>22.909000000000002</c:v>
                </c:pt>
                <c:pt idx="35">
                  <c:v>25.119</c:v>
                </c:pt>
                <c:pt idx="36">
                  <c:v>27.542000000000002</c:v>
                </c:pt>
                <c:pt idx="37">
                  <c:v>30.2</c:v>
                </c:pt>
                <c:pt idx="38">
                  <c:v>33.113</c:v>
                </c:pt>
                <c:pt idx="39">
                  <c:v>36.308</c:v>
                </c:pt>
                <c:pt idx="40">
                  <c:v>39.811</c:v>
                </c:pt>
                <c:pt idx="41">
                  <c:v>43.652000000000001</c:v>
                </c:pt>
                <c:pt idx="42">
                  <c:v>47.863</c:v>
                </c:pt>
                <c:pt idx="43">
                  <c:v>52.481000000000002</c:v>
                </c:pt>
                <c:pt idx="44">
                  <c:v>57.544000000000004</c:v>
                </c:pt>
                <c:pt idx="45">
                  <c:v>63.095999999999997</c:v>
                </c:pt>
                <c:pt idx="46">
                  <c:v>69.183000000000007</c:v>
                </c:pt>
                <c:pt idx="47">
                  <c:v>75.858000000000004</c:v>
                </c:pt>
                <c:pt idx="48">
                  <c:v>83.176000000000002</c:v>
                </c:pt>
                <c:pt idx="49">
                  <c:v>91.201000000000008</c:v>
                </c:pt>
                <c:pt idx="50">
                  <c:v>100</c:v>
                </c:pt>
                <c:pt idx="51">
                  <c:v>109.65</c:v>
                </c:pt>
                <c:pt idx="52">
                  <c:v>120.23</c:v>
                </c:pt>
                <c:pt idx="53">
                  <c:v>131.83000000000001</c:v>
                </c:pt>
                <c:pt idx="54">
                  <c:v>144.54</c:v>
                </c:pt>
                <c:pt idx="55">
                  <c:v>158.49</c:v>
                </c:pt>
                <c:pt idx="56">
                  <c:v>173.78</c:v>
                </c:pt>
                <c:pt idx="57">
                  <c:v>190.55</c:v>
                </c:pt>
                <c:pt idx="58">
                  <c:v>208.93</c:v>
                </c:pt>
                <c:pt idx="59">
                  <c:v>229.09</c:v>
                </c:pt>
                <c:pt idx="60">
                  <c:v>251.19</c:v>
                </c:pt>
                <c:pt idx="61">
                  <c:v>275.42</c:v>
                </c:pt>
                <c:pt idx="62">
                  <c:v>302</c:v>
                </c:pt>
                <c:pt idx="63">
                  <c:v>331.13</c:v>
                </c:pt>
                <c:pt idx="64">
                  <c:v>363.08</c:v>
                </c:pt>
                <c:pt idx="65">
                  <c:v>398.11</c:v>
                </c:pt>
                <c:pt idx="66">
                  <c:v>436.52</c:v>
                </c:pt>
                <c:pt idx="67">
                  <c:v>478.63</c:v>
                </c:pt>
                <c:pt idx="68">
                  <c:v>524.80999999999995</c:v>
                </c:pt>
                <c:pt idx="69">
                  <c:v>575.44000000000005</c:v>
                </c:pt>
                <c:pt idx="70">
                  <c:v>630.96</c:v>
                </c:pt>
                <c:pt idx="71">
                  <c:v>691.83</c:v>
                </c:pt>
                <c:pt idx="72">
                  <c:v>758.58</c:v>
                </c:pt>
                <c:pt idx="73">
                  <c:v>831.76</c:v>
                </c:pt>
                <c:pt idx="74">
                  <c:v>912.01</c:v>
                </c:pt>
                <c:pt idx="75">
                  <c:v>1000</c:v>
                </c:pt>
                <c:pt idx="76">
                  <c:v>1096.5</c:v>
                </c:pt>
                <c:pt idx="77">
                  <c:v>1202.3</c:v>
                </c:pt>
                <c:pt idx="78">
                  <c:v>1318.3</c:v>
                </c:pt>
                <c:pt idx="79">
                  <c:v>1445.4</c:v>
                </c:pt>
                <c:pt idx="80">
                  <c:v>1584.9</c:v>
                </c:pt>
                <c:pt idx="81">
                  <c:v>1737.8</c:v>
                </c:pt>
                <c:pt idx="82">
                  <c:v>1905.5</c:v>
                </c:pt>
                <c:pt idx="83">
                  <c:v>2089.3000000000002</c:v>
                </c:pt>
                <c:pt idx="84">
                  <c:v>2290.9</c:v>
                </c:pt>
                <c:pt idx="85">
                  <c:v>2511.9</c:v>
                </c:pt>
                <c:pt idx="86">
                  <c:v>2754.2</c:v>
                </c:pt>
                <c:pt idx="87">
                  <c:v>3020</c:v>
                </c:pt>
                <c:pt idx="88">
                  <c:v>3311.3</c:v>
                </c:pt>
                <c:pt idx="89">
                  <c:v>3630.8</c:v>
                </c:pt>
                <c:pt idx="90">
                  <c:v>3981.1</c:v>
                </c:pt>
                <c:pt idx="91">
                  <c:v>4365.2</c:v>
                </c:pt>
                <c:pt idx="92">
                  <c:v>4786.3</c:v>
                </c:pt>
                <c:pt idx="93">
                  <c:v>5248.1</c:v>
                </c:pt>
                <c:pt idx="94">
                  <c:v>5370.3</c:v>
                </c:pt>
                <c:pt idx="95">
                  <c:v>5432.85</c:v>
                </c:pt>
                <c:pt idx="96">
                  <c:v>5495.4</c:v>
                </c:pt>
                <c:pt idx="97">
                  <c:v>5559.4</c:v>
                </c:pt>
                <c:pt idx="98">
                  <c:v>5623.4</c:v>
                </c:pt>
                <c:pt idx="99">
                  <c:v>5688.9</c:v>
                </c:pt>
                <c:pt idx="100">
                  <c:v>5754.4</c:v>
                </c:pt>
                <c:pt idx="101">
                  <c:v>5821.4</c:v>
                </c:pt>
                <c:pt idx="102">
                  <c:v>5888.4</c:v>
                </c:pt>
                <c:pt idx="103">
                  <c:v>5957</c:v>
                </c:pt>
                <c:pt idx="104">
                  <c:v>6025.6</c:v>
                </c:pt>
                <c:pt idx="105">
                  <c:v>6095.8</c:v>
                </c:pt>
                <c:pt idx="106">
                  <c:v>6166</c:v>
                </c:pt>
                <c:pt idx="107">
                  <c:v>6237.8</c:v>
                </c:pt>
                <c:pt idx="108">
                  <c:v>6309.6</c:v>
                </c:pt>
                <c:pt idx="109">
                  <c:v>6383.05</c:v>
                </c:pt>
                <c:pt idx="110">
                  <c:v>6456.5</c:v>
                </c:pt>
                <c:pt idx="111">
                  <c:v>6531.7</c:v>
                </c:pt>
                <c:pt idx="112">
                  <c:v>6606.9</c:v>
                </c:pt>
                <c:pt idx="113">
                  <c:v>6683.85</c:v>
                </c:pt>
                <c:pt idx="114">
                  <c:v>6760.8</c:v>
                </c:pt>
                <c:pt idx="115">
                  <c:v>6839.55</c:v>
                </c:pt>
                <c:pt idx="116">
                  <c:v>6918.3</c:v>
                </c:pt>
                <c:pt idx="117">
                  <c:v>6998.9</c:v>
                </c:pt>
                <c:pt idx="118">
                  <c:v>7079.5</c:v>
                </c:pt>
                <c:pt idx="119">
                  <c:v>7161.95</c:v>
                </c:pt>
                <c:pt idx="120">
                  <c:v>7244.4</c:v>
                </c:pt>
                <c:pt idx="121">
                  <c:v>7328.75</c:v>
                </c:pt>
                <c:pt idx="122">
                  <c:v>7413.1</c:v>
                </c:pt>
                <c:pt idx="123">
                  <c:v>7499.45</c:v>
                </c:pt>
                <c:pt idx="124">
                  <c:v>7585.8</c:v>
                </c:pt>
                <c:pt idx="125">
                  <c:v>7674.15</c:v>
                </c:pt>
                <c:pt idx="126">
                  <c:v>7762.5</c:v>
                </c:pt>
                <c:pt idx="127">
                  <c:v>7852.9</c:v>
                </c:pt>
                <c:pt idx="128">
                  <c:v>7943.3</c:v>
                </c:pt>
                <c:pt idx="129">
                  <c:v>8035.8</c:v>
                </c:pt>
                <c:pt idx="130">
                  <c:v>8128.3</c:v>
                </c:pt>
                <c:pt idx="131">
                  <c:v>8222.9500000000007</c:v>
                </c:pt>
                <c:pt idx="132">
                  <c:v>8270.2750000000015</c:v>
                </c:pt>
                <c:pt idx="133">
                  <c:v>8317.6</c:v>
                </c:pt>
                <c:pt idx="134">
                  <c:v>8366.0499999999993</c:v>
                </c:pt>
                <c:pt idx="135">
                  <c:v>8414.5</c:v>
                </c:pt>
                <c:pt idx="136">
                  <c:v>8462.9500000000007</c:v>
                </c:pt>
                <c:pt idx="137">
                  <c:v>8511.4</c:v>
                </c:pt>
                <c:pt idx="138">
                  <c:v>8560.9500000000007</c:v>
                </c:pt>
                <c:pt idx="139">
                  <c:v>8610.5</c:v>
                </c:pt>
                <c:pt idx="140">
                  <c:v>8660.0499999999993</c:v>
                </c:pt>
                <c:pt idx="141">
                  <c:v>8709.6</c:v>
                </c:pt>
                <c:pt idx="142">
                  <c:v>8760.3250000000007</c:v>
                </c:pt>
                <c:pt idx="143">
                  <c:v>8811.0499999999993</c:v>
                </c:pt>
                <c:pt idx="144">
                  <c:v>8861.7749999999996</c:v>
                </c:pt>
                <c:pt idx="145">
                  <c:v>8912.5</c:v>
                </c:pt>
                <c:pt idx="146">
                  <c:v>8964.4</c:v>
                </c:pt>
                <c:pt idx="147">
                  <c:v>9016.2999999999993</c:v>
                </c:pt>
                <c:pt idx="148">
                  <c:v>9068.2000000000007</c:v>
                </c:pt>
                <c:pt idx="149">
                  <c:v>9120.1</c:v>
                </c:pt>
                <c:pt idx="150">
                  <c:v>9173.2000000000007</c:v>
                </c:pt>
                <c:pt idx="151">
                  <c:v>9226.2999999999993</c:v>
                </c:pt>
                <c:pt idx="152">
                  <c:v>9279.4</c:v>
                </c:pt>
                <c:pt idx="153">
                  <c:v>9332.5</c:v>
                </c:pt>
                <c:pt idx="154">
                  <c:v>9386.85</c:v>
                </c:pt>
                <c:pt idx="155">
                  <c:v>9441.2000000000007</c:v>
                </c:pt>
                <c:pt idx="156">
                  <c:v>9495.5499999999993</c:v>
                </c:pt>
                <c:pt idx="157">
                  <c:v>9549.9</c:v>
                </c:pt>
                <c:pt idx="158">
                  <c:v>9605.5249999999996</c:v>
                </c:pt>
                <c:pt idx="159">
                  <c:v>9661.15</c:v>
                </c:pt>
                <c:pt idx="160">
                  <c:v>9716.7749999999996</c:v>
                </c:pt>
                <c:pt idx="161">
                  <c:v>9772.4</c:v>
                </c:pt>
                <c:pt idx="162">
                  <c:v>9829.2999999999993</c:v>
                </c:pt>
                <c:pt idx="163">
                  <c:v>9886.2000000000007</c:v>
                </c:pt>
                <c:pt idx="164">
                  <c:v>9943.1</c:v>
                </c:pt>
                <c:pt idx="165">
                  <c:v>10000</c:v>
                </c:pt>
                <c:pt idx="166">
                  <c:v>10058.25</c:v>
                </c:pt>
                <c:pt idx="167">
                  <c:v>10116.5</c:v>
                </c:pt>
                <c:pt idx="168">
                  <c:v>10174.75</c:v>
                </c:pt>
                <c:pt idx="169">
                  <c:v>10233</c:v>
                </c:pt>
                <c:pt idx="170">
                  <c:v>10292.5</c:v>
                </c:pt>
                <c:pt idx="171">
                  <c:v>10352</c:v>
                </c:pt>
                <c:pt idx="172">
                  <c:v>10411.5</c:v>
                </c:pt>
                <c:pt idx="173">
                  <c:v>10471</c:v>
                </c:pt>
                <c:pt idx="174">
                  <c:v>10532</c:v>
                </c:pt>
                <c:pt idx="175">
                  <c:v>10593</c:v>
                </c:pt>
                <c:pt idx="176">
                  <c:v>10654</c:v>
                </c:pt>
                <c:pt idx="177">
                  <c:v>10715</c:v>
                </c:pt>
                <c:pt idx="178">
                  <c:v>10777.5</c:v>
                </c:pt>
                <c:pt idx="179">
                  <c:v>10840</c:v>
                </c:pt>
                <c:pt idx="180">
                  <c:v>10902.5</c:v>
                </c:pt>
                <c:pt idx="181">
                  <c:v>10965</c:v>
                </c:pt>
                <c:pt idx="182">
                  <c:v>11028.75</c:v>
                </c:pt>
                <c:pt idx="183">
                  <c:v>11092.5</c:v>
                </c:pt>
                <c:pt idx="184">
                  <c:v>11156.25</c:v>
                </c:pt>
                <c:pt idx="185">
                  <c:v>11220</c:v>
                </c:pt>
                <c:pt idx="186">
                  <c:v>11285.5</c:v>
                </c:pt>
                <c:pt idx="187">
                  <c:v>11351</c:v>
                </c:pt>
                <c:pt idx="188">
                  <c:v>11416.5</c:v>
                </c:pt>
                <c:pt idx="189">
                  <c:v>11482</c:v>
                </c:pt>
                <c:pt idx="190">
                  <c:v>11548.75</c:v>
                </c:pt>
                <c:pt idx="191">
                  <c:v>11615.5</c:v>
                </c:pt>
                <c:pt idx="192">
                  <c:v>11682.25</c:v>
                </c:pt>
                <c:pt idx="193">
                  <c:v>11749</c:v>
                </c:pt>
                <c:pt idx="194">
                  <c:v>11817.5</c:v>
                </c:pt>
                <c:pt idx="195">
                  <c:v>11886</c:v>
                </c:pt>
                <c:pt idx="196">
                  <c:v>11954.5</c:v>
                </c:pt>
                <c:pt idx="197">
                  <c:v>12023</c:v>
                </c:pt>
                <c:pt idx="198">
                  <c:v>12093</c:v>
                </c:pt>
                <c:pt idx="199">
                  <c:v>12163</c:v>
                </c:pt>
                <c:pt idx="200">
                  <c:v>12233</c:v>
                </c:pt>
                <c:pt idx="201">
                  <c:v>12303</c:v>
                </c:pt>
                <c:pt idx="202">
                  <c:v>12374.5</c:v>
                </c:pt>
                <c:pt idx="203">
                  <c:v>12446</c:v>
                </c:pt>
                <c:pt idx="204">
                  <c:v>12517.5</c:v>
                </c:pt>
                <c:pt idx="205">
                  <c:v>12589</c:v>
                </c:pt>
                <c:pt idx="206">
                  <c:v>12662.25</c:v>
                </c:pt>
                <c:pt idx="207">
                  <c:v>12735.5</c:v>
                </c:pt>
                <c:pt idx="208">
                  <c:v>12808.75</c:v>
                </c:pt>
                <c:pt idx="209">
                  <c:v>12882</c:v>
                </c:pt>
                <c:pt idx="210">
                  <c:v>12957.25</c:v>
                </c:pt>
                <c:pt idx="211">
                  <c:v>13032.5</c:v>
                </c:pt>
                <c:pt idx="212">
                  <c:v>13107.75</c:v>
                </c:pt>
                <c:pt idx="213">
                  <c:v>13183</c:v>
                </c:pt>
                <c:pt idx="214">
                  <c:v>13259.75</c:v>
                </c:pt>
                <c:pt idx="215">
                  <c:v>13336.5</c:v>
                </c:pt>
                <c:pt idx="216">
                  <c:v>13413.25</c:v>
                </c:pt>
                <c:pt idx="217">
                  <c:v>13490</c:v>
                </c:pt>
                <c:pt idx="218">
                  <c:v>13568.5</c:v>
                </c:pt>
                <c:pt idx="219">
                  <c:v>13647</c:v>
                </c:pt>
                <c:pt idx="220">
                  <c:v>13725.5</c:v>
                </c:pt>
                <c:pt idx="221">
                  <c:v>13804</c:v>
                </c:pt>
                <c:pt idx="222">
                  <c:v>13884.25</c:v>
                </c:pt>
                <c:pt idx="223">
                  <c:v>13964.5</c:v>
                </c:pt>
                <c:pt idx="224">
                  <c:v>14044.75</c:v>
                </c:pt>
                <c:pt idx="225">
                  <c:v>14125</c:v>
                </c:pt>
                <c:pt idx="226">
                  <c:v>14207.25</c:v>
                </c:pt>
                <c:pt idx="227">
                  <c:v>14289.5</c:v>
                </c:pt>
                <c:pt idx="228">
                  <c:v>14371.75</c:v>
                </c:pt>
                <c:pt idx="229">
                  <c:v>14454</c:v>
                </c:pt>
                <c:pt idx="230">
                  <c:v>14622.5</c:v>
                </c:pt>
                <c:pt idx="231">
                  <c:v>14706.75</c:v>
                </c:pt>
                <c:pt idx="232">
                  <c:v>14791</c:v>
                </c:pt>
                <c:pt idx="233">
                  <c:v>14877.25</c:v>
                </c:pt>
                <c:pt idx="234">
                  <c:v>14963.5</c:v>
                </c:pt>
                <c:pt idx="235">
                  <c:v>15049.75</c:v>
                </c:pt>
                <c:pt idx="236">
                  <c:v>15136</c:v>
                </c:pt>
                <c:pt idx="237">
                  <c:v>15224</c:v>
                </c:pt>
                <c:pt idx="238">
                  <c:v>15312</c:v>
                </c:pt>
                <c:pt idx="239">
                  <c:v>15400</c:v>
                </c:pt>
                <c:pt idx="240">
                  <c:v>15488</c:v>
                </c:pt>
                <c:pt idx="241">
                  <c:v>15578.25</c:v>
                </c:pt>
                <c:pt idx="242">
                  <c:v>15668.5</c:v>
                </c:pt>
                <c:pt idx="243">
                  <c:v>15758.75</c:v>
                </c:pt>
                <c:pt idx="244">
                  <c:v>15849</c:v>
                </c:pt>
                <c:pt idx="245">
                  <c:v>15941.25</c:v>
                </c:pt>
                <c:pt idx="246">
                  <c:v>16033.5</c:v>
                </c:pt>
                <c:pt idx="247">
                  <c:v>16125.75</c:v>
                </c:pt>
                <c:pt idx="248">
                  <c:v>16218</c:v>
                </c:pt>
                <c:pt idx="249">
                  <c:v>16312.5</c:v>
                </c:pt>
                <c:pt idx="250">
                  <c:v>16407</c:v>
                </c:pt>
                <c:pt idx="251">
                  <c:v>16501.5</c:v>
                </c:pt>
                <c:pt idx="252">
                  <c:v>16596</c:v>
                </c:pt>
                <c:pt idx="253">
                  <c:v>16692.5</c:v>
                </c:pt>
                <c:pt idx="254">
                  <c:v>16789</c:v>
                </c:pt>
                <c:pt idx="255">
                  <c:v>16885.5</c:v>
                </c:pt>
                <c:pt idx="256">
                  <c:v>16982</c:v>
                </c:pt>
                <c:pt idx="257">
                  <c:v>17081</c:v>
                </c:pt>
                <c:pt idx="258">
                  <c:v>17180</c:v>
                </c:pt>
                <c:pt idx="259">
                  <c:v>17279</c:v>
                </c:pt>
                <c:pt idx="260">
                  <c:v>17378</c:v>
                </c:pt>
                <c:pt idx="261">
                  <c:v>17479.25</c:v>
                </c:pt>
                <c:pt idx="262">
                  <c:v>17580.5</c:v>
                </c:pt>
                <c:pt idx="263">
                  <c:v>17681.75</c:v>
                </c:pt>
                <c:pt idx="264">
                  <c:v>17783</c:v>
                </c:pt>
                <c:pt idx="265">
                  <c:v>17886.5</c:v>
                </c:pt>
                <c:pt idx="266">
                  <c:v>17990</c:v>
                </c:pt>
                <c:pt idx="267">
                  <c:v>18093.5</c:v>
                </c:pt>
                <c:pt idx="268">
                  <c:v>18197</c:v>
                </c:pt>
                <c:pt idx="269">
                  <c:v>18303</c:v>
                </c:pt>
                <c:pt idx="270">
                  <c:v>18409</c:v>
                </c:pt>
                <c:pt idx="271">
                  <c:v>18515</c:v>
                </c:pt>
                <c:pt idx="272">
                  <c:v>18621</c:v>
                </c:pt>
                <c:pt idx="273">
                  <c:v>18729.5</c:v>
                </c:pt>
                <c:pt idx="274">
                  <c:v>18838</c:v>
                </c:pt>
                <c:pt idx="275">
                  <c:v>18946.5</c:v>
                </c:pt>
                <c:pt idx="276">
                  <c:v>19055</c:v>
                </c:pt>
                <c:pt idx="277">
                  <c:v>19165.75</c:v>
                </c:pt>
                <c:pt idx="278">
                  <c:v>19276.5</c:v>
                </c:pt>
                <c:pt idx="279">
                  <c:v>19387.25</c:v>
                </c:pt>
                <c:pt idx="280">
                  <c:v>19498</c:v>
                </c:pt>
                <c:pt idx="281">
                  <c:v>19611.75</c:v>
                </c:pt>
                <c:pt idx="282">
                  <c:v>19725.5</c:v>
                </c:pt>
                <c:pt idx="283">
                  <c:v>19839.25</c:v>
                </c:pt>
                <c:pt idx="284">
                  <c:v>19953</c:v>
                </c:pt>
                <c:pt idx="285">
                  <c:v>20069</c:v>
                </c:pt>
                <c:pt idx="286">
                  <c:v>20185</c:v>
                </c:pt>
                <c:pt idx="287">
                  <c:v>20301</c:v>
                </c:pt>
                <c:pt idx="288">
                  <c:v>20417</c:v>
                </c:pt>
                <c:pt idx="289">
                  <c:v>20536</c:v>
                </c:pt>
                <c:pt idx="290">
                  <c:v>20655</c:v>
                </c:pt>
                <c:pt idx="291">
                  <c:v>20774</c:v>
                </c:pt>
                <c:pt idx="292">
                  <c:v>20893</c:v>
                </c:pt>
                <c:pt idx="293">
                  <c:v>21014.75</c:v>
                </c:pt>
                <c:pt idx="294">
                  <c:v>21136.5</c:v>
                </c:pt>
                <c:pt idx="295">
                  <c:v>21258.25</c:v>
                </c:pt>
                <c:pt idx="296">
                  <c:v>21380</c:v>
                </c:pt>
                <c:pt idx="297">
                  <c:v>21504.5</c:v>
                </c:pt>
                <c:pt idx="298">
                  <c:v>21629</c:v>
                </c:pt>
                <c:pt idx="299">
                  <c:v>21753.5</c:v>
                </c:pt>
                <c:pt idx="300">
                  <c:v>21878</c:v>
                </c:pt>
                <c:pt idx="301">
                  <c:v>22005.25</c:v>
                </c:pt>
                <c:pt idx="302">
                  <c:v>22132.5</c:v>
                </c:pt>
                <c:pt idx="303">
                  <c:v>22259.75</c:v>
                </c:pt>
                <c:pt idx="304">
                  <c:v>22387</c:v>
                </c:pt>
                <c:pt idx="305">
                  <c:v>22517.5</c:v>
                </c:pt>
                <c:pt idx="306">
                  <c:v>22648</c:v>
                </c:pt>
                <c:pt idx="307">
                  <c:v>22778.5</c:v>
                </c:pt>
                <c:pt idx="308">
                  <c:v>22909</c:v>
                </c:pt>
                <c:pt idx="309">
                  <c:v>23042.25</c:v>
                </c:pt>
                <c:pt idx="310">
                  <c:v>23175.5</c:v>
                </c:pt>
                <c:pt idx="311">
                  <c:v>23308.75</c:v>
                </c:pt>
                <c:pt idx="312">
                  <c:v>23442</c:v>
                </c:pt>
                <c:pt idx="313">
                  <c:v>23578.5</c:v>
                </c:pt>
                <c:pt idx="314">
                  <c:v>23715</c:v>
                </c:pt>
                <c:pt idx="315">
                  <c:v>23851.5</c:v>
                </c:pt>
                <c:pt idx="316">
                  <c:v>23988</c:v>
                </c:pt>
                <c:pt idx="317">
                  <c:v>24127.75</c:v>
                </c:pt>
                <c:pt idx="318">
                  <c:v>24267.5</c:v>
                </c:pt>
                <c:pt idx="319">
                  <c:v>24407.25</c:v>
                </c:pt>
                <c:pt idx="320">
                  <c:v>24547</c:v>
                </c:pt>
                <c:pt idx="321">
                  <c:v>24690</c:v>
                </c:pt>
                <c:pt idx="322">
                  <c:v>24833</c:v>
                </c:pt>
                <c:pt idx="323">
                  <c:v>24976</c:v>
                </c:pt>
                <c:pt idx="324">
                  <c:v>25119</c:v>
                </c:pt>
                <c:pt idx="325">
                  <c:v>25265.25</c:v>
                </c:pt>
                <c:pt idx="326">
                  <c:v>25411.5</c:v>
                </c:pt>
                <c:pt idx="327">
                  <c:v>25557.75</c:v>
                </c:pt>
                <c:pt idx="328">
                  <c:v>25704</c:v>
                </c:pt>
                <c:pt idx="329">
                  <c:v>25853.75</c:v>
                </c:pt>
                <c:pt idx="330">
                  <c:v>26003.5</c:v>
                </c:pt>
                <c:pt idx="331">
                  <c:v>26153.25</c:v>
                </c:pt>
                <c:pt idx="332">
                  <c:v>26303</c:v>
                </c:pt>
                <c:pt idx="333">
                  <c:v>26456</c:v>
                </c:pt>
                <c:pt idx="334">
                  <c:v>26609</c:v>
                </c:pt>
                <c:pt idx="335">
                  <c:v>26762</c:v>
                </c:pt>
                <c:pt idx="336">
                  <c:v>26915</c:v>
                </c:pt>
                <c:pt idx="337">
                  <c:v>27071.75</c:v>
                </c:pt>
                <c:pt idx="338">
                  <c:v>27228.5</c:v>
                </c:pt>
                <c:pt idx="339">
                  <c:v>27385.25</c:v>
                </c:pt>
                <c:pt idx="340">
                  <c:v>27542</c:v>
                </c:pt>
                <c:pt idx="341">
                  <c:v>27702.5</c:v>
                </c:pt>
                <c:pt idx="342">
                  <c:v>27863</c:v>
                </c:pt>
                <c:pt idx="343">
                  <c:v>28023.5</c:v>
                </c:pt>
                <c:pt idx="344">
                  <c:v>28184</c:v>
                </c:pt>
                <c:pt idx="345">
                  <c:v>28348</c:v>
                </c:pt>
                <c:pt idx="346">
                  <c:v>28512</c:v>
                </c:pt>
                <c:pt idx="347">
                  <c:v>28676</c:v>
                </c:pt>
                <c:pt idx="348">
                  <c:v>28840</c:v>
                </c:pt>
                <c:pt idx="349">
                  <c:v>29008</c:v>
                </c:pt>
                <c:pt idx="350">
                  <c:v>29176</c:v>
                </c:pt>
                <c:pt idx="351">
                  <c:v>29344</c:v>
                </c:pt>
                <c:pt idx="352">
                  <c:v>29512</c:v>
                </c:pt>
                <c:pt idx="353">
                  <c:v>29684</c:v>
                </c:pt>
                <c:pt idx="354">
                  <c:v>29856</c:v>
                </c:pt>
                <c:pt idx="355">
                  <c:v>30028</c:v>
                </c:pt>
                <c:pt idx="356">
                  <c:v>30200</c:v>
                </c:pt>
                <c:pt idx="357">
                  <c:v>30375.75</c:v>
                </c:pt>
                <c:pt idx="358">
                  <c:v>30551.5</c:v>
                </c:pt>
                <c:pt idx="359">
                  <c:v>30727.25</c:v>
                </c:pt>
                <c:pt idx="360">
                  <c:v>30903</c:v>
                </c:pt>
                <c:pt idx="361">
                  <c:v>31083</c:v>
                </c:pt>
                <c:pt idx="362">
                  <c:v>31263</c:v>
                </c:pt>
                <c:pt idx="363">
                  <c:v>31443</c:v>
                </c:pt>
                <c:pt idx="364">
                  <c:v>31623</c:v>
                </c:pt>
                <c:pt idx="365">
                  <c:v>31807</c:v>
                </c:pt>
                <c:pt idx="366">
                  <c:v>31991</c:v>
                </c:pt>
                <c:pt idx="367">
                  <c:v>32175</c:v>
                </c:pt>
                <c:pt idx="368">
                  <c:v>32359</c:v>
                </c:pt>
                <c:pt idx="369">
                  <c:v>32547.5</c:v>
                </c:pt>
                <c:pt idx="370">
                  <c:v>32736</c:v>
                </c:pt>
                <c:pt idx="371">
                  <c:v>32924.5</c:v>
                </c:pt>
                <c:pt idx="372">
                  <c:v>33113</c:v>
                </c:pt>
                <c:pt idx="373">
                  <c:v>33305.75</c:v>
                </c:pt>
                <c:pt idx="374">
                  <c:v>33498.5</c:v>
                </c:pt>
                <c:pt idx="375">
                  <c:v>33691.25</c:v>
                </c:pt>
                <c:pt idx="376">
                  <c:v>33884</c:v>
                </c:pt>
                <c:pt idx="377">
                  <c:v>34081.5</c:v>
                </c:pt>
                <c:pt idx="378">
                  <c:v>34279</c:v>
                </c:pt>
                <c:pt idx="379">
                  <c:v>34476.5</c:v>
                </c:pt>
                <c:pt idx="380">
                  <c:v>34674</c:v>
                </c:pt>
                <c:pt idx="381">
                  <c:v>34875.75</c:v>
                </c:pt>
                <c:pt idx="382">
                  <c:v>35077.5</c:v>
                </c:pt>
                <c:pt idx="383">
                  <c:v>35279.25</c:v>
                </c:pt>
                <c:pt idx="384">
                  <c:v>35481</c:v>
                </c:pt>
                <c:pt idx="385">
                  <c:v>35687.75</c:v>
                </c:pt>
                <c:pt idx="386">
                  <c:v>35894.5</c:v>
                </c:pt>
                <c:pt idx="387">
                  <c:v>36101.25</c:v>
                </c:pt>
                <c:pt idx="388">
                  <c:v>36308</c:v>
                </c:pt>
                <c:pt idx="389">
                  <c:v>36519.5</c:v>
                </c:pt>
                <c:pt idx="390">
                  <c:v>36731</c:v>
                </c:pt>
                <c:pt idx="391">
                  <c:v>36942.5</c:v>
                </c:pt>
                <c:pt idx="392">
                  <c:v>37154</c:v>
                </c:pt>
                <c:pt idx="393">
                  <c:v>37370.25</c:v>
                </c:pt>
                <c:pt idx="394">
                  <c:v>37586.5</c:v>
                </c:pt>
                <c:pt idx="395">
                  <c:v>37802.75</c:v>
                </c:pt>
                <c:pt idx="396">
                  <c:v>38019</c:v>
                </c:pt>
                <c:pt idx="397">
                  <c:v>38240.5</c:v>
                </c:pt>
                <c:pt idx="398">
                  <c:v>38462</c:v>
                </c:pt>
                <c:pt idx="399">
                  <c:v>38683.5</c:v>
                </c:pt>
                <c:pt idx="400">
                  <c:v>38905</c:v>
                </c:pt>
                <c:pt idx="401">
                  <c:v>39131.5</c:v>
                </c:pt>
                <c:pt idx="402">
                  <c:v>39358</c:v>
                </c:pt>
                <c:pt idx="403">
                  <c:v>39584.5</c:v>
                </c:pt>
                <c:pt idx="404">
                  <c:v>39811</c:v>
                </c:pt>
                <c:pt idx="405">
                  <c:v>40042.75</c:v>
                </c:pt>
                <c:pt idx="406">
                  <c:v>40274.5</c:v>
                </c:pt>
                <c:pt idx="407">
                  <c:v>40506.25</c:v>
                </c:pt>
                <c:pt idx="408">
                  <c:v>40738</c:v>
                </c:pt>
                <c:pt idx="409">
                  <c:v>40975.25</c:v>
                </c:pt>
                <c:pt idx="410">
                  <c:v>41212.5</c:v>
                </c:pt>
                <c:pt idx="411">
                  <c:v>41449.75</c:v>
                </c:pt>
                <c:pt idx="412">
                  <c:v>41687</c:v>
                </c:pt>
                <c:pt idx="413">
                  <c:v>41929.75</c:v>
                </c:pt>
                <c:pt idx="414">
                  <c:v>42172.5</c:v>
                </c:pt>
                <c:pt idx="415">
                  <c:v>42415.25</c:v>
                </c:pt>
                <c:pt idx="416">
                  <c:v>42658</c:v>
                </c:pt>
                <c:pt idx="417">
                  <c:v>42906.5</c:v>
                </c:pt>
                <c:pt idx="418">
                  <c:v>43155</c:v>
                </c:pt>
                <c:pt idx="419">
                  <c:v>43403.5</c:v>
                </c:pt>
                <c:pt idx="420">
                  <c:v>43652</c:v>
                </c:pt>
                <c:pt idx="421">
                  <c:v>43906</c:v>
                </c:pt>
                <c:pt idx="422">
                  <c:v>44160</c:v>
                </c:pt>
                <c:pt idx="423">
                  <c:v>44414</c:v>
                </c:pt>
                <c:pt idx="424">
                  <c:v>44668</c:v>
                </c:pt>
                <c:pt idx="425">
                  <c:v>44928.25</c:v>
                </c:pt>
                <c:pt idx="426">
                  <c:v>45188.5</c:v>
                </c:pt>
                <c:pt idx="427">
                  <c:v>45448.75</c:v>
                </c:pt>
                <c:pt idx="428">
                  <c:v>45709</c:v>
                </c:pt>
                <c:pt idx="429">
                  <c:v>45975.25</c:v>
                </c:pt>
                <c:pt idx="430">
                  <c:v>46241.5</c:v>
                </c:pt>
                <c:pt idx="431">
                  <c:v>46507.75</c:v>
                </c:pt>
                <c:pt idx="432">
                  <c:v>46774</c:v>
                </c:pt>
                <c:pt idx="433">
                  <c:v>47046.25</c:v>
                </c:pt>
                <c:pt idx="434">
                  <c:v>47318.5</c:v>
                </c:pt>
                <c:pt idx="435">
                  <c:v>47590.75</c:v>
                </c:pt>
                <c:pt idx="436">
                  <c:v>47863</c:v>
                </c:pt>
                <c:pt idx="437">
                  <c:v>48141.75</c:v>
                </c:pt>
                <c:pt idx="438">
                  <c:v>48420.5</c:v>
                </c:pt>
                <c:pt idx="439">
                  <c:v>48699.25</c:v>
                </c:pt>
                <c:pt idx="440">
                  <c:v>48978</c:v>
                </c:pt>
                <c:pt idx="441">
                  <c:v>49263.25</c:v>
                </c:pt>
                <c:pt idx="442">
                  <c:v>49548.5</c:v>
                </c:pt>
                <c:pt idx="443">
                  <c:v>49833.75</c:v>
                </c:pt>
                <c:pt idx="444">
                  <c:v>50119</c:v>
                </c:pt>
                <c:pt idx="445">
                  <c:v>50410.75</c:v>
                </c:pt>
                <c:pt idx="446">
                  <c:v>50702.5</c:v>
                </c:pt>
                <c:pt idx="447">
                  <c:v>50994.25</c:v>
                </c:pt>
                <c:pt idx="448">
                  <c:v>51286</c:v>
                </c:pt>
                <c:pt idx="449">
                  <c:v>51584.75</c:v>
                </c:pt>
                <c:pt idx="450">
                  <c:v>51883.5</c:v>
                </c:pt>
                <c:pt idx="451">
                  <c:v>52182.25</c:v>
                </c:pt>
                <c:pt idx="452">
                  <c:v>52481</c:v>
                </c:pt>
                <c:pt idx="453">
                  <c:v>52786.5</c:v>
                </c:pt>
                <c:pt idx="454">
                  <c:v>53092</c:v>
                </c:pt>
                <c:pt idx="455">
                  <c:v>53397.5</c:v>
                </c:pt>
                <c:pt idx="456">
                  <c:v>53703</c:v>
                </c:pt>
                <c:pt idx="457">
                  <c:v>54015.75</c:v>
                </c:pt>
                <c:pt idx="458">
                  <c:v>54328.5</c:v>
                </c:pt>
                <c:pt idx="459">
                  <c:v>54641.25</c:v>
                </c:pt>
                <c:pt idx="460">
                  <c:v>54954</c:v>
                </c:pt>
                <c:pt idx="461">
                  <c:v>55274</c:v>
                </c:pt>
                <c:pt idx="462">
                  <c:v>55594</c:v>
                </c:pt>
                <c:pt idx="463">
                  <c:v>55914</c:v>
                </c:pt>
                <c:pt idx="464">
                  <c:v>56234</c:v>
                </c:pt>
                <c:pt idx="465">
                  <c:v>56561.5</c:v>
                </c:pt>
                <c:pt idx="466">
                  <c:v>56889</c:v>
                </c:pt>
                <c:pt idx="467">
                  <c:v>57216.5</c:v>
                </c:pt>
                <c:pt idx="468">
                  <c:v>57544</c:v>
                </c:pt>
                <c:pt idx="469">
                  <c:v>57879</c:v>
                </c:pt>
                <c:pt idx="470">
                  <c:v>58214</c:v>
                </c:pt>
                <c:pt idx="471">
                  <c:v>58549</c:v>
                </c:pt>
                <c:pt idx="472">
                  <c:v>58884</c:v>
                </c:pt>
                <c:pt idx="473">
                  <c:v>59227</c:v>
                </c:pt>
                <c:pt idx="474">
                  <c:v>59570</c:v>
                </c:pt>
                <c:pt idx="475">
                  <c:v>59913</c:v>
                </c:pt>
                <c:pt idx="476">
                  <c:v>60256</c:v>
                </c:pt>
                <c:pt idx="477">
                  <c:v>60607</c:v>
                </c:pt>
                <c:pt idx="478">
                  <c:v>60958</c:v>
                </c:pt>
                <c:pt idx="479">
                  <c:v>61309</c:v>
                </c:pt>
                <c:pt idx="480">
                  <c:v>61660</c:v>
                </c:pt>
                <c:pt idx="481">
                  <c:v>62019</c:v>
                </c:pt>
                <c:pt idx="482">
                  <c:v>62378</c:v>
                </c:pt>
                <c:pt idx="483">
                  <c:v>62737</c:v>
                </c:pt>
                <c:pt idx="484">
                  <c:v>63096</c:v>
                </c:pt>
                <c:pt idx="485">
                  <c:v>63463.25</c:v>
                </c:pt>
                <c:pt idx="486">
                  <c:v>63830.5</c:v>
                </c:pt>
                <c:pt idx="487">
                  <c:v>64197.75</c:v>
                </c:pt>
                <c:pt idx="488">
                  <c:v>64565</c:v>
                </c:pt>
                <c:pt idx="489">
                  <c:v>64941</c:v>
                </c:pt>
                <c:pt idx="490">
                  <c:v>65317</c:v>
                </c:pt>
                <c:pt idx="491">
                  <c:v>65693</c:v>
                </c:pt>
                <c:pt idx="492">
                  <c:v>66069</c:v>
                </c:pt>
                <c:pt idx="493">
                  <c:v>66453.75</c:v>
                </c:pt>
                <c:pt idx="494">
                  <c:v>66838.5</c:v>
                </c:pt>
                <c:pt idx="495">
                  <c:v>67223.25</c:v>
                </c:pt>
                <c:pt idx="496">
                  <c:v>67608</c:v>
                </c:pt>
                <c:pt idx="497">
                  <c:v>68001.75</c:v>
                </c:pt>
                <c:pt idx="498">
                  <c:v>68395.5</c:v>
                </c:pt>
                <c:pt idx="499">
                  <c:v>68789.25</c:v>
                </c:pt>
                <c:pt idx="500">
                  <c:v>69183</c:v>
                </c:pt>
                <c:pt idx="501">
                  <c:v>69586</c:v>
                </c:pt>
                <c:pt idx="502">
                  <c:v>69989</c:v>
                </c:pt>
                <c:pt idx="503">
                  <c:v>70392</c:v>
                </c:pt>
                <c:pt idx="504">
                  <c:v>70795</c:v>
                </c:pt>
                <c:pt idx="505">
                  <c:v>71207.25</c:v>
                </c:pt>
                <c:pt idx="506">
                  <c:v>71619.5</c:v>
                </c:pt>
                <c:pt idx="507">
                  <c:v>72031.75</c:v>
                </c:pt>
                <c:pt idx="508">
                  <c:v>72444</c:v>
                </c:pt>
                <c:pt idx="509">
                  <c:v>72865.75</c:v>
                </c:pt>
                <c:pt idx="510">
                  <c:v>73287.5</c:v>
                </c:pt>
                <c:pt idx="511">
                  <c:v>73709.25</c:v>
                </c:pt>
                <c:pt idx="512">
                  <c:v>74131</c:v>
                </c:pt>
                <c:pt idx="513">
                  <c:v>74562.75</c:v>
                </c:pt>
                <c:pt idx="514">
                  <c:v>74994.5</c:v>
                </c:pt>
                <c:pt idx="515">
                  <c:v>75426.25</c:v>
                </c:pt>
                <c:pt idx="516">
                  <c:v>75858</c:v>
                </c:pt>
                <c:pt idx="517">
                  <c:v>76299.75</c:v>
                </c:pt>
                <c:pt idx="518">
                  <c:v>76741.5</c:v>
                </c:pt>
                <c:pt idx="519">
                  <c:v>77183.25</c:v>
                </c:pt>
                <c:pt idx="520">
                  <c:v>77625</c:v>
                </c:pt>
                <c:pt idx="521">
                  <c:v>78077</c:v>
                </c:pt>
                <c:pt idx="522">
                  <c:v>78529</c:v>
                </c:pt>
                <c:pt idx="523">
                  <c:v>78981</c:v>
                </c:pt>
                <c:pt idx="524">
                  <c:v>79433</c:v>
                </c:pt>
                <c:pt idx="525">
                  <c:v>79895.5</c:v>
                </c:pt>
                <c:pt idx="526">
                  <c:v>80358</c:v>
                </c:pt>
                <c:pt idx="527">
                  <c:v>80820.5</c:v>
                </c:pt>
                <c:pt idx="528">
                  <c:v>81283</c:v>
                </c:pt>
                <c:pt idx="529">
                  <c:v>81756.25</c:v>
                </c:pt>
                <c:pt idx="530">
                  <c:v>82229.5</c:v>
                </c:pt>
                <c:pt idx="531">
                  <c:v>82702.75</c:v>
                </c:pt>
                <c:pt idx="532">
                  <c:v>83176</c:v>
                </c:pt>
                <c:pt idx="533">
                  <c:v>83660.5</c:v>
                </c:pt>
                <c:pt idx="534">
                  <c:v>84145</c:v>
                </c:pt>
                <c:pt idx="535">
                  <c:v>84629.5</c:v>
                </c:pt>
                <c:pt idx="536">
                  <c:v>85114</c:v>
                </c:pt>
                <c:pt idx="537">
                  <c:v>85609.5</c:v>
                </c:pt>
                <c:pt idx="538">
                  <c:v>86105</c:v>
                </c:pt>
                <c:pt idx="539">
                  <c:v>86600.5</c:v>
                </c:pt>
                <c:pt idx="540">
                  <c:v>87096</c:v>
                </c:pt>
                <c:pt idx="541">
                  <c:v>87603.25</c:v>
                </c:pt>
                <c:pt idx="542">
                  <c:v>88110.5</c:v>
                </c:pt>
                <c:pt idx="543">
                  <c:v>88617.75</c:v>
                </c:pt>
                <c:pt idx="544">
                  <c:v>89125</c:v>
                </c:pt>
                <c:pt idx="545">
                  <c:v>89644</c:v>
                </c:pt>
                <c:pt idx="546">
                  <c:v>90163</c:v>
                </c:pt>
                <c:pt idx="547">
                  <c:v>90682</c:v>
                </c:pt>
                <c:pt idx="548">
                  <c:v>91201</c:v>
                </c:pt>
                <c:pt idx="549">
                  <c:v>91732</c:v>
                </c:pt>
                <c:pt idx="550">
                  <c:v>92263</c:v>
                </c:pt>
                <c:pt idx="551">
                  <c:v>92794</c:v>
                </c:pt>
                <c:pt idx="552">
                  <c:v>93325</c:v>
                </c:pt>
                <c:pt idx="553">
                  <c:v>93868.5</c:v>
                </c:pt>
                <c:pt idx="554">
                  <c:v>94412</c:v>
                </c:pt>
                <c:pt idx="555">
                  <c:v>94955.5</c:v>
                </c:pt>
                <c:pt idx="556">
                  <c:v>95499</c:v>
                </c:pt>
                <c:pt idx="557">
                  <c:v>96611.5</c:v>
                </c:pt>
                <c:pt idx="558">
                  <c:v>97724</c:v>
                </c:pt>
                <c:pt idx="559">
                  <c:v>98862</c:v>
                </c:pt>
                <c:pt idx="560">
                  <c:v>100000</c:v>
                </c:pt>
                <c:pt idx="561">
                  <c:v>101165</c:v>
                </c:pt>
                <c:pt idx="562">
                  <c:v>102330</c:v>
                </c:pt>
                <c:pt idx="563">
                  <c:v>103520</c:v>
                </c:pt>
                <c:pt idx="564">
                  <c:v>104710</c:v>
                </c:pt>
                <c:pt idx="565">
                  <c:v>105930</c:v>
                </c:pt>
                <c:pt idx="566">
                  <c:v>107150</c:v>
                </c:pt>
                <c:pt idx="567">
                  <c:v>108400</c:v>
                </c:pt>
                <c:pt idx="568">
                  <c:v>109650</c:v>
                </c:pt>
                <c:pt idx="569">
                  <c:v>110925</c:v>
                </c:pt>
                <c:pt idx="570">
                  <c:v>112200</c:v>
                </c:pt>
                <c:pt idx="571">
                  <c:v>113510</c:v>
                </c:pt>
                <c:pt idx="572">
                  <c:v>114820</c:v>
                </c:pt>
                <c:pt idx="573">
                  <c:v>116155</c:v>
                </c:pt>
                <c:pt idx="574">
                  <c:v>117490</c:v>
                </c:pt>
                <c:pt idx="575">
                  <c:v>118860</c:v>
                </c:pt>
                <c:pt idx="576">
                  <c:v>120230</c:v>
                </c:pt>
                <c:pt idx="577">
                  <c:v>126030</c:v>
                </c:pt>
                <c:pt idx="578">
                  <c:v>131830</c:v>
                </c:pt>
                <c:pt idx="579">
                  <c:v>144540</c:v>
                </c:pt>
                <c:pt idx="580">
                  <c:v>158490</c:v>
                </c:pt>
                <c:pt idx="581">
                  <c:v>173780</c:v>
                </c:pt>
                <c:pt idx="582">
                  <c:v>190550</c:v>
                </c:pt>
                <c:pt idx="583">
                  <c:v>208930</c:v>
                </c:pt>
                <c:pt idx="584">
                  <c:v>229090</c:v>
                </c:pt>
                <c:pt idx="585">
                  <c:v>251190</c:v>
                </c:pt>
                <c:pt idx="586">
                  <c:v>275420</c:v>
                </c:pt>
                <c:pt idx="587">
                  <c:v>302000</c:v>
                </c:pt>
                <c:pt idx="588">
                  <c:v>331130</c:v>
                </c:pt>
                <c:pt idx="589">
                  <c:v>363080</c:v>
                </c:pt>
                <c:pt idx="590">
                  <c:v>398110</c:v>
                </c:pt>
                <c:pt idx="591">
                  <c:v>436520</c:v>
                </c:pt>
                <c:pt idx="592">
                  <c:v>478630</c:v>
                </c:pt>
                <c:pt idx="593">
                  <c:v>524810</c:v>
                </c:pt>
                <c:pt idx="594">
                  <c:v>575440</c:v>
                </c:pt>
                <c:pt idx="595">
                  <c:v>630960</c:v>
                </c:pt>
                <c:pt idx="596">
                  <c:v>691830</c:v>
                </c:pt>
                <c:pt idx="597">
                  <c:v>758580</c:v>
                </c:pt>
                <c:pt idx="598">
                  <c:v>831760</c:v>
                </c:pt>
                <c:pt idx="599">
                  <c:v>912010</c:v>
                </c:pt>
                <c:pt idx="600">
                  <c:v>1000000</c:v>
                </c:pt>
              </c:numCache>
            </c:numRef>
          </c:xVal>
          <c:yVal>
            <c:numRef>
              <c:f>'Stability Calculations'!$R$13:$R$613</c:f>
              <c:numCache>
                <c:formatCode>0.00</c:formatCode>
                <c:ptCount val="601"/>
                <c:pt idx="0">
                  <c:v>-76.459413182903347</c:v>
                </c:pt>
                <c:pt idx="1">
                  <c:v>-77.614930344902504</c:v>
                </c:pt>
                <c:pt idx="2">
                  <c:v>-78.677888950864414</c:v>
                </c:pt>
                <c:pt idx="3">
                  <c:v>-79.654444763986334</c:v>
                </c:pt>
                <c:pt idx="4">
                  <c:v>-80.550097489317764</c:v>
                </c:pt>
                <c:pt idx="5">
                  <c:v>-81.372175222366195</c:v>
                </c:pt>
                <c:pt idx="6">
                  <c:v>-82.125083663605039</c:v>
                </c:pt>
                <c:pt idx="7">
                  <c:v>-82.814699214871638</c:v>
                </c:pt>
                <c:pt idx="8">
                  <c:v>-83.445598463917065</c:v>
                </c:pt>
                <c:pt idx="9">
                  <c:v>-84.023022479051505</c:v>
                </c:pt>
                <c:pt idx="10">
                  <c:v>-84.551070357341985</c:v>
                </c:pt>
                <c:pt idx="11">
                  <c:v>-85.033969718292909</c:v>
                </c:pt>
                <c:pt idx="12">
                  <c:v>-85.475783285119633</c:v>
                </c:pt>
                <c:pt idx="13">
                  <c:v>-85.879633270980534</c:v>
                </c:pt>
                <c:pt idx="14">
                  <c:v>-86.249126483331224</c:v>
                </c:pt>
                <c:pt idx="15">
                  <c:v>-86.587126839723908</c:v>
                </c:pt>
                <c:pt idx="16">
                  <c:v>-86.896444155049679</c:v>
                </c:pt>
                <c:pt idx="17">
                  <c:v>-87.179596606028184</c:v>
                </c:pt>
                <c:pt idx="18">
                  <c:v>-87.439017297472759</c:v>
                </c:pt>
                <c:pt idx="19">
                  <c:v>-87.676797093573597</c:v>
                </c:pt>
                <c:pt idx="20">
                  <c:v>-87.894972650200629</c:v>
                </c:pt>
                <c:pt idx="21">
                  <c:v>-88.095329055892364</c:v>
                </c:pt>
                <c:pt idx="22">
                  <c:v>-88.279592948947212</c:v>
                </c:pt>
                <c:pt idx="23">
                  <c:v>-88.449270325780404</c:v>
                </c:pt>
                <c:pt idx="24">
                  <c:v>-88.605835348857241</c:v>
                </c:pt>
                <c:pt idx="25">
                  <c:v>-88.750583517021909</c:v>
                </c:pt>
                <c:pt idx="26">
                  <c:v>-88.884768934314948</c:v>
                </c:pt>
                <c:pt idx="27">
                  <c:v>-89.009482155591144</c:v>
                </c:pt>
                <c:pt idx="28">
                  <c:v>-89.125785818683696</c:v>
                </c:pt>
                <c:pt idx="29">
                  <c:v>-89.234600426755904</c:v>
                </c:pt>
                <c:pt idx="30">
                  <c:v>-89.337028322693712</c:v>
                </c:pt>
                <c:pt idx="31">
                  <c:v>-89.433787214550421</c:v>
                </c:pt>
                <c:pt idx="32">
                  <c:v>-89.525763056577958</c:v>
                </c:pt>
                <c:pt idx="33">
                  <c:v>-89.613669146775294</c:v>
                </c:pt>
                <c:pt idx="34">
                  <c:v>-89.698317233444115</c:v>
                </c:pt>
                <c:pt idx="35">
                  <c:v>-89.780373767476249</c:v>
                </c:pt>
                <c:pt idx="36">
                  <c:v>-89.860544227402684</c:v>
                </c:pt>
                <c:pt idx="37">
                  <c:v>-89.939545726646017</c:v>
                </c:pt>
                <c:pt idx="38">
                  <c:v>-90.017965852145849</c:v>
                </c:pt>
                <c:pt idx="39">
                  <c:v>-90.096524077414415</c:v>
                </c:pt>
                <c:pt idx="40">
                  <c:v>-90.175844893562683</c:v>
                </c:pt>
                <c:pt idx="41">
                  <c:v>-90.256591937985021</c:v>
                </c:pt>
                <c:pt idx="42">
                  <c:v>-90.33941760242449</c:v>
                </c:pt>
                <c:pt idx="43">
                  <c:v>-90.425021342109829</c:v>
                </c:pt>
                <c:pt idx="44">
                  <c:v>-90.514070338505164</c:v>
                </c:pt>
                <c:pt idx="45">
                  <c:v>-90.607290219435882</c:v>
                </c:pt>
                <c:pt idx="46">
                  <c:v>-90.705390076965017</c:v>
                </c:pt>
                <c:pt idx="47">
                  <c:v>-90.809141121372633</c:v>
                </c:pt>
                <c:pt idx="48">
                  <c:v>-90.919289932665009</c:v>
                </c:pt>
                <c:pt idx="49">
                  <c:v>-91.036658296645669</c:v>
                </c:pt>
                <c:pt idx="50">
                  <c:v>-91.162041161550491</c:v>
                </c:pt>
                <c:pt idx="51">
                  <c:v>-91.296294947691862</c:v>
                </c:pt>
                <c:pt idx="52">
                  <c:v>-91.440207098269596</c:v>
                </c:pt>
                <c:pt idx="53">
                  <c:v>-91.594600473096591</c:v>
                </c:pt>
                <c:pt idx="54">
                  <c:v>-91.760159480876922</c:v>
                </c:pt>
                <c:pt idx="55">
                  <c:v>-91.937912691196189</c:v>
                </c:pt>
                <c:pt idx="56">
                  <c:v>-92.128286081536558</c:v>
                </c:pt>
                <c:pt idx="57">
                  <c:v>-92.331953503263094</c:v>
                </c:pt>
                <c:pt idx="58">
                  <c:v>-92.549152299183461</c:v>
                </c:pt>
                <c:pt idx="59">
                  <c:v>-92.780221812534165</c:v>
                </c:pt>
                <c:pt idx="60">
                  <c:v>-93.024941228170448</c:v>
                </c:pt>
                <c:pt idx="61">
                  <c:v>-93.282926618030274</c:v>
                </c:pt>
                <c:pt idx="62">
                  <c:v>-93.553537079875895</c:v>
                </c:pt>
                <c:pt idx="63">
                  <c:v>-93.835320556271867</c:v>
                </c:pt>
                <c:pt idx="64">
                  <c:v>-94.126891362994513</c:v>
                </c:pt>
                <c:pt idx="65">
                  <c:v>-94.426148291277613</c:v>
                </c:pt>
                <c:pt idx="66">
                  <c:v>-94.730819566636683</c:v>
                </c:pt>
                <c:pt idx="67">
                  <c:v>-95.038407653130832</c:v>
                </c:pt>
                <c:pt idx="68">
                  <c:v>-95.346597106530453</c:v>
                </c:pt>
                <c:pt idx="69">
                  <c:v>-95.653211713221395</c:v>
                </c:pt>
                <c:pt idx="70">
                  <c:v>-95.956825997820573</c:v>
                </c:pt>
                <c:pt idx="71">
                  <c:v>-96.256794391391196</c:v>
                </c:pt>
                <c:pt idx="72">
                  <c:v>-96.553755266007215</c:v>
                </c:pt>
                <c:pt idx="73">
                  <c:v>-96.849543175391247</c:v>
                </c:pt>
                <c:pt idx="74">
                  <c:v>-97.147544406058344</c:v>
                </c:pt>
                <c:pt idx="75">
                  <c:v>-97.452379869291519</c:v>
                </c:pt>
                <c:pt idx="76">
                  <c:v>-97.769996523803442</c:v>
                </c:pt>
                <c:pt idx="77">
                  <c:v>-98.107150229308161</c:v>
                </c:pt>
                <c:pt idx="78">
                  <c:v>-98.47142612526369</c:v>
                </c:pt>
                <c:pt idx="79">
                  <c:v>-98.870604858071928</c:v>
                </c:pt>
                <c:pt idx="80">
                  <c:v>-99.31368350896112</c:v>
                </c:pt>
                <c:pt idx="81">
                  <c:v>-99.808488749785269</c:v>
                </c:pt>
                <c:pt idx="82">
                  <c:v>-100.36376759900222</c:v>
                </c:pt>
                <c:pt idx="83">
                  <c:v>-100.98750258979096</c:v>
                </c:pt>
                <c:pt idx="84">
                  <c:v>-101.68855386796302</c:v>
                </c:pt>
                <c:pt idx="85">
                  <c:v>-102.47497230920843</c:v>
                </c:pt>
                <c:pt idx="86">
                  <c:v>-103.35538944134099</c:v>
                </c:pt>
                <c:pt idx="87">
                  <c:v>-104.33909043042914</c:v>
                </c:pt>
                <c:pt idx="88">
                  <c:v>-105.43416499426672</c:v>
                </c:pt>
                <c:pt idx="89">
                  <c:v>-106.65084676142138</c:v>
                </c:pt>
                <c:pt idx="90">
                  <c:v>-107.99849887903163</c:v>
                </c:pt>
                <c:pt idx="91">
                  <c:v>-109.48742994246625</c:v>
                </c:pt>
                <c:pt idx="92">
                  <c:v>-111.12803055050873</c:v>
                </c:pt>
                <c:pt idx="93">
                  <c:v>-112.93179016661054</c:v>
                </c:pt>
                <c:pt idx="94">
                  <c:v>-113.40930525458072</c:v>
                </c:pt>
                <c:pt idx="95">
                  <c:v>-113.65371017200818</c:v>
                </c:pt>
                <c:pt idx="96">
                  <c:v>-113.89809005149294</c:v>
                </c:pt>
                <c:pt idx="97">
                  <c:v>-114.14809971492774</c:v>
                </c:pt>
                <c:pt idx="98">
                  <c:v>-114.39806442876679</c:v>
                </c:pt>
                <c:pt idx="99">
                  <c:v>-114.65383174345448</c:v>
                </c:pt>
                <c:pt idx="100">
                  <c:v>-114.90953318927649</c:v>
                </c:pt>
                <c:pt idx="101">
                  <c:v>-115.17101282067955</c:v>
                </c:pt>
                <c:pt idx="102">
                  <c:v>-115.43240471161066</c:v>
                </c:pt>
                <c:pt idx="103">
                  <c:v>-115.69993843223249</c:v>
                </c:pt>
                <c:pt idx="104">
                  <c:v>-115.96736127387204</c:v>
                </c:pt>
                <c:pt idx="105">
                  <c:v>-116.24089710262102</c:v>
                </c:pt>
                <c:pt idx="106">
                  <c:v>-116.51429785625713</c:v>
                </c:pt>
                <c:pt idx="107">
                  <c:v>-116.79378072288823</c:v>
                </c:pt>
                <c:pt idx="108">
                  <c:v>-117.07310328269196</c:v>
                </c:pt>
                <c:pt idx="109">
                  <c:v>-117.35866940188832</c:v>
                </c:pt>
                <c:pt idx="110">
                  <c:v>-117.644048708147</c:v>
                </c:pt>
                <c:pt idx="111">
                  <c:v>-117.93602426299795</c:v>
                </c:pt>
                <c:pt idx="112">
                  <c:v>-118.22778484861834</c:v>
                </c:pt>
                <c:pt idx="113">
                  <c:v>-118.52610292120259</c:v>
                </c:pt>
                <c:pt idx="114">
                  <c:v>-118.82417667458758</c:v>
                </c:pt>
                <c:pt idx="115">
                  <c:v>-119.12896029124886</c:v>
                </c:pt>
                <c:pt idx="116">
                  <c:v>-119.43346871354871</c:v>
                </c:pt>
                <c:pt idx="117">
                  <c:v>-119.74483599130953</c:v>
                </c:pt>
                <c:pt idx="118">
                  <c:v>-120.05589559128255</c:v>
                </c:pt>
                <c:pt idx="119">
                  <c:v>-120.37376680010986</c:v>
                </c:pt>
                <c:pt idx="120">
                  <c:v>-120.69129657698437</c:v>
                </c:pt>
                <c:pt idx="121">
                  <c:v>-121.01578049432699</c:v>
                </c:pt>
                <c:pt idx="122">
                  <c:v>-121.33988753004019</c:v>
                </c:pt>
                <c:pt idx="123">
                  <c:v>-121.67127916805021</c:v>
                </c:pt>
                <c:pt idx="124">
                  <c:v>-122.00225621368327</c:v>
                </c:pt>
                <c:pt idx="125">
                  <c:v>-122.34046023480981</c:v>
                </c:pt>
                <c:pt idx="126">
                  <c:v>-122.67821054004779</c:v>
                </c:pt>
                <c:pt idx="127">
                  <c:v>-123.02331820405416</c:v>
                </c:pt>
                <c:pt idx="128">
                  <c:v>-123.36793109796572</c:v>
                </c:pt>
                <c:pt idx="129">
                  <c:v>-123.72002732017849</c:v>
                </c:pt>
                <c:pt idx="130">
                  <c:v>-124.07158571293745</c:v>
                </c:pt>
                <c:pt idx="131">
                  <c:v>-124.43074879996777</c:v>
                </c:pt>
                <c:pt idx="132">
                  <c:v>-124.61011233517269</c:v>
                </c:pt>
                <c:pt idx="133">
                  <c:v>-124.78932892123488</c:v>
                </c:pt>
                <c:pt idx="134">
                  <c:v>-124.97265234147581</c:v>
                </c:pt>
                <c:pt idx="135">
                  <c:v>-125.15581925655725</c:v>
                </c:pt>
                <c:pt idx="136">
                  <c:v>-125.33882844051055</c:v>
                </c:pt>
                <c:pt idx="137">
                  <c:v>-125.52167868827684</c:v>
                </c:pt>
                <c:pt idx="138">
                  <c:v>-125.70851471068143</c:v>
                </c:pt>
                <c:pt idx="139">
                  <c:v>-125.89518201391563</c:v>
                </c:pt>
                <c:pt idx="140">
                  <c:v>-126.08167937431612</c:v>
                </c:pt>
                <c:pt idx="141">
                  <c:v>-126.26800558944019</c:v>
                </c:pt>
                <c:pt idx="142">
                  <c:v>-126.45857172193131</c:v>
                </c:pt>
                <c:pt idx="143">
                  <c:v>-126.64895601232072</c:v>
                </c:pt>
                <c:pt idx="144">
                  <c:v>-126.83915723718671</c:v>
                </c:pt>
                <c:pt idx="145">
                  <c:v>-127.02917419476368</c:v>
                </c:pt>
                <c:pt idx="146">
                  <c:v>-127.22340077754744</c:v>
                </c:pt>
                <c:pt idx="147">
                  <c:v>-127.41743197983895</c:v>
                </c:pt>
                <c:pt idx="148">
                  <c:v>-127.61126658230904</c:v>
                </c:pt>
                <c:pt idx="149">
                  <c:v>-127.80490338771592</c:v>
                </c:pt>
                <c:pt idx="150">
                  <c:v>-128.00281140887165</c:v>
                </c:pt>
                <c:pt idx="151">
                  <c:v>-128.20050991420982</c:v>
                </c:pt>
                <c:pt idx="152">
                  <c:v>-128.3979976908021</c:v>
                </c:pt>
                <c:pt idx="153">
                  <c:v>-128.59527354827785</c:v>
                </c:pt>
                <c:pt idx="154">
                  <c:v>-128.79697269604651</c:v>
                </c:pt>
                <c:pt idx="155">
                  <c:v>-128.99844737712851</c:v>
                </c:pt>
                <c:pt idx="156">
                  <c:v>-129.19969638601461</c:v>
                </c:pt>
                <c:pt idx="157">
                  <c:v>-129.40071854030418</c:v>
                </c:pt>
                <c:pt idx="158">
                  <c:v>-129.60622037592847</c:v>
                </c:pt>
                <c:pt idx="159">
                  <c:v>-129.81148215488378</c:v>
                </c:pt>
                <c:pt idx="160">
                  <c:v>-130.0165026822699</c:v>
                </c:pt>
                <c:pt idx="161">
                  <c:v>-130.221280786883</c:v>
                </c:pt>
                <c:pt idx="162">
                  <c:v>-130.43050066371327</c:v>
                </c:pt>
                <c:pt idx="163">
                  <c:v>-130.63946447221537</c:v>
                </c:pt>
                <c:pt idx="164">
                  <c:v>-130.84817103322902</c:v>
                </c:pt>
                <c:pt idx="165">
                  <c:v>-131.05661919187213</c:v>
                </c:pt>
                <c:pt idx="166">
                  <c:v>-131.26974410508666</c:v>
                </c:pt>
                <c:pt idx="167">
                  <c:v>-131.48259583572599</c:v>
                </c:pt>
                <c:pt idx="168">
                  <c:v>-131.69517322126171</c:v>
                </c:pt>
                <c:pt idx="169">
                  <c:v>-131.90747512414515</c:v>
                </c:pt>
                <c:pt idx="170">
                  <c:v>-132.12404729117088</c:v>
                </c:pt>
                <c:pt idx="171">
                  <c:v>-132.34032970412386</c:v>
                </c:pt>
                <c:pt idx="172">
                  <c:v>-132.55632122880149</c:v>
                </c:pt>
                <c:pt idx="173">
                  <c:v>-132.77202075650092</c:v>
                </c:pt>
                <c:pt idx="174">
                  <c:v>-132.99285382153377</c:v>
                </c:pt>
                <c:pt idx="175">
                  <c:v>-133.21337770196368</c:v>
                </c:pt>
                <c:pt idx="176">
                  <c:v>-133.43359128395846</c:v>
                </c:pt>
                <c:pt idx="177">
                  <c:v>-133.65349348012134</c:v>
                </c:pt>
                <c:pt idx="178">
                  <c:v>-133.87847903211579</c:v>
                </c:pt>
                <c:pt idx="179">
                  <c:v>-134.10313546810409</c:v>
                </c:pt>
                <c:pt idx="180">
                  <c:v>-134.32746170214838</c:v>
                </c:pt>
                <c:pt idx="181">
                  <c:v>-134.55145667566353</c:v>
                </c:pt>
                <c:pt idx="182">
                  <c:v>-134.77958921429112</c:v>
                </c:pt>
                <c:pt idx="183">
                  <c:v>-135.00737496983032</c:v>
                </c:pt>
                <c:pt idx="184">
                  <c:v>-135.23481290414054</c:v>
                </c:pt>
                <c:pt idx="185">
                  <c:v>-135.4619020068925</c:v>
                </c:pt>
                <c:pt idx="186">
                  <c:v>-135.69486056854478</c:v>
                </c:pt>
                <c:pt idx="187">
                  <c:v>-135.92744881022082</c:v>
                </c:pt>
                <c:pt idx="188">
                  <c:v>-136.15966572500255</c:v>
                </c:pt>
                <c:pt idx="189">
                  <c:v>-136.39151033509057</c:v>
                </c:pt>
                <c:pt idx="190">
                  <c:v>-136.62739544802616</c:v>
                </c:pt>
                <c:pt idx="191">
                  <c:v>-136.86289195060613</c:v>
                </c:pt>
                <c:pt idx="192">
                  <c:v>-137.09799889844348</c:v>
                </c:pt>
                <c:pt idx="193">
                  <c:v>-137.33271537665775</c:v>
                </c:pt>
                <c:pt idx="194">
                  <c:v>-137.57317858222186</c:v>
                </c:pt>
                <c:pt idx="195">
                  <c:v>-137.81322871693123</c:v>
                </c:pt>
                <c:pt idx="196">
                  <c:v>-138.05286488598369</c:v>
                </c:pt>
                <c:pt idx="197">
                  <c:v>-138.29208622531678</c:v>
                </c:pt>
                <c:pt idx="198">
                  <c:v>-138.5361165656623</c:v>
                </c:pt>
                <c:pt idx="199">
                  <c:v>-138.77971198139628</c:v>
                </c:pt>
                <c:pt idx="200">
                  <c:v>-139.02287164684745</c:v>
                </c:pt>
                <c:pt idx="201">
                  <c:v>-139.26559476781802</c:v>
                </c:pt>
                <c:pt idx="202">
                  <c:v>-139.51306762864729</c:v>
                </c:pt>
                <c:pt idx="203">
                  <c:v>-139.76008345883221</c:v>
                </c:pt>
                <c:pt idx="204">
                  <c:v>-140.00664151054096</c:v>
                </c:pt>
                <c:pt idx="205">
                  <c:v>-140.25274106808951</c:v>
                </c:pt>
                <c:pt idx="206">
                  <c:v>-140.50438786211188</c:v>
                </c:pt>
                <c:pt idx="207">
                  <c:v>-140.75555202410808</c:v>
                </c:pt>
                <c:pt idx="208">
                  <c:v>-141.00623288619431</c:v>
                </c:pt>
                <c:pt idx="209">
                  <c:v>-141.25642981368696</c:v>
                </c:pt>
                <c:pt idx="210">
                  <c:v>-141.51295348940604</c:v>
                </c:pt>
                <c:pt idx="211">
                  <c:v>-141.76896519073296</c:v>
                </c:pt>
                <c:pt idx="212">
                  <c:v>-142.02446433549179</c:v>
                </c:pt>
                <c:pt idx="213">
                  <c:v>-142.27945037612764</c:v>
                </c:pt>
                <c:pt idx="214">
                  <c:v>-142.53899011463292</c:v>
                </c:pt>
                <c:pt idx="215">
                  <c:v>-142.7979950461409</c:v>
                </c:pt>
                <c:pt idx="216">
                  <c:v>-143.05646469732827</c:v>
                </c:pt>
                <c:pt idx="217">
                  <c:v>-143.31439862989998</c:v>
                </c:pt>
                <c:pt idx="218">
                  <c:v>-143.57765919095746</c:v>
                </c:pt>
                <c:pt idx="219">
                  <c:v>-143.84035850688258</c:v>
                </c:pt>
                <c:pt idx="220">
                  <c:v>-144.10249621860478</c:v>
                </c:pt>
                <c:pt idx="221">
                  <c:v>-144.36407200283853</c:v>
                </c:pt>
                <c:pt idx="222">
                  <c:v>-144.63089793683679</c:v>
                </c:pt>
                <c:pt idx="223">
                  <c:v>-144.89713603852044</c:v>
                </c:pt>
                <c:pt idx="224">
                  <c:v>-145.16278607446841</c:v>
                </c:pt>
                <c:pt idx="225">
                  <c:v>-145.42784784767642</c:v>
                </c:pt>
                <c:pt idx="226">
                  <c:v>-145.69890491674252</c:v>
                </c:pt>
                <c:pt idx="227">
                  <c:v>-145.96934373166164</c:v>
                </c:pt>
                <c:pt idx="228">
                  <c:v>-146.23916419518491</c:v>
                </c:pt>
                <c:pt idx="229">
                  <c:v>-146.50836624742246</c:v>
                </c:pt>
                <c:pt idx="230">
                  <c:v>-147.0579310349863</c:v>
                </c:pt>
                <c:pt idx="231">
                  <c:v>-147.33174018934091</c:v>
                </c:pt>
                <c:pt idx="232">
                  <c:v>-147.60490062630146</c:v>
                </c:pt>
                <c:pt idx="233">
                  <c:v>-147.88387371861756</c:v>
                </c:pt>
                <c:pt idx="234">
                  <c:v>-148.16216724107983</c:v>
                </c:pt>
                <c:pt idx="235">
                  <c:v>-148.43978141100823</c:v>
                </c:pt>
                <c:pt idx="236">
                  <c:v>-148.71671648445053</c:v>
                </c:pt>
                <c:pt idx="237">
                  <c:v>-148.99857093123447</c:v>
                </c:pt>
                <c:pt idx="238">
                  <c:v>-149.2797191027916</c:v>
                </c:pt>
                <c:pt idx="239">
                  <c:v>-149.56016139079082</c:v>
                </c:pt>
                <c:pt idx="240">
                  <c:v>-149.83989822558456</c:v>
                </c:pt>
                <c:pt idx="241">
                  <c:v>-150.12605517384785</c:v>
                </c:pt>
                <c:pt idx="242">
                  <c:v>-150.41147117167668</c:v>
                </c:pt>
                <c:pt idx="243">
                  <c:v>-150.69614680484244</c:v>
                </c:pt>
                <c:pt idx="244">
                  <c:v>-150.98008269842336</c:v>
                </c:pt>
                <c:pt idx="245">
                  <c:v>-151.26954698030517</c:v>
                </c:pt>
                <c:pt idx="246">
                  <c:v>-151.55823981574861</c:v>
                </c:pt>
                <c:pt idx="247">
                  <c:v>-151.84616199416263</c:v>
                </c:pt>
                <c:pt idx="248">
                  <c:v>-152.13331434421139</c:v>
                </c:pt>
                <c:pt idx="249">
                  <c:v>-152.42667309487899</c:v>
                </c:pt>
                <c:pt idx="250">
                  <c:v>-152.71922588944835</c:v>
                </c:pt>
                <c:pt idx="251">
                  <c:v>-153.01097374106755</c:v>
                </c:pt>
                <c:pt idx="252">
                  <c:v>-153.30191770225866</c:v>
                </c:pt>
                <c:pt idx="253">
                  <c:v>-153.59819075079344</c:v>
                </c:pt>
                <c:pt idx="254">
                  <c:v>-153.89362786155291</c:v>
                </c:pt>
                <c:pt idx="255">
                  <c:v>-154.18823027640059</c:v>
                </c:pt>
                <c:pt idx="256">
                  <c:v>-154.48199927600803</c:v>
                </c:pt>
                <c:pt idx="257">
                  <c:v>-154.78251417221469</c:v>
                </c:pt>
                <c:pt idx="258">
                  <c:v>-155.08215476356494</c:v>
                </c:pt>
                <c:pt idx="259">
                  <c:v>-155.38092255384782</c:v>
                </c:pt>
                <c:pt idx="260">
                  <c:v>-155.67881908560298</c:v>
                </c:pt>
                <c:pt idx="261">
                  <c:v>-155.9825864546884</c:v>
                </c:pt>
                <c:pt idx="262">
                  <c:v>-156.28544589580142</c:v>
                </c:pt>
                <c:pt idx="263">
                  <c:v>-156.58739917819221</c:v>
                </c:pt>
                <c:pt idx="264">
                  <c:v>-156.88844810908594</c:v>
                </c:pt>
                <c:pt idx="265">
                  <c:v>-157.1952542167646</c:v>
                </c:pt>
                <c:pt idx="266">
                  <c:v>-157.50111926864213</c:v>
                </c:pt>
                <c:pt idx="267">
                  <c:v>-157.8060453112704</c:v>
                </c:pt>
                <c:pt idx="268">
                  <c:v>-158.11003442808308</c:v>
                </c:pt>
                <c:pt idx="269">
                  <c:v>-158.42039734597975</c:v>
                </c:pt>
                <c:pt idx="270">
                  <c:v>-158.7297820664956</c:v>
                </c:pt>
                <c:pt idx="271">
                  <c:v>-159.03819094082607</c:v>
                </c:pt>
                <c:pt idx="272">
                  <c:v>-159.34562635596561</c:v>
                </c:pt>
                <c:pt idx="273">
                  <c:v>-159.65930696593421</c:v>
                </c:pt>
                <c:pt idx="274">
                  <c:v>-159.97197282812152</c:v>
                </c:pt>
                <c:pt idx="275">
                  <c:v>-160.28362661150589</c:v>
                </c:pt>
                <c:pt idx="276">
                  <c:v>-160.59427101940827</c:v>
                </c:pt>
                <c:pt idx="277">
                  <c:v>-160.91031921375929</c:v>
                </c:pt>
                <c:pt idx="278">
                  <c:v>-161.22532153094696</c:v>
                </c:pt>
                <c:pt idx="279">
                  <c:v>-161.53928094905643</c:v>
                </c:pt>
                <c:pt idx="280">
                  <c:v>-161.8522004783942</c:v>
                </c:pt>
                <c:pt idx="281">
                  <c:v>-162.17251705494868</c:v>
                </c:pt>
                <c:pt idx="282">
                  <c:v>-162.49174317902779</c:v>
                </c:pt>
                <c:pt idx="283">
                  <c:v>-162.80988221045541</c:v>
                </c:pt>
                <c:pt idx="284">
                  <c:v>-163.12693753962688</c:v>
                </c:pt>
                <c:pt idx="285">
                  <c:v>-163.44915177002912</c:v>
                </c:pt>
                <c:pt idx="286">
                  <c:v>-163.77024621557055</c:v>
                </c:pt>
                <c:pt idx="287">
                  <c:v>-164.09022456199224</c:v>
                </c:pt>
                <c:pt idx="288">
                  <c:v>-164.40909052275683</c:v>
                </c:pt>
                <c:pt idx="289">
                  <c:v>-164.73505102635355</c:v>
                </c:pt>
                <c:pt idx="290">
                  <c:v>-165.05984886425938</c:v>
                </c:pt>
                <c:pt idx="291">
                  <c:v>-165.38348812821417</c:v>
                </c:pt>
                <c:pt idx="292">
                  <c:v>-165.70597293515775</c:v>
                </c:pt>
                <c:pt idx="293">
                  <c:v>-166.03471965749992</c:v>
                </c:pt>
                <c:pt idx="294">
                  <c:v>-166.36226674263668</c:v>
                </c:pt>
                <c:pt idx="295">
                  <c:v>-166.68861867301823</c:v>
                </c:pt>
                <c:pt idx="296">
                  <c:v>-167.01377995311475</c:v>
                </c:pt>
                <c:pt idx="297">
                  <c:v>-167.34505915917822</c:v>
                </c:pt>
                <c:pt idx="298">
                  <c:v>-167.67510291214643</c:v>
                </c:pt>
                <c:pt idx="299">
                  <c:v>-168.00391609157663</c:v>
                </c:pt>
                <c:pt idx="300">
                  <c:v>-168.3315035954713</c:v>
                </c:pt>
                <c:pt idx="301">
                  <c:v>-168.6650655003138</c:v>
                </c:pt>
                <c:pt idx="302">
                  <c:v>-168.9973573851498</c:v>
                </c:pt>
                <c:pt idx="303">
                  <c:v>-169.32838453096977</c:v>
                </c:pt>
                <c:pt idx="304">
                  <c:v>-169.65815223326214</c:v>
                </c:pt>
                <c:pt idx="305">
                  <c:v>-169.99503975006499</c:v>
                </c:pt>
                <c:pt idx="306">
                  <c:v>-170.33061399093356</c:v>
                </c:pt>
                <c:pt idx="307">
                  <c:v>-170.66488070645343</c:v>
                </c:pt>
                <c:pt idx="308">
                  <c:v>-170.99784565756298</c:v>
                </c:pt>
                <c:pt idx="309">
                  <c:v>-171.33648990578965</c:v>
                </c:pt>
                <c:pt idx="310">
                  <c:v>-171.6737891143907</c:v>
                </c:pt>
                <c:pt idx="311">
                  <c:v>-172.00974944112781</c:v>
                </c:pt>
                <c:pt idx="312">
                  <c:v>-172.34437704941624</c:v>
                </c:pt>
                <c:pt idx="313">
                  <c:v>-172.68579088110221</c:v>
                </c:pt>
                <c:pt idx="314">
                  <c:v>-173.0258192966773</c:v>
                </c:pt>
                <c:pt idx="315">
                  <c:v>-173.36446893164978</c:v>
                </c:pt>
                <c:pt idx="316">
                  <c:v>-173.70174642220479</c:v>
                </c:pt>
                <c:pt idx="317">
                  <c:v>-174.04563971968201</c:v>
                </c:pt>
                <c:pt idx="318">
                  <c:v>-174.3881088288534</c:v>
                </c:pt>
                <c:pt idx="319">
                  <c:v>-174.72916086519527</c:v>
                </c:pt>
                <c:pt idx="320">
                  <c:v>-175.06880293947458</c:v>
                </c:pt>
                <c:pt idx="321">
                  <c:v>-175.4148915501099</c:v>
                </c:pt>
                <c:pt idx="322">
                  <c:v>-175.75951889985188</c:v>
                </c:pt>
                <c:pt idx="323">
                  <c:v>-176.10269258379333</c:v>
                </c:pt>
                <c:pt idx="324">
                  <c:v>-176.44442018656378</c:v>
                </c:pt>
                <c:pt idx="325">
                  <c:v>-176.79242646523372</c:v>
                </c:pt>
                <c:pt idx="326">
                  <c:v>-177.13893619304173</c:v>
                </c:pt>
                <c:pt idx="327">
                  <c:v>-177.48395744184307</c:v>
                </c:pt>
                <c:pt idx="328">
                  <c:v>-177.82749826695252</c:v>
                </c:pt>
                <c:pt idx="329">
                  <c:v>-178.17773498561391</c:v>
                </c:pt>
                <c:pt idx="330">
                  <c:v>-178.52643660979336</c:v>
                </c:pt>
                <c:pt idx="331">
                  <c:v>-178.87361172572514</c:v>
                </c:pt>
                <c:pt idx="332">
                  <c:v>-179.21926889659571</c:v>
                </c:pt>
                <c:pt idx="333">
                  <c:v>-179.57086897363445</c:v>
                </c:pt>
                <c:pt idx="334">
                  <c:v>-179.92090249676971</c:v>
                </c:pt>
                <c:pt idx="335">
                  <c:v>-180.26937851736724</c:v>
                </c:pt>
                <c:pt idx="336">
                  <c:v>-180.61630605712543</c:v>
                </c:pt>
                <c:pt idx="337">
                  <c:v>-180.97014024770345</c:v>
                </c:pt>
                <c:pt idx="338">
                  <c:v>-181.32236819227205</c:v>
                </c:pt>
                <c:pt idx="339">
                  <c:v>-181.6729994888629</c:v>
                </c:pt>
                <c:pt idx="340">
                  <c:v>-182.02204369857822</c:v>
                </c:pt>
                <c:pt idx="341">
                  <c:v>-182.37780370045897</c:v>
                </c:pt>
                <c:pt idx="342">
                  <c:v>-182.73191993518722</c:v>
                </c:pt>
                <c:pt idx="343">
                  <c:v>-183.08440254025294</c:v>
                </c:pt>
                <c:pt idx="344">
                  <c:v>-183.43526160866878</c:v>
                </c:pt>
                <c:pt idx="345">
                  <c:v>-183.79210523431726</c:v>
                </c:pt>
                <c:pt idx="346">
                  <c:v>-184.14727490298966</c:v>
                </c:pt>
                <c:pt idx="347">
                  <c:v>-184.50078123323021</c:v>
                </c:pt>
                <c:pt idx="348">
                  <c:v>-184.85263479165442</c:v>
                </c:pt>
                <c:pt idx="349">
                  <c:v>-185.21136740352605</c:v>
                </c:pt>
                <c:pt idx="350">
                  <c:v>-185.56838791430172</c:v>
                </c:pt>
                <c:pt idx="351">
                  <c:v>-185.92370750858379</c:v>
                </c:pt>
                <c:pt idx="352">
                  <c:v>-186.27733731079798</c:v>
                </c:pt>
                <c:pt idx="353">
                  <c:v>-186.63764780192676</c:v>
                </c:pt>
                <c:pt idx="354">
                  <c:v>-186.99621047940542</c:v>
                </c:pt>
                <c:pt idx="355">
                  <c:v>-187.35303708134774</c:v>
                </c:pt>
                <c:pt idx="356">
                  <c:v>-187.70813927725791</c:v>
                </c:pt>
                <c:pt idx="357">
                  <c:v>-188.06921438609919</c:v>
                </c:pt>
                <c:pt idx="358">
                  <c:v>-188.42851348932652</c:v>
                </c:pt>
                <c:pt idx="359">
                  <c:v>-188.78604881138909</c:v>
                </c:pt>
                <c:pt idx="360">
                  <c:v>-189.14183250001483</c:v>
                </c:pt>
                <c:pt idx="361">
                  <c:v>-189.50441670670963</c:v>
                </c:pt>
                <c:pt idx="362">
                  <c:v>-189.86518908403127</c:v>
                </c:pt>
                <c:pt idx="363">
                  <c:v>-190.22416242997465</c:v>
                </c:pt>
                <c:pt idx="364">
                  <c:v>-190.58134945677202</c:v>
                </c:pt>
                <c:pt idx="365">
                  <c:v>-190.94464081527633</c:v>
                </c:pt>
                <c:pt idx="366">
                  <c:v>-191.306092167618</c:v>
                </c:pt>
                <c:pt idx="367">
                  <c:v>-191.66571681332101</c:v>
                </c:pt>
                <c:pt idx="368">
                  <c:v>-192.02352795755002</c:v>
                </c:pt>
                <c:pt idx="369">
                  <c:v>-192.38822305192784</c:v>
                </c:pt>
                <c:pt idx="370">
                  <c:v>-192.75104260929007</c:v>
                </c:pt>
                <c:pt idx="371">
                  <c:v>-193.1120005191753</c:v>
                </c:pt>
                <c:pt idx="372">
                  <c:v>-193.47111056713561</c:v>
                </c:pt>
                <c:pt idx="373">
                  <c:v>-193.83642068869869</c:v>
                </c:pt>
                <c:pt idx="374">
                  <c:v>-194.19982750469759</c:v>
                </c:pt>
                <c:pt idx="375">
                  <c:v>-194.5613454177697</c:v>
                </c:pt>
                <c:pt idx="376">
                  <c:v>-194.92098871751287</c:v>
                </c:pt>
                <c:pt idx="377">
                  <c:v>-195.28756516995151</c:v>
                </c:pt>
                <c:pt idx="378">
                  <c:v>-195.65220348934594</c:v>
                </c:pt>
                <c:pt idx="379">
                  <c:v>-196.01491868053077</c:v>
                </c:pt>
                <c:pt idx="380">
                  <c:v>-196.37572562512608</c:v>
                </c:pt>
                <c:pt idx="381">
                  <c:v>-196.74234183335881</c:v>
                </c:pt>
                <c:pt idx="382">
                  <c:v>-197.1069977852095</c:v>
                </c:pt>
                <c:pt idx="383">
                  <c:v>-197.46970894857364</c:v>
                </c:pt>
                <c:pt idx="384">
                  <c:v>-197.83049065931786</c:v>
                </c:pt>
                <c:pt idx="385">
                  <c:v>-198.19822780818936</c:v>
                </c:pt>
                <c:pt idx="386">
                  <c:v>-198.56397087107757</c:v>
                </c:pt>
                <c:pt idx="387">
                  <c:v>-198.92773592521033</c:v>
                </c:pt>
                <c:pt idx="388">
                  <c:v>-199.2895389051485</c:v>
                </c:pt>
                <c:pt idx="389">
                  <c:v>-199.65764042294546</c:v>
                </c:pt>
                <c:pt idx="390">
                  <c:v>-200.02372195498984</c:v>
                </c:pt>
                <c:pt idx="391">
                  <c:v>-200.38780010154102</c:v>
                </c:pt>
                <c:pt idx="392">
                  <c:v>-200.74989131038549</c:v>
                </c:pt>
                <c:pt idx="393">
                  <c:v>-201.11807719132963</c:v>
                </c:pt>
                <c:pt idx="394">
                  <c:v>-201.48422017707352</c:v>
                </c:pt>
                <c:pt idx="395">
                  <c:v>-201.84833736093614</c:v>
                </c:pt>
                <c:pt idx="396">
                  <c:v>-202.21044567418974</c:v>
                </c:pt>
                <c:pt idx="397">
                  <c:v>-202.57927996407079</c:v>
                </c:pt>
                <c:pt idx="398">
                  <c:v>-202.94604210086814</c:v>
                </c:pt>
                <c:pt idx="399">
                  <c:v>-203.31074975844891</c:v>
                </c:pt>
                <c:pt idx="400">
                  <c:v>-203.67342043779206</c:v>
                </c:pt>
                <c:pt idx="401">
                  <c:v>-204.04218939934199</c:v>
                </c:pt>
                <c:pt idx="402">
                  <c:v>-204.40886484774512</c:v>
                </c:pt>
                <c:pt idx="403">
                  <c:v>-204.77346494460633</c:v>
                </c:pt>
                <c:pt idx="404">
                  <c:v>-205.13600766884474</c:v>
                </c:pt>
                <c:pt idx="405">
                  <c:v>-205.5048428074854</c:v>
                </c:pt>
                <c:pt idx="406">
                  <c:v>-205.8715615949973</c:v>
                </c:pt>
                <c:pt idx="407">
                  <c:v>-206.23618270653537</c:v>
                </c:pt>
                <c:pt idx="408">
                  <c:v>-206.59872462428277</c:v>
                </c:pt>
                <c:pt idx="409">
                  <c:v>-206.96773585746382</c:v>
                </c:pt>
                <c:pt idx="410">
                  <c:v>-207.33460662473189</c:v>
                </c:pt>
                <c:pt idx="411">
                  <c:v>-207.69935613925975</c:v>
                </c:pt>
                <c:pt idx="412">
                  <c:v>-208.06200341045607</c:v>
                </c:pt>
                <c:pt idx="413">
                  <c:v>-208.43090138397909</c:v>
                </c:pt>
                <c:pt idx="414">
                  <c:v>-208.79763813372753</c:v>
                </c:pt>
                <c:pt idx="415">
                  <c:v>-209.16223337319397</c:v>
                </c:pt>
                <c:pt idx="416">
                  <c:v>-209.52470660167361</c:v>
                </c:pt>
                <c:pt idx="417">
                  <c:v>-209.89358783715568</c:v>
                </c:pt>
                <c:pt idx="418">
                  <c:v>-210.26028601746231</c:v>
                </c:pt>
                <c:pt idx="419">
                  <c:v>-210.62482137810832</c:v>
                </c:pt>
                <c:pt idx="420">
                  <c:v>-210.98721392948931</c:v>
                </c:pt>
                <c:pt idx="421">
                  <c:v>-211.35543336710055</c:v>
                </c:pt>
                <c:pt idx="422">
                  <c:v>-211.72145565896864</c:v>
                </c:pt>
                <c:pt idx="423">
                  <c:v>-212.08530146101188</c:v>
                </c:pt>
                <c:pt idx="424">
                  <c:v>-212.44699119445485</c:v>
                </c:pt>
                <c:pt idx="425">
                  <c:v>-212.81536558391545</c:v>
                </c:pt>
                <c:pt idx="426">
                  <c:v>-213.18151915468124</c:v>
                </c:pt>
                <c:pt idx="427">
                  <c:v>-213.54547312416764</c:v>
                </c:pt>
                <c:pt idx="428">
                  <c:v>-213.90724846320694</c:v>
                </c:pt>
                <c:pt idx="429">
                  <c:v>-214.27513150587089</c:v>
                </c:pt>
                <c:pt idx="430">
                  <c:v>-214.64077793106239</c:v>
                </c:pt>
                <c:pt idx="431">
                  <c:v>-215.00420941202219</c:v>
                </c:pt>
                <c:pt idx="432">
                  <c:v>-215.36544736494861</c:v>
                </c:pt>
                <c:pt idx="433">
                  <c:v>-215.73257970503661</c:v>
                </c:pt>
                <c:pt idx="434">
                  <c:v>-216.09746302047077</c:v>
                </c:pt>
                <c:pt idx="435">
                  <c:v>-216.46011939543251</c:v>
                </c:pt>
                <c:pt idx="436">
                  <c:v>-216.82057064714652</c:v>
                </c:pt>
                <c:pt idx="437">
                  <c:v>-217.1873654986457</c:v>
                </c:pt>
                <c:pt idx="438">
                  <c:v>-217.55189412112026</c:v>
                </c:pt>
                <c:pt idx="439">
                  <c:v>-217.91417908477212</c:v>
                </c:pt>
                <c:pt idx="440">
                  <c:v>-218.27424268154004</c:v>
                </c:pt>
                <c:pt idx="441">
                  <c:v>-218.64042568027253</c:v>
                </c:pt>
                <c:pt idx="442">
                  <c:v>-219.00432886213997</c:v>
                </c:pt>
                <c:pt idx="443">
                  <c:v>-219.36597523435535</c:v>
                </c:pt>
                <c:pt idx="444">
                  <c:v>-219.72538751516211</c:v>
                </c:pt>
                <c:pt idx="445">
                  <c:v>-220.09070208054584</c:v>
                </c:pt>
                <c:pt idx="446">
                  <c:v>-220.45372674186251</c:v>
                </c:pt>
                <c:pt idx="447">
                  <c:v>-220.81448489369694</c:v>
                </c:pt>
                <c:pt idx="448">
                  <c:v>-221.17299963160605</c:v>
                </c:pt>
                <c:pt idx="449">
                  <c:v>-221.53781528107888</c:v>
                </c:pt>
                <c:pt idx="450">
                  <c:v>-221.90032664460725</c:v>
                </c:pt>
                <c:pt idx="451">
                  <c:v>-222.26055757301046</c:v>
                </c:pt>
                <c:pt idx="452">
                  <c:v>-222.61853160665333</c:v>
                </c:pt>
                <c:pt idx="453">
                  <c:v>-222.98228400374677</c:v>
                </c:pt>
                <c:pt idx="454">
                  <c:v>-223.3437251827599</c:v>
                </c:pt>
                <c:pt idx="455">
                  <c:v>-223.7028793378376</c:v>
                </c:pt>
                <c:pt idx="456">
                  <c:v>-224.05977034300611</c:v>
                </c:pt>
                <c:pt idx="457">
                  <c:v>-224.42281118390434</c:v>
                </c:pt>
                <c:pt idx="458">
                  <c:v>-224.78352981147424</c:v>
                </c:pt>
                <c:pt idx="459">
                  <c:v>-225.14195082822278</c:v>
                </c:pt>
                <c:pt idx="460">
                  <c:v>-225.49809850554399</c:v>
                </c:pt>
                <c:pt idx="461">
                  <c:v>-225.8601741788346</c:v>
                </c:pt>
                <c:pt idx="462">
                  <c:v>-226.21992026083998</c:v>
                </c:pt>
                <c:pt idx="463">
                  <c:v>-226.57736170635266</c:v>
                </c:pt>
                <c:pt idx="464">
                  <c:v>-226.93252312886631</c:v>
                </c:pt>
                <c:pt idx="465">
                  <c:v>-227.29367317290914</c:v>
                </c:pt>
                <c:pt idx="466">
                  <c:v>-227.65248615881509</c:v>
                </c:pt>
                <c:pt idx="467">
                  <c:v>-228.00898739525417</c:v>
                </c:pt>
                <c:pt idx="468">
                  <c:v>-228.3632018391981</c:v>
                </c:pt>
                <c:pt idx="469">
                  <c:v>-228.72318777320348</c:v>
                </c:pt>
                <c:pt idx="470">
                  <c:v>-229.08083269818061</c:v>
                </c:pt>
                <c:pt idx="471">
                  <c:v>-229.43616221886845</c:v>
                </c:pt>
                <c:pt idx="472">
                  <c:v>-229.78920157880515</c:v>
                </c:pt>
                <c:pt idx="473">
                  <c:v>-230.14832486985233</c:v>
                </c:pt>
                <c:pt idx="474">
                  <c:v>-230.50509973706173</c:v>
                </c:pt>
                <c:pt idx="475">
                  <c:v>-230.85955213659219</c:v>
                </c:pt>
                <c:pt idx="476">
                  <c:v>-231.21170765268494</c:v>
                </c:pt>
                <c:pt idx="477">
                  <c:v>-231.56972515119523</c:v>
                </c:pt>
                <c:pt idx="478">
                  <c:v>-231.92539041485085</c:v>
                </c:pt>
                <c:pt idx="479">
                  <c:v>-232.2787296898826</c:v>
                </c:pt>
                <c:pt idx="480">
                  <c:v>-232.62976884087976</c:v>
                </c:pt>
                <c:pt idx="481">
                  <c:v>-232.98645609148096</c:v>
                </c:pt>
                <c:pt idx="482">
                  <c:v>-233.34079071002614</c:v>
                </c:pt>
                <c:pt idx="483">
                  <c:v>-233.69279917231094</c:v>
                </c:pt>
                <c:pt idx="484">
                  <c:v>-234.04250756379531</c:v>
                </c:pt>
                <c:pt idx="485">
                  <c:v>-234.39789926206299</c:v>
                </c:pt>
                <c:pt idx="486">
                  <c:v>-234.75093796256223</c:v>
                </c:pt>
                <c:pt idx="487">
                  <c:v>-235.10165036548278</c:v>
                </c:pt>
                <c:pt idx="488">
                  <c:v>-235.45006277196441</c:v>
                </c:pt>
                <c:pt idx="489">
                  <c:v>-235.8044205641194</c:v>
                </c:pt>
                <c:pt idx="490">
                  <c:v>-236.15642199944645</c:v>
                </c:pt>
                <c:pt idx="491">
                  <c:v>-236.50609404864849</c:v>
                </c:pt>
                <c:pt idx="492">
                  <c:v>-236.85346327361501</c:v>
                </c:pt>
                <c:pt idx="493">
                  <c:v>-237.20655967976668</c:v>
                </c:pt>
                <c:pt idx="494">
                  <c:v>-237.5572998273218</c:v>
                </c:pt>
                <c:pt idx="495">
                  <c:v>-237.90571089303256</c:v>
                </c:pt>
                <c:pt idx="496">
                  <c:v>-238.25181963624874</c:v>
                </c:pt>
                <c:pt idx="497">
                  <c:v>-238.60366824615858</c:v>
                </c:pt>
                <c:pt idx="498">
                  <c:v>-238.95316096309801</c:v>
                </c:pt>
                <c:pt idx="499">
                  <c:v>-239.30032515880373</c:v>
                </c:pt>
                <c:pt idx="500">
                  <c:v>-239.64518777914853</c:v>
                </c:pt>
                <c:pt idx="501">
                  <c:v>-239.99579630287334</c:v>
                </c:pt>
                <c:pt idx="502">
                  <c:v>-240.34404962678076</c:v>
                </c:pt>
                <c:pt idx="503">
                  <c:v>-240.68997530480118</c:v>
                </c:pt>
                <c:pt idx="504">
                  <c:v>-241.0336004567155</c:v>
                </c:pt>
                <c:pt idx="505">
                  <c:v>-241.38276027735569</c:v>
                </c:pt>
                <c:pt idx="506">
                  <c:v>-241.72956880529912</c:v>
                </c:pt>
                <c:pt idx="507">
                  <c:v>-242.07405371231968</c:v>
                </c:pt>
                <c:pt idx="508">
                  <c:v>-242.41624222904491</c:v>
                </c:pt>
                <c:pt idx="509">
                  <c:v>-242.76396779367505</c:v>
                </c:pt>
                <c:pt idx="510">
                  <c:v>-243.10934618980934</c:v>
                </c:pt>
                <c:pt idx="511">
                  <c:v>-243.45240519415461</c:v>
                </c:pt>
                <c:pt idx="512">
                  <c:v>-243.79317213551548</c:v>
                </c:pt>
                <c:pt idx="513">
                  <c:v>-244.13967275325385</c:v>
                </c:pt>
                <c:pt idx="514">
                  <c:v>-244.48382788415674</c:v>
                </c:pt>
                <c:pt idx="515">
                  <c:v>-244.82566544375683</c:v>
                </c:pt>
                <c:pt idx="516">
                  <c:v>-245.16521289217241</c:v>
                </c:pt>
                <c:pt idx="517">
                  <c:v>-245.51028266957607</c:v>
                </c:pt>
                <c:pt idx="518">
                  <c:v>-245.85301175940623</c:v>
                </c:pt>
                <c:pt idx="519">
                  <c:v>-246.19342815065687</c:v>
                </c:pt>
                <c:pt idx="520">
                  <c:v>-246.5315593708012</c:v>
                </c:pt>
                <c:pt idx="521">
                  <c:v>-246.87519922441862</c:v>
                </c:pt>
                <c:pt idx="522">
                  <c:v>-247.21650349731613</c:v>
                </c:pt>
                <c:pt idx="523">
                  <c:v>-247.55550023575114</c:v>
                </c:pt>
                <c:pt idx="524">
                  <c:v>-247.89221701872657</c:v>
                </c:pt>
                <c:pt idx="525">
                  <c:v>-248.23442403437568</c:v>
                </c:pt>
                <c:pt idx="526">
                  <c:v>-248.57430089973792</c:v>
                </c:pt>
                <c:pt idx="527">
                  <c:v>-248.911875701376</c:v>
                </c:pt>
                <c:pt idx="528">
                  <c:v>-249.24717605327811</c:v>
                </c:pt>
                <c:pt idx="529">
                  <c:v>-249.58794383013802</c:v>
                </c:pt>
                <c:pt idx="530">
                  <c:v>-249.9263872198575</c:v>
                </c:pt>
                <c:pt idx="531">
                  <c:v>-250.26253433176228</c:v>
                </c:pt>
                <c:pt idx="532">
                  <c:v>-250.59641279773354</c:v>
                </c:pt>
                <c:pt idx="533">
                  <c:v>-250.93590633170248</c:v>
                </c:pt>
                <c:pt idx="534">
                  <c:v>-251.27307919754534</c:v>
                </c:pt>
                <c:pt idx="535">
                  <c:v>-251.6079595525901</c:v>
                </c:pt>
                <c:pt idx="536">
                  <c:v>-251.94057507134789</c:v>
                </c:pt>
                <c:pt idx="537">
                  <c:v>-252.27842802697089</c:v>
                </c:pt>
                <c:pt idx="538">
                  <c:v>-252.61396918280752</c:v>
                </c:pt>
                <c:pt idx="539">
                  <c:v>-252.94722663863831</c:v>
                </c:pt>
                <c:pt idx="540">
                  <c:v>-253.27822800855913</c:v>
                </c:pt>
                <c:pt idx="541">
                  <c:v>-253.61476991453927</c:v>
                </c:pt>
                <c:pt idx="542">
                  <c:v>-253.94900451580881</c:v>
                </c:pt>
                <c:pt idx="543">
                  <c:v>-254.28095992173471</c:v>
                </c:pt>
                <c:pt idx="544">
                  <c:v>-254.6106637517093</c:v>
                </c:pt>
                <c:pt idx="545">
                  <c:v>-254.94570277126186</c:v>
                </c:pt>
                <c:pt idx="546">
                  <c:v>-255.2784416661049</c:v>
                </c:pt>
                <c:pt idx="547">
                  <c:v>-255.60890849392339</c:v>
                </c:pt>
                <c:pt idx="548">
                  <c:v>-255.93713081969221</c:v>
                </c:pt>
                <c:pt idx="549">
                  <c:v>-256.2706473974568</c:v>
                </c:pt>
                <c:pt idx="550">
                  <c:v>-256.60187132302548</c:v>
                </c:pt>
                <c:pt idx="551">
                  <c:v>-256.93083058459155</c:v>
                </c:pt>
                <c:pt idx="552">
                  <c:v>-257.25755267548084</c:v>
                </c:pt>
                <c:pt idx="553">
                  <c:v>-257.58967736459311</c:v>
                </c:pt>
                <c:pt idx="554">
                  <c:v>-257.91951505689457</c:v>
                </c:pt>
                <c:pt idx="555">
                  <c:v>-258.24709369190793</c:v>
                </c:pt>
                <c:pt idx="556">
                  <c:v>-258.5724407118185</c:v>
                </c:pt>
                <c:pt idx="557">
                  <c:v>-259.23155323270214</c:v>
                </c:pt>
                <c:pt idx="558">
                  <c:v>-259.88165301344412</c:v>
                </c:pt>
                <c:pt idx="559">
                  <c:v>-260.53755520868253</c:v>
                </c:pt>
                <c:pt idx="560">
                  <c:v>-261.1844778878185</c:v>
                </c:pt>
                <c:pt idx="561">
                  <c:v>-261.83767326200086</c:v>
                </c:pt>
                <c:pt idx="562">
                  <c:v>-262.48190788083213</c:v>
                </c:pt>
                <c:pt idx="563">
                  <c:v>-263.130940052413</c:v>
                </c:pt>
                <c:pt idx="564">
                  <c:v>-263.77106899911502</c:v>
                </c:pt>
                <c:pt idx="565">
                  <c:v>-264.41831633524532</c:v>
                </c:pt>
                <c:pt idx="566">
                  <c:v>-265.05665194309233</c:v>
                </c:pt>
                <c:pt idx="567">
                  <c:v>-265.70166462367399</c:v>
                </c:pt>
                <c:pt idx="568">
                  <c:v>-266.3377677732372</c:v>
                </c:pt>
                <c:pt idx="569">
                  <c:v>-266.97763576656411</c:v>
                </c:pt>
                <c:pt idx="570">
                  <c:v>-267.60867474265029</c:v>
                </c:pt>
                <c:pt idx="571">
                  <c:v>-268.24806159632516</c:v>
                </c:pt>
                <c:pt idx="572">
                  <c:v>-268.8785701057509</c:v>
                </c:pt>
                <c:pt idx="573">
                  <c:v>-269.51219648590927</c:v>
                </c:pt>
                <c:pt idx="574">
                  <c:v>-270.13703860653089</c:v>
                </c:pt>
                <c:pt idx="575">
                  <c:v>-270.76934799363642</c:v>
                </c:pt>
                <c:pt idx="576">
                  <c:v>-271.39284265549429</c:v>
                </c:pt>
                <c:pt idx="577">
                  <c:v>-273.93947513786759</c:v>
                </c:pt>
                <c:pt idx="578">
                  <c:v>-276.34614164963318</c:v>
                </c:pt>
                <c:pt idx="579">
                  <c:v>-281.18918535668627</c:v>
                </c:pt>
                <c:pt idx="580">
                  <c:v>-285.92264066841904</c:v>
                </c:pt>
                <c:pt idx="581">
                  <c:v>-290.53044587876514</c:v>
                </c:pt>
                <c:pt idx="582">
                  <c:v>-295.00487479116492</c:v>
                </c:pt>
                <c:pt idx="583">
                  <c:v>-299.33095548761503</c:v>
                </c:pt>
                <c:pt idx="584">
                  <c:v>-303.50000421520639</c:v>
                </c:pt>
                <c:pt idx="585">
                  <c:v>-307.49816918460562</c:v>
                </c:pt>
                <c:pt idx="586">
                  <c:v>-311.31595792652092</c:v>
                </c:pt>
                <c:pt idx="587">
                  <c:v>-314.94704010451682</c:v>
                </c:pt>
                <c:pt idx="588">
                  <c:v>-318.38202270171007</c:v>
                </c:pt>
                <c:pt idx="589">
                  <c:v>-321.62033710314597</c:v>
                </c:pt>
                <c:pt idx="590">
                  <c:v>-324.65988002835167</c:v>
                </c:pt>
                <c:pt idx="591">
                  <c:v>-327.50256326341707</c:v>
                </c:pt>
                <c:pt idx="592">
                  <c:v>-330.15183830074619</c:v>
                </c:pt>
                <c:pt idx="593">
                  <c:v>-332.61412137537963</c:v>
                </c:pt>
                <c:pt idx="594">
                  <c:v>-334.89585490961309</c:v>
                </c:pt>
                <c:pt idx="595">
                  <c:v>-337.00571310335778</c:v>
                </c:pt>
                <c:pt idx="596">
                  <c:v>-338.95223605152216</c:v>
                </c:pt>
                <c:pt idx="597">
                  <c:v>-340.74525723668563</c:v>
                </c:pt>
                <c:pt idx="598">
                  <c:v>-342.39394954524175</c:v>
                </c:pt>
                <c:pt idx="599">
                  <c:v>-343.90833438851837</c:v>
                </c:pt>
                <c:pt idx="600">
                  <c:v>-345.29758325533425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855-41F1-84E2-E768F8DC01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018368"/>
        <c:axId val="159237248"/>
      </c:scatterChart>
      <c:valAx>
        <c:axId val="159014272"/>
        <c:scaling>
          <c:logBase val="10"/>
          <c:orientation val="minMax"/>
          <c:max val="1000000"/>
          <c:min val="1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C0C0C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Frequency (Hz)</a:t>
                </a:r>
              </a:p>
            </c:rich>
          </c:tx>
          <c:layout>
            <c:manualLayout>
              <c:xMode val="edge"/>
              <c:yMode val="edge"/>
              <c:x val="0.42857142857142855"/>
              <c:y val="0.8836114034132848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016448"/>
        <c:crossesAt val="-40"/>
        <c:crossBetween val="midCat"/>
        <c:majorUnit val="10"/>
        <c:minorUnit val="10"/>
      </c:valAx>
      <c:valAx>
        <c:axId val="159016448"/>
        <c:scaling>
          <c:orientation val="minMax"/>
          <c:max val="80"/>
          <c:min val="-4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Gain (dB)</a:t>
                </a:r>
              </a:p>
            </c:rich>
          </c:tx>
          <c:layout>
            <c:manualLayout>
              <c:xMode val="edge"/>
              <c:yMode val="edge"/>
              <c:x val="1.5549076773566581E-2"/>
              <c:y val="0.39271623305151382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FF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014272"/>
        <c:crossesAt val="0.1"/>
        <c:crossBetween val="midCat"/>
        <c:majorUnit val="20"/>
        <c:minorUnit val="4"/>
      </c:valAx>
      <c:valAx>
        <c:axId val="159018368"/>
        <c:scaling>
          <c:logBase val="10"/>
          <c:orientation val="minMax"/>
        </c:scaling>
        <c:delete val="1"/>
        <c:axPos val="t"/>
        <c:numFmt formatCode="General" sourceLinked="1"/>
        <c:majorTickMark val="out"/>
        <c:minorTickMark val="none"/>
        <c:tickLblPos val="none"/>
        <c:crossAx val="159237248"/>
        <c:crossesAt val="0"/>
        <c:crossBetween val="midCat"/>
      </c:valAx>
      <c:valAx>
        <c:axId val="159237248"/>
        <c:scaling>
          <c:orientation val="minMax"/>
          <c:max val="0"/>
          <c:min val="-270"/>
        </c:scaling>
        <c:delete val="0"/>
        <c:axPos val="r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Phase (°)</a:t>
                </a:r>
              </a:p>
            </c:rich>
          </c:tx>
          <c:layout>
            <c:manualLayout>
              <c:xMode val="edge"/>
              <c:yMode val="edge"/>
              <c:x val="0.96550048590864856"/>
              <c:y val="0.39825828223085169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018368"/>
        <c:crosses val="max"/>
        <c:crossBetween val="midCat"/>
        <c:majorUnit val="45"/>
        <c:minorUnit val="22.5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67" r="0.75000000000000167" t="1" header="0.5" footer="0.5"/>
    <c:pageSetup/>
  </c:printSettings>
</c:chartSpace>
</file>

<file path=xl/ctrlProps/ctrlProp1.xml><?xml version="1.0" encoding="utf-8"?>
<formControlPr xmlns="http://schemas.microsoft.com/office/spreadsheetml/2009/9/main" objectType="Drop" dropStyle="combo" dx="22" fmlaRange="$1:$1048576" noThreeD="1" sel="0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Spin" dx="16" fmlaLink="$E$71" max="100" min="1" page="10" val="5"/>
</file>

<file path=xl/ctrlProps/ctrlProp5.xml><?xml version="1.0" encoding="utf-8"?>
<formControlPr xmlns="http://schemas.microsoft.com/office/spreadsheetml/2009/9/main" objectType="Spin" dx="16" fmlaLink="$E$7" max="58" page="10" val="12"/>
</file>

<file path=xl/ctrlProps/ctrlProp6.xml><?xml version="1.0" encoding="utf-8"?>
<formControlPr xmlns="http://schemas.microsoft.com/office/spreadsheetml/2009/9/main" objectType="Drop" dropLines="2" dropStyle="combo" dx="16" fmlaLink="'Variable Management'!$L$10" fmlaRange="'Variable Management'!$K$8:$K$9" noThreeD="1" sel="1" val="0"/>
</file>

<file path=xl/ctrlProps/ctrlProp7.xml><?xml version="1.0" encoding="utf-8"?>
<formControlPr xmlns="http://schemas.microsoft.com/office/spreadsheetml/2009/9/main" objectType="Drop" dropLines="2" dropStyle="combo" dx="16" fmlaLink="'Variable Management'!$O$10" fmlaRange="'Variable Management'!$M$8:$M$9" noThreeD="1" sel="2" val="0"/>
</file>

<file path=xl/ctrlProps/ctrlProp8.xml><?xml version="1.0" encoding="utf-8"?>
<formControlPr xmlns="http://schemas.microsoft.com/office/spreadsheetml/2009/9/main" objectType="Spin" dx="16" fmlaLink="$E$7" max="58" page="10" val="12"/>
</file>

<file path=xl/ctrlProps/ctrlProp9.xml><?xml version="1.0" encoding="utf-8"?>
<formControlPr xmlns="http://schemas.microsoft.com/office/spreadsheetml/2009/9/main" objectType="Spin" dx="16" fmlaLink="$E$7" max="58" page="10" val="12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chart" Target="../charts/chart1.xml"/><Relationship Id="rId1" Type="http://schemas.openxmlformats.org/officeDocument/2006/relationships/image" Target="../media/image1.jpg"/><Relationship Id="rId6" Type="http://schemas.openxmlformats.org/officeDocument/2006/relationships/image" Target="../media/image5.emf"/><Relationship Id="rId5" Type="http://schemas.openxmlformats.org/officeDocument/2006/relationships/image" Target="../media/image4.jpg"/><Relationship Id="rId4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i.com/corp/docs/legal/copyright.shtml" TargetMode="External"/><Relationship Id="rId2" Type="http://schemas.openxmlformats.org/officeDocument/2006/relationships/image" Target="../media/image11.gif"/><Relationship Id="rId1" Type="http://schemas.openxmlformats.org/officeDocument/2006/relationships/hyperlink" Target="http://www.ti.com" TargetMode="Externa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jpg"/><Relationship Id="rId3" Type="http://schemas.openxmlformats.org/officeDocument/2006/relationships/image" Target="../media/image14.jpg"/><Relationship Id="rId7" Type="http://schemas.openxmlformats.org/officeDocument/2006/relationships/image" Target="../media/image18.jpg"/><Relationship Id="rId12" Type="http://schemas.openxmlformats.org/officeDocument/2006/relationships/image" Target="../media/image23.jpg"/><Relationship Id="rId2" Type="http://schemas.openxmlformats.org/officeDocument/2006/relationships/image" Target="../media/image13.emf"/><Relationship Id="rId1" Type="http://schemas.openxmlformats.org/officeDocument/2006/relationships/image" Target="../media/image12.emf"/><Relationship Id="rId6" Type="http://schemas.openxmlformats.org/officeDocument/2006/relationships/image" Target="../media/image17.jpg"/><Relationship Id="rId11" Type="http://schemas.openxmlformats.org/officeDocument/2006/relationships/image" Target="../media/image22.jpg"/><Relationship Id="rId5" Type="http://schemas.openxmlformats.org/officeDocument/2006/relationships/image" Target="../media/image16.jpg"/><Relationship Id="rId10" Type="http://schemas.openxmlformats.org/officeDocument/2006/relationships/image" Target="../media/image21.jpg"/><Relationship Id="rId4" Type="http://schemas.openxmlformats.org/officeDocument/2006/relationships/image" Target="../media/image15.jpg"/><Relationship Id="rId9" Type="http://schemas.openxmlformats.org/officeDocument/2006/relationships/image" Target="../media/image20.jp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5.png"/><Relationship Id="rId1" Type="http://schemas.openxmlformats.org/officeDocument/2006/relationships/image" Target="../media/image24.png"/><Relationship Id="rId5" Type="http://schemas.openxmlformats.org/officeDocument/2006/relationships/image" Target="../media/image28.png"/><Relationship Id="rId4" Type="http://schemas.openxmlformats.org/officeDocument/2006/relationships/image" Target="../media/image27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emf"/><Relationship Id="rId1" Type="http://schemas.openxmlformats.org/officeDocument/2006/relationships/image" Target="../media/image29.emf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11</xdr:row>
          <xdr:rowOff>66675</xdr:rowOff>
        </xdr:from>
        <xdr:to>
          <xdr:col>7</xdr:col>
          <xdr:colOff>95250</xdr:colOff>
          <xdr:row>13</xdr:row>
          <xdr:rowOff>47625</xdr:rowOff>
        </xdr:to>
        <xdr:sp macro="" textlink="">
          <xdr:nvSpPr>
            <xdr:cNvPr id="673660" name="Drop Down 892" hidden="1">
              <a:extLst>
                <a:ext uri="{63B3BB69-23CF-44E3-9099-C40C66FF867C}">
                  <a14:compatExt spid="_x0000_s673660"/>
                </a:ext>
                <a:ext uri="{FF2B5EF4-FFF2-40B4-BE49-F238E27FC236}">
                  <a16:creationId xmlns:a16="http://schemas.microsoft.com/office/drawing/2014/main" id="{00000000-0008-0000-0000-00007C47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16</xdr:col>
      <xdr:colOff>1360848</xdr:colOff>
      <xdr:row>0</xdr:row>
      <xdr:rowOff>108713</xdr:rowOff>
    </xdr:from>
    <xdr:to>
      <xdr:col>16</xdr:col>
      <xdr:colOff>2417480</xdr:colOff>
      <xdr:row>2</xdr:row>
      <xdr:rowOff>163079</xdr:rowOff>
    </xdr:to>
    <xdr:pic macro="[0]!OpenLM27403ProductFolder">
      <xdr:nvPicPr>
        <xdr:cNvPr id="70" name="Pictur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70098" y="108713"/>
          <a:ext cx="1056632" cy="83224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314325</xdr:colOff>
          <xdr:row>77</xdr:row>
          <xdr:rowOff>76200</xdr:rowOff>
        </xdr:from>
        <xdr:to>
          <xdr:col>2</xdr:col>
          <xdr:colOff>895350</xdr:colOff>
          <xdr:row>79</xdr:row>
          <xdr:rowOff>133350</xdr:rowOff>
        </xdr:to>
        <xdr:sp macro="" textlink="">
          <xdr:nvSpPr>
            <xdr:cNvPr id="673260" name="Button 492" hidden="1">
              <a:extLst>
                <a:ext uri="{63B3BB69-23CF-44E3-9099-C40C66FF867C}">
                  <a14:compatExt spid="_x0000_s673260"/>
                </a:ext>
                <a:ext uri="{FF2B5EF4-FFF2-40B4-BE49-F238E27FC236}">
                  <a16:creationId xmlns:a16="http://schemas.microsoft.com/office/drawing/2014/main" id="{00000000-0008-0000-0000-0000EC45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 VALUES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314325</xdr:colOff>
          <xdr:row>77</xdr:row>
          <xdr:rowOff>76200</xdr:rowOff>
        </xdr:from>
        <xdr:to>
          <xdr:col>2</xdr:col>
          <xdr:colOff>895350</xdr:colOff>
          <xdr:row>79</xdr:row>
          <xdr:rowOff>133350</xdr:rowOff>
        </xdr:to>
        <xdr:sp macro="" textlink="">
          <xdr:nvSpPr>
            <xdr:cNvPr id="673288" name="Button 520" hidden="1">
              <a:extLst>
                <a:ext uri="{63B3BB69-23CF-44E3-9099-C40C66FF867C}">
                  <a14:compatExt spid="_x0000_s673288"/>
                </a:ext>
                <a:ext uri="{FF2B5EF4-FFF2-40B4-BE49-F238E27FC236}">
                  <a16:creationId xmlns:a16="http://schemas.microsoft.com/office/drawing/2014/main" id="{00000000-0008-0000-0000-00000846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FIX</a:t>
              </a:r>
            </a:p>
            <a:p>
              <a:pPr algn="ctr" rtl="0">
                <a:defRPr sz="1000"/>
              </a:pPr>
              <a:r>
                <a:rPr lang="en-US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VALUES</a:t>
              </a:r>
            </a:p>
          </xdr:txBody>
        </xdr:sp>
        <xdr:clientData fLocksWithSheet="0" fPrintsWithSheet="0"/>
      </xdr:twoCellAnchor>
    </mc:Choice>
    <mc:Fallback/>
  </mc:AlternateContent>
  <xdr:twoCellAnchor editAs="absolute">
    <xdr:from>
      <xdr:col>6</xdr:col>
      <xdr:colOff>266700</xdr:colOff>
      <xdr:row>45</xdr:row>
      <xdr:rowOff>13336</xdr:rowOff>
    </xdr:from>
    <xdr:to>
      <xdr:col>16</xdr:col>
      <xdr:colOff>2352675</xdr:colOff>
      <xdr:row>73</xdr:row>
      <xdr:rowOff>189246</xdr:rowOff>
    </xdr:to>
    <xdr:graphicFrame macro="">
      <xdr:nvGraphicFramePr>
        <xdr:cNvPr id="65" name="Chart 12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190500</xdr:colOff>
          <xdr:row>84</xdr:row>
          <xdr:rowOff>3726</xdr:rowOff>
        </xdr:from>
        <xdr:to>
          <xdr:col>16</xdr:col>
          <xdr:colOff>2468096</xdr:colOff>
          <xdr:row>112</xdr:row>
          <xdr:rowOff>94494</xdr:rowOff>
        </xdr:to>
        <xdr:pic>
          <xdr:nvPicPr>
            <xdr:cNvPr id="72" name="Picture 8888">
              <a:extLst>
                <a:ext uri="{FF2B5EF4-FFF2-40B4-BE49-F238E27FC236}">
                  <a16:creationId xmlns:a16="http://schemas.microsoft.com/office/drawing/2014/main" id="{00000000-0008-0000-0000-00004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PICTURE" spid="_x0000_s673706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4505325" y="16139076"/>
              <a:ext cx="8449796" cy="5253318"/>
            </a:xfrm>
            <a:prstGeom prst="rect">
              <a:avLst/>
            </a:prstGeom>
            <a:noFill/>
            <a:ln w="15875">
              <a:noFill/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7</xdr:col>
      <xdr:colOff>392728</xdr:colOff>
      <xdr:row>64</xdr:row>
      <xdr:rowOff>4766</xdr:rowOff>
    </xdr:from>
    <xdr:to>
      <xdr:col>10</xdr:col>
      <xdr:colOff>361950</xdr:colOff>
      <xdr:row>65</xdr:row>
      <xdr:rowOff>14928</xdr:rowOff>
    </xdr:to>
    <xdr:sp macro="" textlink="'Variable Management'!A453">
      <xdr:nvSpPr>
        <xdr:cNvPr id="2071" name="Text Box 23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SpPr txBox="1">
          <a:spLocks noChangeArrowheads="1" noTextEdit="1"/>
        </xdr:cNvSpPr>
      </xdr:nvSpPr>
      <xdr:spPr bwMode="auto">
        <a:xfrm>
          <a:off x="4700959" y="12057554"/>
          <a:ext cx="2196606" cy="200662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fld id="{10952A97-D9C5-44B7-89A3-65441574648A}" type="TxLink">
            <a:rPr lang="en-US" sz="1100" b="1" i="0" u="none" strike="noStrike" baseline="0">
              <a:solidFill>
                <a:srgbClr val="FF0000"/>
              </a:solidFill>
              <a:latin typeface="Arial"/>
              <a:cs typeface="Arial"/>
            </a:rPr>
            <a:pPr algn="l" rtl="0">
              <a:defRPr sz="1000"/>
            </a:pPr>
            <a:t>Crossover Frequency = 4.4 kHz</a:t>
          </a:fld>
          <a:endParaRPr lang="en-US" sz="1100" b="1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422779</xdr:colOff>
      <xdr:row>65</xdr:row>
      <xdr:rowOff>162115</xdr:rowOff>
    </xdr:from>
    <xdr:to>
      <xdr:col>9</xdr:col>
      <xdr:colOff>457199</xdr:colOff>
      <xdr:row>66</xdr:row>
      <xdr:rowOff>201318</xdr:rowOff>
    </xdr:to>
    <xdr:sp macro="" textlink="'Variable Management'!A454">
      <xdr:nvSpPr>
        <xdr:cNvPr id="2072" name="Text Box 24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SpPr txBox="1">
          <a:spLocks noChangeArrowheads="1" noTextEdit="1"/>
        </xdr:cNvSpPr>
      </xdr:nvSpPr>
      <xdr:spPr bwMode="auto">
        <a:xfrm>
          <a:off x="4731010" y="12405403"/>
          <a:ext cx="1433862" cy="207723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fld id="{95DD25AA-EC3B-4C80-B80E-8DC148525216}" type="TxLink">
            <a:rPr lang="en-US" sz="1100" b="1" i="0" u="none" strike="noStrike" baseline="0">
              <a:solidFill>
                <a:srgbClr val="002060"/>
              </a:solidFill>
              <a:latin typeface="Arial"/>
              <a:cs typeface="Arial"/>
            </a:rPr>
            <a:pPr algn="l" rtl="0">
              <a:defRPr sz="1000"/>
            </a:pPr>
            <a:t>Phase Margin = 71°</a:t>
          </a:fld>
          <a:endParaRPr lang="en-US" sz="1100" b="1" i="0" u="none" strike="noStrike" baseline="0">
            <a:solidFill>
              <a:srgbClr val="00206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70</xdr:row>
          <xdr:rowOff>0</xdr:rowOff>
        </xdr:from>
        <xdr:to>
          <xdr:col>5</xdr:col>
          <xdr:colOff>180975</xdr:colOff>
          <xdr:row>70</xdr:row>
          <xdr:rowOff>180975</xdr:rowOff>
        </xdr:to>
        <xdr:sp macro="" textlink="">
          <xdr:nvSpPr>
            <xdr:cNvPr id="672829" name="Spinner 61" hidden="1">
              <a:extLst>
                <a:ext uri="{63B3BB69-23CF-44E3-9099-C40C66FF867C}">
                  <a14:compatExt spid="_x0000_s672829"/>
                </a:ext>
                <a:ext uri="{FF2B5EF4-FFF2-40B4-BE49-F238E27FC236}">
                  <a16:creationId xmlns:a16="http://schemas.microsoft.com/office/drawing/2014/main" id="{00000000-0008-0000-0000-00003D44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6</xdr:row>
          <xdr:rowOff>9525</xdr:rowOff>
        </xdr:from>
        <xdr:to>
          <xdr:col>5</xdr:col>
          <xdr:colOff>304800</xdr:colOff>
          <xdr:row>7</xdr:row>
          <xdr:rowOff>19050</xdr:rowOff>
        </xdr:to>
        <xdr:sp macro="" textlink="">
          <xdr:nvSpPr>
            <xdr:cNvPr id="672895" name="Spinner 127" hidden="1">
              <a:extLst>
                <a:ext uri="{63B3BB69-23CF-44E3-9099-C40C66FF867C}">
                  <a14:compatExt spid="_x0000_s672895"/>
                </a:ext>
                <a:ext uri="{FF2B5EF4-FFF2-40B4-BE49-F238E27FC236}">
                  <a16:creationId xmlns:a16="http://schemas.microsoft.com/office/drawing/2014/main" id="{00000000-0008-0000-0000-00007F44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0</xdr:col>
      <xdr:colOff>58613</xdr:colOff>
      <xdr:row>0</xdr:row>
      <xdr:rowOff>29308</xdr:rowOff>
    </xdr:from>
    <xdr:to>
      <xdr:col>3</xdr:col>
      <xdr:colOff>331909</xdr:colOff>
      <xdr:row>0</xdr:row>
      <xdr:rowOff>567964</xdr:rowOff>
    </xdr:to>
    <xdr:pic macro="[0]!OpenLM27403ProductFolder">
      <xdr:nvPicPr>
        <xdr:cNvPr id="69" name="Pictur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896" b="8304"/>
        <a:stretch/>
      </xdr:blipFill>
      <xdr:spPr>
        <a:xfrm>
          <a:off x="58613" y="29308"/>
          <a:ext cx="2283071" cy="538656"/>
        </a:xfrm>
        <a:prstGeom prst="rect">
          <a:avLst/>
        </a:prstGeom>
      </xdr:spPr>
    </xdr:pic>
    <xdr:clientData/>
  </xdr:twoCellAnchor>
  <xdr:twoCellAnchor editAs="oneCell">
    <xdr:from>
      <xdr:col>16</xdr:col>
      <xdr:colOff>1372551</xdr:colOff>
      <xdr:row>0</xdr:row>
      <xdr:rowOff>89535</xdr:rowOff>
    </xdr:from>
    <xdr:to>
      <xdr:col>16</xdr:col>
      <xdr:colOff>2433255</xdr:colOff>
      <xdr:row>2</xdr:row>
      <xdr:rowOff>141856</xdr:rowOff>
    </xdr:to>
    <xdr:pic macro="[0]!OpenLM27403ProductFolder">
      <xdr:nvPicPr>
        <xdr:cNvPr id="68" name="Pictur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2471" y="89535"/>
          <a:ext cx="1060704" cy="82194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219075</xdr:colOff>
          <xdr:row>83</xdr:row>
          <xdr:rowOff>9525</xdr:rowOff>
        </xdr:from>
        <xdr:to>
          <xdr:col>9</xdr:col>
          <xdr:colOff>200025</xdr:colOff>
          <xdr:row>84</xdr:row>
          <xdr:rowOff>0</xdr:rowOff>
        </xdr:to>
        <xdr:sp macro="" textlink="">
          <xdr:nvSpPr>
            <xdr:cNvPr id="672924" name="Drop Down 156" hidden="1">
              <a:extLst>
                <a:ext uri="{63B3BB69-23CF-44E3-9099-C40C66FF867C}">
                  <a14:compatExt spid="_x0000_s672924"/>
                </a:ext>
                <a:ext uri="{FF2B5EF4-FFF2-40B4-BE49-F238E27FC236}">
                  <a16:creationId xmlns:a16="http://schemas.microsoft.com/office/drawing/2014/main" id="{00000000-0008-0000-0000-00009C44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16</xdr:col>
      <xdr:colOff>942415</xdr:colOff>
      <xdr:row>88</xdr:row>
      <xdr:rowOff>24932</xdr:rowOff>
    </xdr:from>
    <xdr:to>
      <xdr:col>16</xdr:col>
      <xdr:colOff>1364358</xdr:colOff>
      <xdr:row>89</xdr:row>
      <xdr:rowOff>72557</xdr:rowOff>
    </xdr:to>
    <xdr:sp macro="" textlink="'Variable Management'!$B$457">
      <xdr:nvSpPr>
        <xdr:cNvPr id="73" name="Text Box 2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1429440" y="16922282"/>
          <a:ext cx="421943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27432" tIns="22860" rIns="0" bIns="22860" anchor="b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fld id="{1F0AFB1C-0795-4024-9821-D34D86340D40}" type="TxLink"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pPr algn="l" rtl="0">
              <a:defRPr sz="1000"/>
            </a:pPr>
            <a:t>#VALUE!</a:t>
          </a:fld>
          <a:endParaRPr lang="en-US" sz="900" b="1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12</xdr:col>
      <xdr:colOff>580465</xdr:colOff>
      <xdr:row>88</xdr:row>
      <xdr:rowOff>24932</xdr:rowOff>
    </xdr:from>
    <xdr:to>
      <xdr:col>13</xdr:col>
      <xdr:colOff>392808</xdr:colOff>
      <xdr:row>89</xdr:row>
      <xdr:rowOff>72557</xdr:rowOff>
    </xdr:to>
    <xdr:sp macro="" textlink="'Variable Management'!$B$458">
      <xdr:nvSpPr>
        <xdr:cNvPr id="74" name="Text Box 2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562415" y="16922282"/>
          <a:ext cx="421943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27432" tIns="22860" rIns="0" bIns="22860" anchor="b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fld id="{17D4567B-D519-4FF8-A1F3-102CF08055AD}" type="TxLink"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pPr algn="l" rtl="0">
              <a:defRPr sz="1000"/>
            </a:pPr>
            <a:t>#VALUE!</a:t>
          </a:fld>
          <a:endParaRPr lang="en-US" sz="900" b="1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8</xdr:col>
      <xdr:colOff>151840</xdr:colOff>
      <xdr:row>88</xdr:row>
      <xdr:rowOff>24932</xdr:rowOff>
    </xdr:from>
    <xdr:to>
      <xdr:col>8</xdr:col>
      <xdr:colOff>573783</xdr:colOff>
      <xdr:row>89</xdr:row>
      <xdr:rowOff>72557</xdr:rowOff>
    </xdr:to>
    <xdr:sp macro="" textlink="'Variable Management'!$B$456">
      <xdr:nvSpPr>
        <xdr:cNvPr id="89" name="Text Box 24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 noTextEdit="1"/>
        </xdr:cNvSpPr>
      </xdr:nvSpPr>
      <xdr:spPr bwMode="auto">
        <a:xfrm>
          <a:off x="5257240" y="16922282"/>
          <a:ext cx="421943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27432" tIns="22860" rIns="0" bIns="22860" anchor="b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fld id="{432ED2DE-3BD0-4309-A8FE-05B28CC10D2D}" type="TxLink"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pPr algn="l" rtl="0">
              <a:defRPr sz="1000"/>
            </a:pPr>
            <a:t> </a:t>
          </a:fld>
          <a:endParaRPr lang="en-US" sz="900" b="1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59</xdr:row>
          <xdr:rowOff>0</xdr:rowOff>
        </xdr:from>
        <xdr:to>
          <xdr:col>1</xdr:col>
          <xdr:colOff>476250</xdr:colOff>
          <xdr:row>60</xdr:row>
          <xdr:rowOff>28575</xdr:rowOff>
        </xdr:to>
        <xdr:sp macro="" textlink="">
          <xdr:nvSpPr>
            <xdr:cNvPr id="673029" name="Drop Down 261" hidden="1">
              <a:extLst>
                <a:ext uri="{63B3BB69-23CF-44E3-9099-C40C66FF867C}">
                  <a14:compatExt spid="_x0000_s673029"/>
                </a:ext>
                <a:ext uri="{FF2B5EF4-FFF2-40B4-BE49-F238E27FC236}">
                  <a16:creationId xmlns:a16="http://schemas.microsoft.com/office/drawing/2014/main" id="{00000000-0008-0000-0000-00000545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321205</xdr:colOff>
          <xdr:row>10</xdr:row>
          <xdr:rowOff>73254</xdr:rowOff>
        </xdr:from>
        <xdr:to>
          <xdr:col>16</xdr:col>
          <xdr:colOff>2405565</xdr:colOff>
          <xdr:row>37</xdr:row>
          <xdr:rowOff>19050</xdr:rowOff>
        </xdr:to>
        <xdr:pic>
          <xdr:nvPicPr>
            <xdr:cNvPr id="96" name="Picture 8888">
              <a:extLst>
                <a:ext uri="{FF2B5EF4-FFF2-40B4-BE49-F238E27FC236}">
                  <a16:creationId xmlns:a16="http://schemas.microsoft.com/office/drawing/2014/main" id="{00000000-0008-0000-0000-00006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PICTURE2" spid="_x0000_s673707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3845455" y="2321154"/>
              <a:ext cx="9047135" cy="4965471"/>
            </a:xfrm>
            <a:prstGeom prst="rect">
              <a:avLst/>
            </a:prstGeom>
            <a:noFill/>
            <a:ln w="15875">
              <a:noFill/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428625</xdr:colOff>
          <xdr:row>46</xdr:row>
          <xdr:rowOff>0</xdr:rowOff>
        </xdr:from>
        <xdr:to>
          <xdr:col>14</xdr:col>
          <xdr:colOff>0</xdr:colOff>
          <xdr:row>47</xdr:row>
          <xdr:rowOff>9525</xdr:rowOff>
        </xdr:to>
        <xdr:sp macro="" textlink="">
          <xdr:nvSpPr>
            <xdr:cNvPr id="673295" name="Spinner 527" hidden="1">
              <a:extLst>
                <a:ext uri="{63B3BB69-23CF-44E3-9099-C40C66FF867C}">
                  <a14:compatExt spid="_x0000_s673295"/>
                </a:ext>
                <a:ext uri="{FF2B5EF4-FFF2-40B4-BE49-F238E27FC236}">
                  <a16:creationId xmlns:a16="http://schemas.microsoft.com/office/drawing/2014/main" id="{00000000-0008-0000-0000-00000F46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822960</xdr:colOff>
      <xdr:row>22</xdr:row>
      <xdr:rowOff>167640</xdr:rowOff>
    </xdr:from>
    <xdr:to>
      <xdr:col>11</xdr:col>
      <xdr:colOff>205740</xdr:colOff>
      <xdr:row>25</xdr:row>
      <xdr:rowOff>68580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 bwMode="auto">
        <a:xfrm>
          <a:off x="6713220" y="4579620"/>
          <a:ext cx="861060" cy="52578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horzOverflow="clip" wrap="square" lIns="27432" tIns="27432" rIns="0" bIns="0" rtlCol="0" anchor="ctr" upright="1"/>
        <a:lstStyle/>
        <a:p>
          <a:pPr algn="ctr" rtl="0"/>
          <a:r>
            <a:rPr lang="en-US" sz="1100" b="1" i="0" strike="noStrike">
              <a:solidFill>
                <a:srgbClr val="000000"/>
              </a:solidFill>
              <a:latin typeface="Calibri"/>
            </a:rPr>
            <a:t>LM5176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428625</xdr:colOff>
          <xdr:row>83</xdr:row>
          <xdr:rowOff>0</xdr:rowOff>
        </xdr:from>
        <xdr:to>
          <xdr:col>14</xdr:col>
          <xdr:colOff>0</xdr:colOff>
          <xdr:row>84</xdr:row>
          <xdr:rowOff>9525</xdr:rowOff>
        </xdr:to>
        <xdr:sp macro="" textlink="">
          <xdr:nvSpPr>
            <xdr:cNvPr id="673669" name="Spinner 901" hidden="1">
              <a:extLst>
                <a:ext uri="{63B3BB69-23CF-44E3-9099-C40C66FF867C}">
                  <a14:compatExt spid="_x0000_s673669"/>
                </a:ext>
                <a:ext uri="{FF2B5EF4-FFF2-40B4-BE49-F238E27FC236}">
                  <a16:creationId xmlns:a16="http://schemas.microsoft.com/office/drawing/2014/main" id="{00000000-0008-0000-0000-00008547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0.08469</cdr:x>
      <cdr:y>0.4934</cdr:y>
    </cdr:from>
    <cdr:to>
      <cdr:x>0.9187</cdr:x>
      <cdr:y>0.49511</cdr:y>
    </cdr:to>
    <cdr:sp macro="" textlink="">
      <cdr:nvSpPr>
        <cdr:cNvPr id="8195" name="Line 3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733103" y="2356792"/>
          <a:ext cx="7219652" cy="8168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9050">
          <a:solidFill>
            <a:srgbClr val="000000"/>
          </a:solidFill>
          <a:round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0.92392</cdr:x>
      <cdr:y>0.56277</cdr:y>
    </cdr:from>
    <cdr:to>
      <cdr:x>0.97055</cdr:x>
      <cdr:y>0.61867</cdr:y>
    </cdr:to>
    <cdr:sp macro="" textlink="'Variable Management'!$B$454">
      <cdr:nvSpPr>
        <cdr:cNvPr id="3" name="Text Box 24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8004815" y="2953578"/>
          <a:ext cx="404001" cy="29337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ctr" upright="1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pPr algn="l" rtl="0">
            <a:defRPr sz="1000"/>
          </a:pPr>
          <a:fld id="{BB1BCF51-C5DA-4454-8307-018A0FF9C118}" type="TxLink">
            <a:rPr lang="en-US" sz="9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71°</a:t>
          </a:fld>
          <a:endParaRPr lang="en-US" sz="900" b="1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1</xdr:row>
      <xdr:rowOff>9524</xdr:rowOff>
    </xdr:from>
    <xdr:to>
      <xdr:col>9</xdr:col>
      <xdr:colOff>1219200</xdr:colOff>
      <xdr:row>44</xdr:row>
      <xdr:rowOff>85725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71449"/>
          <a:ext cx="10734675" cy="7077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428625</xdr:colOff>
      <xdr:row>3</xdr:row>
      <xdr:rowOff>47624</xdr:rowOff>
    </xdr:from>
    <xdr:to>
      <xdr:col>9</xdr:col>
      <xdr:colOff>1200150</xdr:colOff>
      <xdr:row>42</xdr:row>
      <xdr:rowOff>81752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533399"/>
          <a:ext cx="10410825" cy="63492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742225</xdr:colOff>
      <xdr:row>11</xdr:row>
      <xdr:rowOff>54039</xdr:rowOff>
    </xdr:from>
    <xdr:to>
      <xdr:col>10</xdr:col>
      <xdr:colOff>113596</xdr:colOff>
      <xdr:row>12</xdr:row>
      <xdr:rowOff>137902</xdr:rowOff>
    </xdr:to>
    <xdr:sp macro="" textlink="'Variable Management'!B431">
      <xdr:nvSpPr>
        <xdr:cNvPr id="23" name="Text Box 285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0376082" y="1850182"/>
          <a:ext cx="521175" cy="247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702C2B8A-7C4B-4FDB-B229-3170089D9686}" type="TxLink">
            <a:rPr lang="en-US" sz="1200" b="1" i="0" u="none" strike="noStrike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12.8V</a:t>
          </a:fld>
          <a:endParaRPr lang="en-US" sz="1200" b="1" i="0" u="none" strike="noStrike" baseline="0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9</xdr:col>
      <xdr:colOff>611176</xdr:colOff>
      <xdr:row>12</xdr:row>
      <xdr:rowOff>116821</xdr:rowOff>
    </xdr:from>
    <xdr:to>
      <xdr:col>9</xdr:col>
      <xdr:colOff>1171576</xdr:colOff>
      <xdr:row>14</xdr:row>
      <xdr:rowOff>29271</xdr:rowOff>
    </xdr:to>
    <xdr:sp macro="" textlink="'Variable Management'!B473">
      <xdr:nvSpPr>
        <xdr:cNvPr id="24" name="Text Box 286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0250476" y="2059921"/>
          <a:ext cx="560400" cy="23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fld id="{E0FB88FA-F39E-4ACF-AB5E-DCB628763AAE}" type="TxLink">
            <a:rPr lang="en-US" sz="1200" b="1" i="0" u="none" strike="noStrike">
              <a:solidFill>
                <a:srgbClr val="FF0000"/>
              </a:solidFill>
              <a:latin typeface="Arial" pitchFamily="34" charset="0"/>
              <a:cs typeface="Arial" pitchFamily="34" charset="0"/>
            </a:rPr>
            <a:pPr algn="ctr" rtl="0">
              <a:defRPr sz="1000"/>
            </a:pPr>
            <a:t>20A</a:t>
          </a:fld>
          <a:endParaRPr lang="en-US" sz="1200" b="1" i="0" strike="noStrike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215765</xdr:colOff>
      <xdr:row>21</xdr:row>
      <xdr:rowOff>138591</xdr:rowOff>
    </xdr:from>
    <xdr:to>
      <xdr:col>7</xdr:col>
      <xdr:colOff>621919</xdr:colOff>
      <xdr:row>23</xdr:row>
      <xdr:rowOff>25832</xdr:rowOff>
    </xdr:to>
    <xdr:sp macro="" textlink="'Variable Management'!B438">
      <xdr:nvSpPr>
        <xdr:cNvPr id="26" name="Text Box 276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796351" y="3587298"/>
          <a:ext cx="406154" cy="2156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8EC17DC9-9599-436B-83BE-CF5CE4344793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10µF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365389</xdr:colOff>
      <xdr:row>21</xdr:row>
      <xdr:rowOff>135869</xdr:rowOff>
    </xdr:from>
    <xdr:to>
      <xdr:col>1</xdr:col>
      <xdr:colOff>230978</xdr:colOff>
      <xdr:row>23</xdr:row>
      <xdr:rowOff>26451</xdr:rowOff>
    </xdr:to>
    <xdr:sp macro="" textlink="">
      <xdr:nvSpPr>
        <xdr:cNvPr id="30" name="Text Box 22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365389" y="3614565"/>
          <a:ext cx="503350" cy="2218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SLOPE</a:t>
          </a:r>
        </a:p>
      </xdr:txBody>
    </xdr:sp>
    <xdr:clientData/>
  </xdr:twoCellAnchor>
  <xdr:twoCellAnchor>
    <xdr:from>
      <xdr:col>2</xdr:col>
      <xdr:colOff>159713</xdr:colOff>
      <xdr:row>37</xdr:row>
      <xdr:rowOff>159333</xdr:rowOff>
    </xdr:from>
    <xdr:to>
      <xdr:col>2</xdr:col>
      <xdr:colOff>479651</xdr:colOff>
      <xdr:row>39</xdr:row>
      <xdr:rowOff>38653</xdr:rowOff>
    </xdr:to>
    <xdr:sp macro="" textlink="">
      <xdr:nvSpPr>
        <xdr:cNvPr id="31" name="Text Box 225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2150438" y="6150558"/>
          <a:ext cx="319938" cy="203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FB1</a:t>
          </a:r>
        </a:p>
      </xdr:txBody>
    </xdr:sp>
    <xdr:clientData/>
  </xdr:twoCellAnchor>
  <xdr:twoCellAnchor>
    <xdr:from>
      <xdr:col>7</xdr:col>
      <xdr:colOff>1034941</xdr:colOff>
      <xdr:row>19</xdr:row>
      <xdr:rowOff>127711</xdr:rowOff>
    </xdr:from>
    <xdr:to>
      <xdr:col>8</xdr:col>
      <xdr:colOff>381857</xdr:colOff>
      <xdr:row>20</xdr:row>
      <xdr:rowOff>159098</xdr:rowOff>
    </xdr:to>
    <xdr:sp macro="" textlink="">
      <xdr:nvSpPr>
        <xdr:cNvPr id="33" name="Text Box 228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8615527" y="3247970"/>
          <a:ext cx="424227" cy="1956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OUT</a:t>
          </a:r>
        </a:p>
      </xdr:txBody>
    </xdr:sp>
    <xdr:clientData/>
  </xdr:twoCellAnchor>
  <xdr:twoCellAnchor>
    <xdr:from>
      <xdr:col>9</xdr:col>
      <xdr:colOff>141502</xdr:colOff>
      <xdr:row>11</xdr:row>
      <xdr:rowOff>18316</xdr:rowOff>
    </xdr:from>
    <xdr:to>
      <xdr:col>9</xdr:col>
      <xdr:colOff>606793</xdr:colOff>
      <xdr:row>12</xdr:row>
      <xdr:rowOff>78135</xdr:rowOff>
    </xdr:to>
    <xdr:sp macro="" textlink="">
      <xdr:nvSpPr>
        <xdr:cNvPr id="34" name="Text Box 231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9775359" y="1814459"/>
          <a:ext cx="465291" cy="223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CS(out)</a:t>
          </a:r>
        </a:p>
      </xdr:txBody>
    </xdr:sp>
    <xdr:clientData/>
  </xdr:twoCellAnchor>
  <xdr:twoCellAnchor>
    <xdr:from>
      <xdr:col>1</xdr:col>
      <xdr:colOff>575103</xdr:colOff>
      <xdr:row>15</xdr:row>
      <xdr:rowOff>71293</xdr:rowOff>
    </xdr:from>
    <xdr:to>
      <xdr:col>1</xdr:col>
      <xdr:colOff>1033728</xdr:colOff>
      <xdr:row>16</xdr:row>
      <xdr:rowOff>121097</xdr:rowOff>
    </xdr:to>
    <xdr:sp macro="" textlink="">
      <xdr:nvSpPr>
        <xdr:cNvPr id="35" name="Text Box 233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213278" y="2500168"/>
          <a:ext cx="458625" cy="211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DITH</a:t>
          </a:r>
        </a:p>
      </xdr:txBody>
    </xdr:sp>
    <xdr:clientData/>
  </xdr:twoCellAnchor>
  <xdr:twoCellAnchor>
    <xdr:from>
      <xdr:col>7</xdr:col>
      <xdr:colOff>920230</xdr:colOff>
      <xdr:row>27</xdr:row>
      <xdr:rowOff>76146</xdr:rowOff>
    </xdr:from>
    <xdr:to>
      <xdr:col>8</xdr:col>
      <xdr:colOff>33391</xdr:colOff>
      <xdr:row>28</xdr:row>
      <xdr:rowOff>131403</xdr:rowOff>
    </xdr:to>
    <xdr:sp macro="" textlink="">
      <xdr:nvSpPr>
        <xdr:cNvPr id="36" name="Text Box 23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>
          <a:spLocks noChangeArrowheads="1"/>
        </xdr:cNvSpPr>
      </xdr:nvSpPr>
      <xdr:spPr bwMode="auto">
        <a:xfrm>
          <a:off x="8502130" y="4448121"/>
          <a:ext cx="189486" cy="2171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</a:t>
          </a:r>
        </a:p>
      </xdr:txBody>
    </xdr:sp>
    <xdr:clientData/>
  </xdr:twoCellAnchor>
  <xdr:twoCellAnchor>
    <xdr:from>
      <xdr:col>7</xdr:col>
      <xdr:colOff>423180</xdr:colOff>
      <xdr:row>14</xdr:row>
      <xdr:rowOff>151191</xdr:rowOff>
    </xdr:from>
    <xdr:to>
      <xdr:col>7</xdr:col>
      <xdr:colOff>765561</xdr:colOff>
      <xdr:row>16</xdr:row>
      <xdr:rowOff>38470</xdr:rowOff>
    </xdr:to>
    <xdr:sp macro="" textlink="">
      <xdr:nvSpPr>
        <xdr:cNvPr id="37" name="Text Box 235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8005080" y="2418141"/>
          <a:ext cx="342381" cy="2111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</a:t>
          </a:r>
        </a:p>
      </xdr:txBody>
    </xdr:sp>
    <xdr:clientData/>
  </xdr:twoCellAnchor>
  <xdr:twoCellAnchor>
    <xdr:from>
      <xdr:col>4</xdr:col>
      <xdr:colOff>120315</xdr:colOff>
      <xdr:row>40</xdr:row>
      <xdr:rowOff>73324</xdr:rowOff>
    </xdr:from>
    <xdr:to>
      <xdr:col>4</xdr:col>
      <xdr:colOff>524058</xdr:colOff>
      <xdr:row>41</xdr:row>
      <xdr:rowOff>126640</xdr:rowOff>
    </xdr:to>
    <xdr:sp macro="" textlink="">
      <xdr:nvSpPr>
        <xdr:cNvPr id="38" name="Text Box 243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>
          <a:spLocks noChangeArrowheads="1"/>
        </xdr:cNvSpPr>
      </xdr:nvSpPr>
      <xdr:spPr bwMode="auto">
        <a:xfrm>
          <a:off x="4530390" y="6550324"/>
          <a:ext cx="403743" cy="2152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100pF</a:t>
          </a:r>
        </a:p>
      </xdr:txBody>
    </xdr:sp>
    <xdr:clientData/>
  </xdr:twoCellAnchor>
  <xdr:twoCellAnchor>
    <xdr:from>
      <xdr:col>7</xdr:col>
      <xdr:colOff>230281</xdr:colOff>
      <xdr:row>19</xdr:row>
      <xdr:rowOff>118899</xdr:rowOff>
    </xdr:from>
    <xdr:to>
      <xdr:col>7</xdr:col>
      <xdr:colOff>481762</xdr:colOff>
      <xdr:row>20</xdr:row>
      <xdr:rowOff>159567</xdr:rowOff>
    </xdr:to>
    <xdr:sp macro="" textlink="">
      <xdr:nvSpPr>
        <xdr:cNvPr id="39" name="Text Box 244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>
          <a:spLocks noChangeArrowheads="1"/>
        </xdr:cNvSpPr>
      </xdr:nvSpPr>
      <xdr:spPr bwMode="auto">
        <a:xfrm>
          <a:off x="7810867" y="3239158"/>
          <a:ext cx="251481" cy="2048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IN</a:t>
          </a:r>
        </a:p>
      </xdr:txBody>
    </xdr:sp>
    <xdr:clientData/>
  </xdr:twoCellAnchor>
  <xdr:twoCellAnchor>
    <xdr:from>
      <xdr:col>2</xdr:col>
      <xdr:colOff>690613</xdr:colOff>
      <xdr:row>7</xdr:row>
      <xdr:rowOff>112069</xdr:rowOff>
    </xdr:from>
    <xdr:to>
      <xdr:col>2</xdr:col>
      <xdr:colOff>1019019</xdr:colOff>
      <xdr:row>9</xdr:row>
      <xdr:rowOff>13359</xdr:rowOff>
    </xdr:to>
    <xdr:sp macro="" textlink="">
      <xdr:nvSpPr>
        <xdr:cNvPr id="40" name="Text Box 245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2681338" y="1245544"/>
          <a:ext cx="328406" cy="225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VIN</a:t>
          </a:r>
        </a:p>
      </xdr:txBody>
    </xdr:sp>
    <xdr:clientData/>
  </xdr:twoCellAnchor>
  <xdr:twoCellAnchor>
    <xdr:from>
      <xdr:col>2</xdr:col>
      <xdr:colOff>604626</xdr:colOff>
      <xdr:row>4</xdr:row>
      <xdr:rowOff>101811</xdr:rowOff>
    </xdr:from>
    <xdr:to>
      <xdr:col>2</xdr:col>
      <xdr:colOff>930926</xdr:colOff>
      <xdr:row>5</xdr:row>
      <xdr:rowOff>137577</xdr:rowOff>
    </xdr:to>
    <xdr:sp macro="" textlink="">
      <xdr:nvSpPr>
        <xdr:cNvPr id="41" name="Text Box 246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>
          <a:spLocks noChangeArrowheads="1"/>
        </xdr:cNvSpPr>
      </xdr:nvSpPr>
      <xdr:spPr bwMode="auto">
        <a:xfrm>
          <a:off x="2595351" y="749511"/>
          <a:ext cx="326300" cy="1976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VIN</a:t>
          </a:r>
        </a:p>
      </xdr:txBody>
    </xdr:sp>
    <xdr:clientData/>
  </xdr:twoCellAnchor>
  <xdr:twoCellAnchor>
    <xdr:from>
      <xdr:col>4</xdr:col>
      <xdr:colOff>420809</xdr:colOff>
      <xdr:row>5</xdr:row>
      <xdr:rowOff>36340</xdr:rowOff>
    </xdr:from>
    <xdr:to>
      <xdr:col>4</xdr:col>
      <xdr:colOff>941827</xdr:colOff>
      <xdr:row>6</xdr:row>
      <xdr:rowOff>104790</xdr:rowOff>
    </xdr:to>
    <xdr:sp macro="" textlink="">
      <xdr:nvSpPr>
        <xdr:cNvPr id="42" name="Text Box 248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>
          <a:spLocks noChangeArrowheads="1"/>
        </xdr:cNvSpPr>
      </xdr:nvSpPr>
      <xdr:spPr bwMode="auto">
        <a:xfrm>
          <a:off x="4830884" y="845965"/>
          <a:ext cx="521018" cy="230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BOOT1</a:t>
          </a:r>
        </a:p>
      </xdr:txBody>
    </xdr:sp>
    <xdr:clientData/>
  </xdr:twoCellAnchor>
  <xdr:twoCellAnchor>
    <xdr:from>
      <xdr:col>5</xdr:col>
      <xdr:colOff>681590</xdr:colOff>
      <xdr:row>20</xdr:row>
      <xdr:rowOff>92429</xdr:rowOff>
    </xdr:from>
    <xdr:to>
      <xdr:col>5</xdr:col>
      <xdr:colOff>1050728</xdr:colOff>
      <xdr:row>21</xdr:row>
      <xdr:rowOff>132267</xdr:rowOff>
    </xdr:to>
    <xdr:sp macro="" textlink="">
      <xdr:nvSpPr>
        <xdr:cNvPr id="43" name="Text Box 24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>
          <a:spLocks noChangeArrowheads="1"/>
        </xdr:cNvSpPr>
      </xdr:nvSpPr>
      <xdr:spPr bwMode="auto">
        <a:xfrm>
          <a:off x="6239220" y="3405472"/>
          <a:ext cx="369138" cy="205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VCC</a:t>
          </a:r>
        </a:p>
      </xdr:txBody>
    </xdr:sp>
    <xdr:clientData/>
  </xdr:twoCellAnchor>
  <xdr:twoCellAnchor>
    <xdr:from>
      <xdr:col>1</xdr:col>
      <xdr:colOff>615609</xdr:colOff>
      <xdr:row>25</xdr:row>
      <xdr:rowOff>16697</xdr:rowOff>
    </xdr:from>
    <xdr:to>
      <xdr:col>1</xdr:col>
      <xdr:colOff>941178</xdr:colOff>
      <xdr:row>26</xdr:row>
      <xdr:rowOff>87108</xdr:rowOff>
    </xdr:to>
    <xdr:sp macro="" textlink="">
      <xdr:nvSpPr>
        <xdr:cNvPr id="45" name="Text Box 251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>
          <a:spLocks noChangeArrowheads="1"/>
        </xdr:cNvSpPr>
      </xdr:nvSpPr>
      <xdr:spPr bwMode="auto">
        <a:xfrm>
          <a:off x="1253370" y="4158001"/>
          <a:ext cx="325569" cy="2360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SS</a:t>
          </a:r>
        </a:p>
      </xdr:txBody>
    </xdr:sp>
    <xdr:clientData/>
  </xdr:twoCellAnchor>
  <xdr:twoCellAnchor>
    <xdr:from>
      <xdr:col>1</xdr:col>
      <xdr:colOff>620109</xdr:colOff>
      <xdr:row>35</xdr:row>
      <xdr:rowOff>18502</xdr:rowOff>
    </xdr:from>
    <xdr:to>
      <xdr:col>1</xdr:col>
      <xdr:colOff>975998</xdr:colOff>
      <xdr:row>36</xdr:row>
      <xdr:rowOff>58189</xdr:rowOff>
    </xdr:to>
    <xdr:sp macro="" textlink="">
      <xdr:nvSpPr>
        <xdr:cNvPr id="46" name="Text Box 25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>
          <a:spLocks noChangeArrowheads="1"/>
        </xdr:cNvSpPr>
      </xdr:nvSpPr>
      <xdr:spPr bwMode="auto">
        <a:xfrm>
          <a:off x="1258284" y="5685877"/>
          <a:ext cx="355889" cy="2016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FB2</a:t>
          </a:r>
        </a:p>
      </xdr:txBody>
    </xdr:sp>
    <xdr:clientData/>
  </xdr:twoCellAnchor>
  <xdr:twoCellAnchor>
    <xdr:from>
      <xdr:col>0</xdr:col>
      <xdr:colOff>248672</xdr:colOff>
      <xdr:row>28</xdr:row>
      <xdr:rowOff>99817</xdr:rowOff>
    </xdr:from>
    <xdr:to>
      <xdr:col>0</xdr:col>
      <xdr:colOff>496177</xdr:colOff>
      <xdr:row>29</xdr:row>
      <xdr:rowOff>147296</xdr:rowOff>
    </xdr:to>
    <xdr:sp macro="" textlink="">
      <xdr:nvSpPr>
        <xdr:cNvPr id="47" name="Text Box 25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>
          <a:spLocks noChangeArrowheads="1"/>
        </xdr:cNvSpPr>
      </xdr:nvSpPr>
      <xdr:spPr bwMode="auto">
        <a:xfrm>
          <a:off x="248672" y="4633717"/>
          <a:ext cx="247505" cy="2094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C2</a:t>
          </a:r>
        </a:p>
      </xdr:txBody>
    </xdr:sp>
    <xdr:clientData/>
  </xdr:twoCellAnchor>
  <xdr:twoCellAnchor>
    <xdr:from>
      <xdr:col>1</xdr:col>
      <xdr:colOff>513058</xdr:colOff>
      <xdr:row>32</xdr:row>
      <xdr:rowOff>14364</xdr:rowOff>
    </xdr:from>
    <xdr:to>
      <xdr:col>1</xdr:col>
      <xdr:colOff>826519</xdr:colOff>
      <xdr:row>33</xdr:row>
      <xdr:rowOff>80087</xdr:rowOff>
    </xdr:to>
    <xdr:sp macro="" textlink="">
      <xdr:nvSpPr>
        <xdr:cNvPr id="48" name="Text Box 25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>
          <a:spLocks noChangeArrowheads="1"/>
        </xdr:cNvSpPr>
      </xdr:nvSpPr>
      <xdr:spPr bwMode="auto">
        <a:xfrm>
          <a:off x="1151233" y="5195964"/>
          <a:ext cx="313461" cy="2276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C1</a:t>
          </a:r>
        </a:p>
      </xdr:txBody>
    </xdr:sp>
    <xdr:clientData/>
  </xdr:twoCellAnchor>
  <xdr:twoCellAnchor>
    <xdr:from>
      <xdr:col>1</xdr:col>
      <xdr:colOff>373551</xdr:colOff>
      <xdr:row>29</xdr:row>
      <xdr:rowOff>70727</xdr:rowOff>
    </xdr:from>
    <xdr:to>
      <xdr:col>1</xdr:col>
      <xdr:colOff>865344</xdr:colOff>
      <xdr:row>30</xdr:row>
      <xdr:rowOff>141637</xdr:rowOff>
    </xdr:to>
    <xdr:sp macro="" textlink="">
      <xdr:nvSpPr>
        <xdr:cNvPr id="49" name="Text Box 25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>
          <a:spLocks noChangeArrowheads="1"/>
        </xdr:cNvSpPr>
      </xdr:nvSpPr>
      <xdr:spPr bwMode="auto">
        <a:xfrm>
          <a:off x="1011726" y="4766552"/>
          <a:ext cx="491793" cy="232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u="none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C1</a:t>
          </a:r>
        </a:p>
      </xdr:txBody>
    </xdr:sp>
    <xdr:clientData/>
  </xdr:twoCellAnchor>
  <xdr:twoCellAnchor>
    <xdr:from>
      <xdr:col>3</xdr:col>
      <xdr:colOff>995933</xdr:colOff>
      <xdr:row>40</xdr:row>
      <xdr:rowOff>24379</xdr:rowOff>
    </xdr:from>
    <xdr:to>
      <xdr:col>4</xdr:col>
      <xdr:colOff>8382</xdr:colOff>
      <xdr:row>41</xdr:row>
      <xdr:rowOff>74707</xdr:rowOff>
    </xdr:to>
    <xdr:sp macro="" textlink="">
      <xdr:nvSpPr>
        <xdr:cNvPr id="50" name="Text Box 25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>
          <a:spLocks noChangeArrowheads="1"/>
        </xdr:cNvSpPr>
      </xdr:nvSpPr>
      <xdr:spPr bwMode="auto">
        <a:xfrm>
          <a:off x="4062983" y="6501379"/>
          <a:ext cx="355474" cy="2122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</a:t>
          </a:r>
        </a:p>
      </xdr:txBody>
    </xdr:sp>
    <xdr:clientData/>
  </xdr:twoCellAnchor>
  <xdr:twoCellAnchor>
    <xdr:from>
      <xdr:col>5</xdr:col>
      <xdr:colOff>680852</xdr:colOff>
      <xdr:row>22</xdr:row>
      <xdr:rowOff>30506</xdr:rowOff>
    </xdr:from>
    <xdr:to>
      <xdr:col>5</xdr:col>
      <xdr:colOff>1092245</xdr:colOff>
      <xdr:row>23</xdr:row>
      <xdr:rowOff>102262</xdr:rowOff>
    </xdr:to>
    <xdr:sp macro="" textlink="">
      <xdr:nvSpPr>
        <xdr:cNvPr id="51" name="Text Box 26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>
          <a:spLocks noChangeArrowheads="1"/>
        </xdr:cNvSpPr>
      </xdr:nvSpPr>
      <xdr:spPr bwMode="auto">
        <a:xfrm>
          <a:off x="6238197" y="3643437"/>
          <a:ext cx="411393" cy="235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</a:t>
          </a:r>
          <a:r>
            <a:rPr lang="el-GR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μ</a:t>
          </a: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</a:t>
          </a:r>
        </a:p>
      </xdr:txBody>
    </xdr:sp>
    <xdr:clientData/>
  </xdr:twoCellAnchor>
  <xdr:twoCellAnchor>
    <xdr:from>
      <xdr:col>1</xdr:col>
      <xdr:colOff>475307</xdr:colOff>
      <xdr:row>33</xdr:row>
      <xdr:rowOff>47050</xdr:rowOff>
    </xdr:from>
    <xdr:to>
      <xdr:col>1</xdr:col>
      <xdr:colOff>976607</xdr:colOff>
      <xdr:row>34</xdr:row>
      <xdr:rowOff>93389</xdr:rowOff>
    </xdr:to>
    <xdr:sp macro="" textlink="'Variable Management'!B442">
      <xdr:nvSpPr>
        <xdr:cNvPr id="52" name="Text Box 26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113482" y="5390575"/>
          <a:ext cx="501300" cy="2082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491934A6-59AB-480F-A883-A2630DEA4784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33nF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65780</xdr:colOff>
      <xdr:row>29</xdr:row>
      <xdr:rowOff>152907</xdr:rowOff>
    </xdr:from>
    <xdr:to>
      <xdr:col>0</xdr:col>
      <xdr:colOff>493109</xdr:colOff>
      <xdr:row>31</xdr:row>
      <xdr:rowOff>28938</xdr:rowOff>
    </xdr:to>
    <xdr:sp macro="" textlink="'Variable Management'!B443">
      <xdr:nvSpPr>
        <xdr:cNvPr id="53" name="Text Box 26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>
          <a:spLocks noChangeArrowheads="1" noTextEdit="1"/>
        </xdr:cNvSpPr>
      </xdr:nvSpPr>
      <xdr:spPr bwMode="auto">
        <a:xfrm>
          <a:off x="65780" y="4848732"/>
          <a:ext cx="427329" cy="1998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2D8520E2-C481-4B17-83BA-3FA209B7A03A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1200pF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308705</xdr:colOff>
      <xdr:row>36</xdr:row>
      <xdr:rowOff>59874</xdr:rowOff>
    </xdr:from>
    <xdr:to>
      <xdr:col>1</xdr:col>
      <xdr:colOff>915457</xdr:colOff>
      <xdr:row>37</xdr:row>
      <xdr:rowOff>101302</xdr:rowOff>
    </xdr:to>
    <xdr:sp macro="" textlink="'Variable Management'!B452">
      <xdr:nvSpPr>
        <xdr:cNvPr id="54" name="Text Box 26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>
          <a:spLocks noChangeArrowheads="1" noTextEdit="1"/>
        </xdr:cNvSpPr>
      </xdr:nvSpPr>
      <xdr:spPr bwMode="auto">
        <a:xfrm>
          <a:off x="946880" y="5889174"/>
          <a:ext cx="606752" cy="203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4143709D-01BC-4A19-AF00-5C62DAE21E0B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20.5kΩ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331510</xdr:colOff>
      <xdr:row>6</xdr:row>
      <xdr:rowOff>15898</xdr:rowOff>
    </xdr:from>
    <xdr:to>
      <xdr:col>1</xdr:col>
      <xdr:colOff>150224</xdr:colOff>
      <xdr:row>7</xdr:row>
      <xdr:rowOff>105957</xdr:rowOff>
    </xdr:to>
    <xdr:sp macro="" textlink="'Variable Management'!B444">
      <xdr:nvSpPr>
        <xdr:cNvPr id="55" name="Text Box 265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>
          <a:spLocks noChangeArrowheads="1" noTextEdit="1"/>
        </xdr:cNvSpPr>
      </xdr:nvSpPr>
      <xdr:spPr bwMode="auto">
        <a:xfrm>
          <a:off x="331510" y="987448"/>
          <a:ext cx="399739" cy="2519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fld id="{8A5847E3-10F5-4FFF-8A55-57AE8AD8F48A}" type="TxLink">
            <a:rPr lang="el-GR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ctr" rtl="0">
              <a:defRPr sz="1000"/>
            </a:pPr>
            <a:t> 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342427</xdr:colOff>
      <xdr:row>23</xdr:row>
      <xdr:rowOff>11119</xdr:rowOff>
    </xdr:from>
    <xdr:to>
      <xdr:col>1</xdr:col>
      <xdr:colOff>241897</xdr:colOff>
      <xdr:row>24</xdr:row>
      <xdr:rowOff>30597</xdr:rowOff>
    </xdr:to>
    <xdr:sp macro="" textlink="'Variable Management'!B449">
      <xdr:nvSpPr>
        <xdr:cNvPr id="56" name="Text Box 266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>
          <a:spLocks noChangeArrowheads="1" noTextEdit="1"/>
        </xdr:cNvSpPr>
      </xdr:nvSpPr>
      <xdr:spPr bwMode="auto">
        <a:xfrm>
          <a:off x="342427" y="3821119"/>
          <a:ext cx="537231" cy="185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6C3BF70F-B67A-49A8-941F-821453611716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220pF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138114</xdr:colOff>
      <xdr:row>39</xdr:row>
      <xdr:rowOff>24182</xdr:rowOff>
    </xdr:from>
    <xdr:to>
      <xdr:col>2</xdr:col>
      <xdr:colOff>737223</xdr:colOff>
      <xdr:row>40</xdr:row>
      <xdr:rowOff>100589</xdr:rowOff>
    </xdr:to>
    <xdr:sp macro="" textlink="'Variable Management'!B451">
      <xdr:nvSpPr>
        <xdr:cNvPr id="58" name="Text Box 268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 txBox="1">
          <a:spLocks noChangeArrowheads="1" noTextEdit="1"/>
        </xdr:cNvSpPr>
      </xdr:nvSpPr>
      <xdr:spPr bwMode="auto">
        <a:xfrm>
          <a:off x="2128839" y="6339257"/>
          <a:ext cx="599109" cy="2383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DE4FB3C5-779F-4472-8885-3DB2A25A3AD8}" type="TxLink">
            <a:rPr lang="en-US" sz="10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310kΩ</a:t>
          </a:fld>
          <a:endParaRPr lang="el-GR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871333</xdr:colOff>
      <xdr:row>28</xdr:row>
      <xdr:rowOff>94989</xdr:rowOff>
    </xdr:from>
    <xdr:to>
      <xdr:col>8</xdr:col>
      <xdr:colOff>238953</xdr:colOff>
      <xdr:row>29</xdr:row>
      <xdr:rowOff>153991</xdr:rowOff>
    </xdr:to>
    <xdr:sp macro="" textlink="'Variable Management'!B428">
      <xdr:nvSpPr>
        <xdr:cNvPr id="59" name="Text Box 26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453233" y="4628889"/>
          <a:ext cx="443945" cy="220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93CAFF9C-D0F9-46B6-B2B7-EF65E2F3688F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3mΩ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9</xdr:col>
      <xdr:colOff>152402</xdr:colOff>
      <xdr:row>12</xdr:row>
      <xdr:rowOff>50107</xdr:rowOff>
    </xdr:from>
    <xdr:to>
      <xdr:col>9</xdr:col>
      <xdr:colOff>720245</xdr:colOff>
      <xdr:row>13</xdr:row>
      <xdr:rowOff>96840</xdr:rowOff>
    </xdr:to>
    <xdr:sp macro="" textlink="'Variable Management'!B464">
      <xdr:nvSpPr>
        <xdr:cNvPr id="60" name="Text Box 270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>
          <a:spLocks noChangeArrowheads="1" noTextEdit="1"/>
        </xdr:cNvSpPr>
      </xdr:nvSpPr>
      <xdr:spPr bwMode="auto">
        <a:xfrm>
          <a:off x="9791702" y="1993207"/>
          <a:ext cx="567843" cy="2086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7B92BB06-DA54-414A-9DCD-8FA61A7BAA13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#VALUE!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429021</xdr:colOff>
      <xdr:row>16</xdr:row>
      <xdr:rowOff>76214</xdr:rowOff>
    </xdr:from>
    <xdr:to>
      <xdr:col>1</xdr:col>
      <xdr:colOff>907105</xdr:colOff>
      <xdr:row>18</xdr:row>
      <xdr:rowOff>1354</xdr:rowOff>
    </xdr:to>
    <xdr:sp macro="" textlink="'Variable Management'!B460">
      <xdr:nvSpPr>
        <xdr:cNvPr id="61" name="Text Box 27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067196" y="2667014"/>
          <a:ext cx="478084" cy="24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r" rtl="0">
            <a:defRPr sz="1000"/>
          </a:pPr>
          <a:fld id="{0DC16DAA-59E9-44C1-A2D2-01ECF4509AE4}" type="TxLink">
            <a:rPr lang="en-US" sz="10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39nF</a:t>
          </a:fld>
          <a:endParaRPr lang="en-US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716970</xdr:colOff>
      <xdr:row>14</xdr:row>
      <xdr:rowOff>56268</xdr:rowOff>
    </xdr:from>
    <xdr:to>
      <xdr:col>8</xdr:col>
      <xdr:colOff>89785</xdr:colOff>
      <xdr:row>15</xdr:row>
      <xdr:rowOff>135004</xdr:rowOff>
    </xdr:to>
    <xdr:sp macro="" textlink="'Variable Management'!B426">
      <xdr:nvSpPr>
        <xdr:cNvPr id="62" name="Text Box 275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298870" y="2323218"/>
          <a:ext cx="449140" cy="2406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ED0F9337-3E5A-436B-8905-45EE6C1A24BF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2µH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980756</xdr:colOff>
      <xdr:row>7</xdr:row>
      <xdr:rowOff>136396</xdr:rowOff>
    </xdr:from>
    <xdr:to>
      <xdr:col>3</xdr:col>
      <xdr:colOff>278958</xdr:colOff>
      <xdr:row>9</xdr:row>
      <xdr:rowOff>33148</xdr:rowOff>
    </xdr:to>
    <xdr:sp macro="" textlink="">
      <xdr:nvSpPr>
        <xdr:cNvPr id="64" name="Text Box 27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>
          <a:spLocks noChangeArrowheads="1"/>
        </xdr:cNvSpPr>
      </xdr:nvSpPr>
      <xdr:spPr bwMode="auto">
        <a:xfrm>
          <a:off x="2971481" y="1269871"/>
          <a:ext cx="374527" cy="220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l-GR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2.2Ω</a:t>
          </a:r>
        </a:p>
      </xdr:txBody>
    </xdr:sp>
    <xdr:clientData/>
  </xdr:twoCellAnchor>
  <xdr:twoCellAnchor>
    <xdr:from>
      <xdr:col>2</xdr:col>
      <xdr:colOff>997828</xdr:colOff>
      <xdr:row>4</xdr:row>
      <xdr:rowOff>118970</xdr:rowOff>
    </xdr:from>
    <xdr:to>
      <xdr:col>3</xdr:col>
      <xdr:colOff>294718</xdr:colOff>
      <xdr:row>6</xdr:row>
      <xdr:rowOff>1420</xdr:rowOff>
    </xdr:to>
    <xdr:sp macro="" textlink="">
      <xdr:nvSpPr>
        <xdr:cNvPr id="65" name="Text Box 278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 txBox="1">
          <a:spLocks noChangeArrowheads="1"/>
        </xdr:cNvSpPr>
      </xdr:nvSpPr>
      <xdr:spPr bwMode="auto">
        <a:xfrm>
          <a:off x="2988553" y="766670"/>
          <a:ext cx="373215" cy="20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0.1µF</a:t>
          </a:r>
        </a:p>
      </xdr:txBody>
    </xdr:sp>
    <xdr:clientData/>
  </xdr:twoCellAnchor>
  <xdr:twoCellAnchor>
    <xdr:from>
      <xdr:col>3</xdr:col>
      <xdr:colOff>869838</xdr:colOff>
      <xdr:row>5</xdr:row>
      <xdr:rowOff>157620</xdr:rowOff>
    </xdr:from>
    <xdr:to>
      <xdr:col>3</xdr:col>
      <xdr:colOff>1237172</xdr:colOff>
      <xdr:row>7</xdr:row>
      <xdr:rowOff>51606</xdr:rowOff>
    </xdr:to>
    <xdr:sp macro="" textlink="">
      <xdr:nvSpPr>
        <xdr:cNvPr id="66" name="Text Box 279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 txBox="1">
          <a:spLocks noChangeArrowheads="1"/>
        </xdr:cNvSpPr>
      </xdr:nvSpPr>
      <xdr:spPr bwMode="auto">
        <a:xfrm>
          <a:off x="3936888" y="967245"/>
          <a:ext cx="367334" cy="217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0.1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554935</xdr:colOff>
      <xdr:row>26</xdr:row>
      <xdr:rowOff>53675</xdr:rowOff>
    </xdr:from>
    <xdr:to>
      <xdr:col>1</xdr:col>
      <xdr:colOff>982330</xdr:colOff>
      <xdr:row>27</xdr:row>
      <xdr:rowOff>107675</xdr:rowOff>
    </xdr:to>
    <xdr:sp macro="" textlink="'Variable Management'!B470">
      <xdr:nvSpPr>
        <xdr:cNvPr id="67" name="Text Box 281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192696" y="4360632"/>
          <a:ext cx="427395" cy="2196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fld id="{77460045-3ADA-4E36-A50B-8C5C548E137C}" type="TxLink">
            <a:rPr lang="en-US" sz="10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ctr" rtl="0">
              <a:defRPr sz="1000"/>
            </a:pPr>
            <a:t>220nF</a:t>
          </a:fld>
          <a:endParaRPr lang="en-US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183342</xdr:colOff>
      <xdr:row>11</xdr:row>
      <xdr:rowOff>45280</xdr:rowOff>
    </xdr:from>
    <xdr:to>
      <xdr:col>7</xdr:col>
      <xdr:colOff>1038225</xdr:colOff>
      <xdr:row>12</xdr:row>
      <xdr:rowOff>122378</xdr:rowOff>
    </xdr:to>
    <xdr:sp macro="" textlink="'Variable Management'!B475">
      <xdr:nvSpPr>
        <xdr:cNvPr id="68" name="Text Box 283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765242" y="1826455"/>
          <a:ext cx="854883" cy="239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CF96CF7C-BD7E-4CCA-B5EE-051D5ECE3C3A}" type="TxLink">
            <a:rPr lang="en-US" sz="1200" b="1" i="0" u="none" strike="noStrike">
              <a:solidFill>
                <a:srgbClr val="FF0000"/>
              </a:solidFill>
              <a:latin typeface="Arial"/>
              <a:cs typeface="Arial"/>
            </a:rPr>
            <a:pPr algn="l" rtl="0">
              <a:defRPr sz="1000"/>
            </a:pPr>
            <a:t>9V...48V</a:t>
          </a:fld>
          <a:endParaRPr lang="en-US" sz="1200" b="1" i="0" strike="noStrike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496011</xdr:colOff>
      <xdr:row>19</xdr:row>
      <xdr:rowOff>38863</xdr:rowOff>
    </xdr:from>
    <xdr:to>
      <xdr:col>1</xdr:col>
      <xdr:colOff>159316</xdr:colOff>
      <xdr:row>20</xdr:row>
      <xdr:rowOff>104749</xdr:rowOff>
    </xdr:to>
    <xdr:sp macro="" textlink="">
      <xdr:nvSpPr>
        <xdr:cNvPr id="69" name="Text Box 251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 txBox="1">
          <a:spLocks noChangeArrowheads="1"/>
        </xdr:cNvSpPr>
      </xdr:nvSpPr>
      <xdr:spPr bwMode="auto">
        <a:xfrm>
          <a:off x="496011" y="3186254"/>
          <a:ext cx="301066" cy="2315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T</a:t>
          </a:r>
        </a:p>
      </xdr:txBody>
    </xdr:sp>
    <xdr:clientData/>
  </xdr:twoCellAnchor>
  <xdr:twoCellAnchor>
    <xdr:from>
      <xdr:col>0</xdr:col>
      <xdr:colOff>377770</xdr:colOff>
      <xdr:row>20</xdr:row>
      <xdr:rowOff>80751</xdr:rowOff>
    </xdr:from>
    <xdr:to>
      <xdr:col>1</xdr:col>
      <xdr:colOff>252241</xdr:colOff>
      <xdr:row>21</xdr:row>
      <xdr:rowOff>137042</xdr:rowOff>
    </xdr:to>
    <xdr:sp macro="" textlink="'Variable Management'!B469">
      <xdr:nvSpPr>
        <xdr:cNvPr id="70" name="Text Box 281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 txBox="1">
          <a:spLocks noChangeArrowheads="1" noTextEdit="1"/>
        </xdr:cNvSpPr>
      </xdr:nvSpPr>
      <xdr:spPr bwMode="auto">
        <a:xfrm>
          <a:off x="377770" y="3393794"/>
          <a:ext cx="512232" cy="221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84EB9262-B954-486D-9975-AAB24967BDAC}" type="TxLink">
            <a:rPr lang="en-US" sz="10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33.2kΩ</a:t>
          </a:fld>
          <a:endParaRPr lang="en-US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796942</xdr:colOff>
      <xdr:row>4</xdr:row>
      <xdr:rowOff>118318</xdr:rowOff>
    </xdr:from>
    <xdr:to>
      <xdr:col>3</xdr:col>
      <xdr:colOff>1286666</xdr:colOff>
      <xdr:row>6</xdr:row>
      <xdr:rowOff>13165</xdr:rowOff>
    </xdr:to>
    <xdr:sp macro="" textlink="">
      <xdr:nvSpPr>
        <xdr:cNvPr id="71" name="Text Box 247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 txBox="1">
          <a:spLocks noChangeArrowheads="1"/>
        </xdr:cNvSpPr>
      </xdr:nvSpPr>
      <xdr:spPr bwMode="auto">
        <a:xfrm>
          <a:off x="3863992" y="766018"/>
          <a:ext cx="489724" cy="2186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BOOT1</a:t>
          </a:r>
        </a:p>
      </xdr:txBody>
    </xdr:sp>
    <xdr:clientData/>
  </xdr:twoCellAnchor>
  <xdr:twoCellAnchor>
    <xdr:from>
      <xdr:col>5</xdr:col>
      <xdr:colOff>76508</xdr:colOff>
      <xdr:row>34</xdr:row>
      <xdr:rowOff>63521</xdr:rowOff>
    </xdr:from>
    <xdr:to>
      <xdr:col>5</xdr:col>
      <xdr:colOff>561776</xdr:colOff>
      <xdr:row>35</xdr:row>
      <xdr:rowOff>131086</xdr:rowOff>
    </xdr:to>
    <xdr:sp macro="" textlink="">
      <xdr:nvSpPr>
        <xdr:cNvPr id="72" name="Text Box 251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5639108" y="5568971"/>
          <a:ext cx="485268" cy="229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PGOOD</a:t>
          </a:r>
        </a:p>
      </xdr:txBody>
    </xdr:sp>
    <xdr:clientData/>
  </xdr:twoCellAnchor>
  <xdr:twoCellAnchor>
    <xdr:from>
      <xdr:col>5</xdr:col>
      <xdr:colOff>138771</xdr:colOff>
      <xdr:row>35</xdr:row>
      <xdr:rowOff>74703</xdr:rowOff>
    </xdr:from>
    <xdr:to>
      <xdr:col>5</xdr:col>
      <xdr:colOff>737568</xdr:colOff>
      <xdr:row>36</xdr:row>
      <xdr:rowOff>137829</xdr:rowOff>
    </xdr:to>
    <xdr:sp macro="" textlink="'Variable Management'!B466">
      <xdr:nvSpPr>
        <xdr:cNvPr id="75" name="Text Box 281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 txBox="1">
          <a:spLocks noChangeArrowheads="1" noTextEdit="1"/>
        </xdr:cNvSpPr>
      </xdr:nvSpPr>
      <xdr:spPr bwMode="auto">
        <a:xfrm>
          <a:off x="5701371" y="5742078"/>
          <a:ext cx="598797" cy="225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2B60B3D7-A35E-42EC-ADCF-A28C0EEDE92A}" type="TxLink">
            <a:rPr lang="en-US" sz="10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20kΩ</a:t>
          </a:fld>
          <a:endParaRPr lang="en-US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660744</xdr:colOff>
      <xdr:row>2</xdr:row>
      <xdr:rowOff>83758</xdr:rowOff>
    </xdr:from>
    <xdr:to>
      <xdr:col>3</xdr:col>
      <xdr:colOff>142704</xdr:colOff>
      <xdr:row>3</xdr:row>
      <xdr:rowOff>137564</xdr:rowOff>
    </xdr:to>
    <xdr:sp macro="" textlink="'Variable Management'!H213">
      <xdr:nvSpPr>
        <xdr:cNvPr id="77" name="Text Box 26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 txBox="1">
          <a:spLocks noChangeArrowheads="1" noTextEdit="1"/>
        </xdr:cNvSpPr>
      </xdr:nvSpPr>
      <xdr:spPr bwMode="auto">
        <a:xfrm>
          <a:off x="2651469" y="407608"/>
          <a:ext cx="558285" cy="2157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123D91BC-1DE9-4CAD-9801-8A70C08E2402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36.5kΩ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742259</xdr:colOff>
      <xdr:row>1</xdr:row>
      <xdr:rowOff>51892</xdr:rowOff>
    </xdr:from>
    <xdr:to>
      <xdr:col>3</xdr:col>
      <xdr:colOff>72733</xdr:colOff>
      <xdr:row>2</xdr:row>
      <xdr:rowOff>84849</xdr:rowOff>
    </xdr:to>
    <xdr:sp macro="" textlink="">
      <xdr:nvSpPr>
        <xdr:cNvPr id="78" name="Text Box 255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 txBox="1">
          <a:spLocks noChangeArrowheads="1"/>
        </xdr:cNvSpPr>
      </xdr:nvSpPr>
      <xdr:spPr bwMode="auto">
        <a:xfrm>
          <a:off x="2732984" y="213817"/>
          <a:ext cx="406799" cy="1948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UV2</a:t>
          </a:r>
        </a:p>
      </xdr:txBody>
    </xdr:sp>
    <xdr:clientData/>
  </xdr:twoCellAnchor>
  <xdr:twoCellAnchor>
    <xdr:from>
      <xdr:col>3</xdr:col>
      <xdr:colOff>767565</xdr:colOff>
      <xdr:row>2</xdr:row>
      <xdr:rowOff>104846</xdr:rowOff>
    </xdr:from>
    <xdr:to>
      <xdr:col>3</xdr:col>
      <xdr:colOff>1320774</xdr:colOff>
      <xdr:row>3</xdr:row>
      <xdr:rowOff>146368</xdr:rowOff>
    </xdr:to>
    <xdr:sp macro="" textlink="'Variable Management'!H212">
      <xdr:nvSpPr>
        <xdr:cNvPr id="79" name="Text Box 264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 txBox="1">
          <a:spLocks noChangeArrowheads="1" noTextEdit="1"/>
        </xdr:cNvSpPr>
      </xdr:nvSpPr>
      <xdr:spPr bwMode="auto">
        <a:xfrm>
          <a:off x="3834615" y="428696"/>
          <a:ext cx="553209" cy="2034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302BC79D-87FA-43D3-B7A3-AC5513B978CE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249kΩ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907336</xdr:colOff>
      <xdr:row>1</xdr:row>
      <xdr:rowOff>55949</xdr:rowOff>
    </xdr:from>
    <xdr:to>
      <xdr:col>3</xdr:col>
      <xdr:colOff>1310539</xdr:colOff>
      <xdr:row>2</xdr:row>
      <xdr:rowOff>90786</xdr:rowOff>
    </xdr:to>
    <xdr:sp macro="" textlink="">
      <xdr:nvSpPr>
        <xdr:cNvPr id="80" name="Text Box 255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 txBox="1">
          <a:spLocks noChangeArrowheads="1"/>
        </xdr:cNvSpPr>
      </xdr:nvSpPr>
      <xdr:spPr bwMode="auto">
        <a:xfrm>
          <a:off x="3974386" y="217874"/>
          <a:ext cx="403203" cy="196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UV1</a:t>
          </a:r>
        </a:p>
      </xdr:txBody>
    </xdr:sp>
    <xdr:clientData/>
  </xdr:twoCellAnchor>
  <xdr:twoCellAnchor>
    <xdr:from>
      <xdr:col>7</xdr:col>
      <xdr:colOff>736760</xdr:colOff>
      <xdr:row>15</xdr:row>
      <xdr:rowOff>71843</xdr:rowOff>
    </xdr:from>
    <xdr:to>
      <xdr:col>8</xdr:col>
      <xdr:colOff>170918</xdr:colOff>
      <xdr:row>16</xdr:row>
      <xdr:rowOff>150126</xdr:rowOff>
    </xdr:to>
    <xdr:sp macro="" textlink="'Variable Management'!B427">
      <xdr:nvSpPr>
        <xdr:cNvPr id="81" name="Text Box 275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318660" y="2500718"/>
          <a:ext cx="510483" cy="2402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8F944446-DDAD-4884-A5E8-09BF985C0BDC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2.29mΩ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4</xdr:col>
      <xdr:colOff>955380</xdr:colOff>
      <xdr:row>37</xdr:row>
      <xdr:rowOff>90714</xdr:rowOff>
    </xdr:from>
    <xdr:to>
      <xdr:col>5</xdr:col>
      <xdr:colOff>134259</xdr:colOff>
      <xdr:row>38</xdr:row>
      <xdr:rowOff>146676</xdr:rowOff>
    </xdr:to>
    <xdr:sp macro="" textlink="">
      <xdr:nvSpPr>
        <xdr:cNvPr id="82" name="Text Box 245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 txBox="1">
          <a:spLocks noChangeArrowheads="1"/>
        </xdr:cNvSpPr>
      </xdr:nvSpPr>
      <xdr:spPr bwMode="auto">
        <a:xfrm>
          <a:off x="5365455" y="6081939"/>
          <a:ext cx="331404" cy="2178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</a:t>
          </a:r>
        </a:p>
      </xdr:txBody>
    </xdr:sp>
    <xdr:clientData/>
  </xdr:twoCellAnchor>
  <xdr:twoCellAnchor>
    <xdr:from>
      <xdr:col>1</xdr:col>
      <xdr:colOff>379931</xdr:colOff>
      <xdr:row>30</xdr:row>
      <xdr:rowOff>84193</xdr:rowOff>
    </xdr:from>
    <xdr:to>
      <xdr:col>1</xdr:col>
      <xdr:colOff>939469</xdr:colOff>
      <xdr:row>31</xdr:row>
      <xdr:rowOff>120656</xdr:rowOff>
    </xdr:to>
    <xdr:sp macro="" textlink="'Variable Management'!B441">
      <xdr:nvSpPr>
        <xdr:cNvPr id="85" name="Text Box 268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018106" y="4941943"/>
          <a:ext cx="559538" cy="1983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fld id="{4B33C4C3-0115-4071-92DE-EA7C9B86DB41}" type="TxLink">
            <a:rPr lang="en-US" sz="10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ctr" rtl="0">
              <a:defRPr sz="1000"/>
            </a:pPr>
            <a:t>6.04kΩ</a:t>
          </a:fld>
          <a:endParaRPr lang="el-GR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6</xdr:col>
      <xdr:colOff>398601</xdr:colOff>
      <xdr:row>14</xdr:row>
      <xdr:rowOff>62329</xdr:rowOff>
    </xdr:from>
    <xdr:to>
      <xdr:col>6</xdr:col>
      <xdr:colOff>586155</xdr:colOff>
      <xdr:row>15</xdr:row>
      <xdr:rowOff>117096</xdr:rowOff>
    </xdr:to>
    <xdr:sp macro="" textlink="">
      <xdr:nvSpPr>
        <xdr:cNvPr id="87" name="Text Box 23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 txBox="1">
          <a:spLocks noChangeArrowheads="1"/>
        </xdr:cNvSpPr>
      </xdr:nvSpPr>
      <xdr:spPr bwMode="auto">
        <a:xfrm>
          <a:off x="7328860" y="2361467"/>
          <a:ext cx="187554" cy="2189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</a:t>
          </a:r>
        </a:p>
      </xdr:txBody>
    </xdr:sp>
    <xdr:clientData/>
  </xdr:twoCellAnchor>
  <xdr:twoCellAnchor>
    <xdr:from>
      <xdr:col>6</xdr:col>
      <xdr:colOff>382198</xdr:colOff>
      <xdr:row>21</xdr:row>
      <xdr:rowOff>60849</xdr:rowOff>
    </xdr:from>
    <xdr:to>
      <xdr:col>6</xdr:col>
      <xdr:colOff>569752</xdr:colOff>
      <xdr:row>22</xdr:row>
      <xdr:rowOff>118648</xdr:rowOff>
    </xdr:to>
    <xdr:sp macro="" textlink="">
      <xdr:nvSpPr>
        <xdr:cNvPr id="88" name="Text Box 234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 txBox="1">
          <a:spLocks noChangeArrowheads="1"/>
        </xdr:cNvSpPr>
      </xdr:nvSpPr>
      <xdr:spPr bwMode="auto">
        <a:xfrm>
          <a:off x="7312457" y="3509556"/>
          <a:ext cx="187554" cy="222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2</a:t>
          </a:r>
        </a:p>
      </xdr:txBody>
    </xdr:sp>
    <xdr:clientData/>
  </xdr:twoCellAnchor>
  <xdr:twoCellAnchor>
    <xdr:from>
      <xdr:col>7</xdr:col>
      <xdr:colOff>236598</xdr:colOff>
      <xdr:row>20</xdr:row>
      <xdr:rowOff>126296</xdr:rowOff>
    </xdr:from>
    <xdr:to>
      <xdr:col>7</xdr:col>
      <xdr:colOff>642752</xdr:colOff>
      <xdr:row>22</xdr:row>
      <xdr:rowOff>11441</xdr:rowOff>
    </xdr:to>
    <xdr:sp macro="" textlink="'Variable Management'!B439">
      <xdr:nvSpPr>
        <xdr:cNvPr id="92" name="Text Box 276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817184" y="3410779"/>
          <a:ext cx="406154" cy="2135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F7819C42-9D73-4A1D-B514-80CDFD54256D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29 x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1246665</xdr:colOff>
      <xdr:row>12</xdr:row>
      <xdr:rowOff>149462</xdr:rowOff>
    </xdr:from>
    <xdr:to>
      <xdr:col>2</xdr:col>
      <xdr:colOff>157529</xdr:colOff>
      <xdr:row>14</xdr:row>
      <xdr:rowOff>35568</xdr:rowOff>
    </xdr:to>
    <xdr:sp macro="" textlink="">
      <xdr:nvSpPr>
        <xdr:cNvPr id="94" name="Text Box 259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 txBox="1">
          <a:spLocks noChangeArrowheads="1"/>
        </xdr:cNvSpPr>
      </xdr:nvSpPr>
      <xdr:spPr bwMode="auto">
        <a:xfrm>
          <a:off x="1884840" y="2092562"/>
          <a:ext cx="263414" cy="2099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U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</a:t>
          </a:r>
        </a:p>
      </xdr:txBody>
    </xdr:sp>
    <xdr:clientData/>
  </xdr:twoCellAnchor>
  <xdr:twoCellAnchor>
    <xdr:from>
      <xdr:col>7</xdr:col>
      <xdr:colOff>1063737</xdr:colOff>
      <xdr:row>21</xdr:row>
      <xdr:rowOff>145566</xdr:rowOff>
    </xdr:from>
    <xdr:to>
      <xdr:col>8</xdr:col>
      <xdr:colOff>391049</xdr:colOff>
      <xdr:row>23</xdr:row>
      <xdr:rowOff>33474</xdr:rowOff>
    </xdr:to>
    <xdr:sp macro="" textlink="'Variable Management'!B434">
      <xdr:nvSpPr>
        <xdr:cNvPr id="95" name="Text Box 276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644323" y="3594273"/>
          <a:ext cx="404623" cy="2163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685D3738-5ABE-4B4E-B06A-00C3820FCB43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22µF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1055995</xdr:colOff>
      <xdr:row>20</xdr:row>
      <xdr:rowOff>136150</xdr:rowOff>
    </xdr:from>
    <xdr:to>
      <xdr:col>8</xdr:col>
      <xdr:colOff>383307</xdr:colOff>
      <xdr:row>22</xdr:row>
      <xdr:rowOff>22694</xdr:rowOff>
    </xdr:to>
    <xdr:sp macro="" textlink="'Variable Management'!B435">
      <xdr:nvSpPr>
        <xdr:cNvPr id="96" name="Text Box 276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636581" y="3420633"/>
          <a:ext cx="404623" cy="2149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55A5E480-A149-4617-A245-D5E398CDA407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45 x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714753</xdr:colOff>
      <xdr:row>24</xdr:row>
      <xdr:rowOff>130910</xdr:rowOff>
    </xdr:from>
    <xdr:to>
      <xdr:col>5</xdr:col>
      <xdr:colOff>1237179</xdr:colOff>
      <xdr:row>26</xdr:row>
      <xdr:rowOff>38166</xdr:rowOff>
    </xdr:to>
    <xdr:sp macro="" textlink="">
      <xdr:nvSpPr>
        <xdr:cNvPr id="93" name="Text Box 248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 txBox="1">
          <a:spLocks noChangeArrowheads="1"/>
        </xdr:cNvSpPr>
      </xdr:nvSpPr>
      <xdr:spPr bwMode="auto">
        <a:xfrm>
          <a:off x="6273271" y="4049767"/>
          <a:ext cx="522426" cy="2338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BOOT2</a:t>
          </a:r>
        </a:p>
      </xdr:txBody>
    </xdr:sp>
    <xdr:clientData/>
  </xdr:twoCellAnchor>
  <xdr:twoCellAnchor>
    <xdr:from>
      <xdr:col>8</xdr:col>
      <xdr:colOff>534347</xdr:colOff>
      <xdr:row>14</xdr:row>
      <xdr:rowOff>72993</xdr:rowOff>
    </xdr:from>
    <xdr:to>
      <xdr:col>8</xdr:col>
      <xdr:colOff>721901</xdr:colOff>
      <xdr:row>15</xdr:row>
      <xdr:rowOff>127760</xdr:rowOff>
    </xdr:to>
    <xdr:sp macro="" textlink="">
      <xdr:nvSpPr>
        <xdr:cNvPr id="97" name="Text Box 23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 txBox="1">
          <a:spLocks noChangeArrowheads="1"/>
        </xdr:cNvSpPr>
      </xdr:nvSpPr>
      <xdr:spPr bwMode="auto">
        <a:xfrm>
          <a:off x="9192244" y="2372131"/>
          <a:ext cx="187554" cy="2189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3</a:t>
          </a:r>
        </a:p>
      </xdr:txBody>
    </xdr:sp>
    <xdr:clientData/>
  </xdr:twoCellAnchor>
  <xdr:twoCellAnchor>
    <xdr:from>
      <xdr:col>8</xdr:col>
      <xdr:colOff>545862</xdr:colOff>
      <xdr:row>21</xdr:row>
      <xdr:rowOff>55234</xdr:rowOff>
    </xdr:from>
    <xdr:to>
      <xdr:col>8</xdr:col>
      <xdr:colOff>733416</xdr:colOff>
      <xdr:row>22</xdr:row>
      <xdr:rowOff>113033</xdr:rowOff>
    </xdr:to>
    <xdr:sp macro="" textlink="">
      <xdr:nvSpPr>
        <xdr:cNvPr id="98" name="Text Box 234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 txBox="1">
          <a:spLocks noChangeArrowheads="1"/>
        </xdr:cNvSpPr>
      </xdr:nvSpPr>
      <xdr:spPr bwMode="auto">
        <a:xfrm>
          <a:off x="9201188" y="3533930"/>
          <a:ext cx="187554" cy="2234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4</a:t>
          </a:r>
        </a:p>
      </xdr:txBody>
    </xdr:sp>
    <xdr:clientData/>
  </xdr:twoCellAnchor>
  <xdr:twoCellAnchor>
    <xdr:from>
      <xdr:col>5</xdr:col>
      <xdr:colOff>770091</xdr:colOff>
      <xdr:row>29</xdr:row>
      <xdr:rowOff>48773</xdr:rowOff>
    </xdr:from>
    <xdr:to>
      <xdr:col>5</xdr:col>
      <xdr:colOff>1136667</xdr:colOff>
      <xdr:row>30</xdr:row>
      <xdr:rowOff>110312</xdr:rowOff>
    </xdr:to>
    <xdr:sp macro="" textlink="">
      <xdr:nvSpPr>
        <xdr:cNvPr id="99" name="Text Box 27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 txBox="1">
          <a:spLocks noChangeArrowheads="1"/>
        </xdr:cNvSpPr>
      </xdr:nvSpPr>
      <xdr:spPr bwMode="auto">
        <a:xfrm>
          <a:off x="6332691" y="4744598"/>
          <a:ext cx="366576" cy="2234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0.1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739057</xdr:colOff>
      <xdr:row>28</xdr:row>
      <xdr:rowOff>10125</xdr:rowOff>
    </xdr:from>
    <xdr:to>
      <xdr:col>5</xdr:col>
      <xdr:colOff>1228023</xdr:colOff>
      <xdr:row>29</xdr:row>
      <xdr:rowOff>64929</xdr:rowOff>
    </xdr:to>
    <xdr:sp macro="" textlink="">
      <xdr:nvSpPr>
        <xdr:cNvPr id="100" name="Text Box 24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 txBox="1">
          <a:spLocks noChangeArrowheads="1"/>
        </xdr:cNvSpPr>
      </xdr:nvSpPr>
      <xdr:spPr bwMode="auto">
        <a:xfrm>
          <a:off x="6301657" y="4544025"/>
          <a:ext cx="488966" cy="216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BOOT2</a:t>
          </a:r>
        </a:p>
      </xdr:txBody>
    </xdr:sp>
    <xdr:clientData/>
  </xdr:twoCellAnchor>
  <xdr:twoCellAnchor>
    <xdr:from>
      <xdr:col>4</xdr:col>
      <xdr:colOff>956346</xdr:colOff>
      <xdr:row>42</xdr:row>
      <xdr:rowOff>10652</xdr:rowOff>
    </xdr:from>
    <xdr:to>
      <xdr:col>5</xdr:col>
      <xdr:colOff>168728</xdr:colOff>
      <xdr:row>43</xdr:row>
      <xdr:rowOff>69644</xdr:rowOff>
    </xdr:to>
    <xdr:sp macro="" textlink="">
      <xdr:nvSpPr>
        <xdr:cNvPr id="101" name="Text Box 245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 txBox="1">
          <a:spLocks noChangeArrowheads="1"/>
        </xdr:cNvSpPr>
      </xdr:nvSpPr>
      <xdr:spPr bwMode="auto">
        <a:xfrm>
          <a:off x="5366421" y="6811502"/>
          <a:ext cx="364907" cy="220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CSG</a:t>
          </a:r>
        </a:p>
      </xdr:txBody>
    </xdr:sp>
    <xdr:clientData/>
  </xdr:twoCellAnchor>
  <xdr:twoCellAnchor>
    <xdr:from>
      <xdr:col>4</xdr:col>
      <xdr:colOff>938047</xdr:colOff>
      <xdr:row>43</xdr:row>
      <xdr:rowOff>43495</xdr:rowOff>
    </xdr:from>
    <xdr:to>
      <xdr:col>5</xdr:col>
      <xdr:colOff>158314</xdr:colOff>
      <xdr:row>44</xdr:row>
      <xdr:rowOff>66371</xdr:rowOff>
    </xdr:to>
    <xdr:sp macro="" textlink="">
      <xdr:nvSpPr>
        <xdr:cNvPr id="103" name="Text Box 277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 txBox="1">
          <a:spLocks noChangeArrowheads="1"/>
        </xdr:cNvSpPr>
      </xdr:nvSpPr>
      <xdr:spPr bwMode="auto">
        <a:xfrm>
          <a:off x="5348122" y="7006270"/>
          <a:ext cx="372792" cy="2229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100</a:t>
          </a:r>
          <a:r>
            <a:rPr lang="el-GR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Ω</a:t>
          </a:r>
        </a:p>
      </xdr:txBody>
    </xdr:sp>
    <xdr:clientData/>
  </xdr:twoCellAnchor>
  <xdr:twoCellAnchor>
    <xdr:from>
      <xdr:col>2</xdr:col>
      <xdr:colOff>127802</xdr:colOff>
      <xdr:row>7</xdr:row>
      <xdr:rowOff>69925</xdr:rowOff>
    </xdr:from>
    <xdr:to>
      <xdr:col>2</xdr:col>
      <xdr:colOff>561808</xdr:colOff>
      <xdr:row>8</xdr:row>
      <xdr:rowOff>143499</xdr:rowOff>
    </xdr:to>
    <xdr:sp macro="" textlink="">
      <xdr:nvSpPr>
        <xdr:cNvPr id="104" name="Text Box 24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 txBox="1">
          <a:spLocks noChangeArrowheads="1"/>
        </xdr:cNvSpPr>
      </xdr:nvSpPr>
      <xdr:spPr bwMode="auto">
        <a:xfrm>
          <a:off x="2118527" y="1203400"/>
          <a:ext cx="434006" cy="235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VIN</a:t>
          </a:r>
        </a:p>
      </xdr:txBody>
    </xdr:sp>
    <xdr:clientData/>
  </xdr:twoCellAnchor>
  <xdr:twoCellAnchor>
    <xdr:from>
      <xdr:col>4</xdr:col>
      <xdr:colOff>903979</xdr:colOff>
      <xdr:row>39</xdr:row>
      <xdr:rowOff>8956</xdr:rowOff>
    </xdr:from>
    <xdr:to>
      <xdr:col>5</xdr:col>
      <xdr:colOff>123188</xdr:colOff>
      <xdr:row>40</xdr:row>
      <xdr:rowOff>72374</xdr:rowOff>
    </xdr:to>
    <xdr:sp macro="" textlink="">
      <xdr:nvSpPr>
        <xdr:cNvPr id="73" name="Text Box 277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 txBox="1">
          <a:spLocks noChangeArrowheads="1"/>
        </xdr:cNvSpPr>
      </xdr:nvSpPr>
      <xdr:spPr bwMode="auto">
        <a:xfrm>
          <a:off x="5314054" y="6324031"/>
          <a:ext cx="371734" cy="2253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100</a:t>
          </a:r>
          <a:r>
            <a:rPr lang="el-GR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Ω</a:t>
          </a:r>
        </a:p>
      </xdr:txBody>
    </xdr:sp>
    <xdr:clientData/>
  </xdr:twoCellAnchor>
  <xdr:twoCellAnchor>
    <xdr:from>
      <xdr:col>3</xdr:col>
      <xdr:colOff>190500</xdr:colOff>
      <xdr:row>22</xdr:row>
      <xdr:rowOff>15240</xdr:rowOff>
    </xdr:from>
    <xdr:to>
      <xdr:col>4</xdr:col>
      <xdr:colOff>38100</xdr:colOff>
      <xdr:row>25</xdr:row>
      <xdr:rowOff>38100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 txBox="1"/>
      </xdr:nvSpPr>
      <xdr:spPr bwMode="auto">
        <a:xfrm>
          <a:off x="3345180" y="3703320"/>
          <a:ext cx="1226820" cy="52578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horzOverflow="clip" wrap="square" lIns="27432" tIns="27432" rIns="0" bIns="0" rtlCol="0" anchor="ctr" upright="1"/>
        <a:lstStyle/>
        <a:p>
          <a:pPr algn="ctr" rtl="0"/>
          <a:r>
            <a:rPr lang="en-US" sz="2000" b="1" i="0" strike="noStrike">
              <a:solidFill>
                <a:srgbClr val="FF0000"/>
              </a:solidFill>
              <a:latin typeface="Calibri"/>
            </a:rPr>
            <a:t>LM5176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152400</xdr:rowOff>
    </xdr:from>
    <xdr:to>
      <xdr:col>1</xdr:col>
      <xdr:colOff>600075</xdr:colOff>
      <xdr:row>2</xdr:row>
      <xdr:rowOff>85676</xdr:rowOff>
    </xdr:to>
    <xdr:pic>
      <xdr:nvPicPr>
        <xdr:cNvPr id="2" name="Picture 1" descr="ti log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"/>
          <a:ext cx="2314575" cy="295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200025</xdr:colOff>
      <xdr:row>0</xdr:row>
      <xdr:rowOff>114300</xdr:rowOff>
    </xdr:from>
    <xdr:ext cx="3752850" cy="3817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914525" y="114300"/>
          <a:ext cx="3752850" cy="3817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n-US" sz="1600">
              <a:latin typeface="Arial Black" panose="020B0A04020102020204" pitchFamily="34" charset="0"/>
            </a:rPr>
            <a:t>About this tool...</a:t>
          </a:r>
        </a:p>
      </xdr:txBody>
    </xdr:sp>
    <xdr:clientData/>
  </xdr:oneCellAnchor>
  <xdr:oneCellAnchor>
    <xdr:from>
      <xdr:col>3</xdr:col>
      <xdr:colOff>323850</xdr:colOff>
      <xdr:row>1</xdr:row>
      <xdr:rowOff>28575</xdr:rowOff>
    </xdr:from>
    <xdr:ext cx="4719497" cy="254557"/>
    <xdr:sp macro="" textlink="">
      <xdr:nvSpPr>
        <xdr:cNvPr id="4" name="Text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6419850" y="209550"/>
          <a:ext cx="4719497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="0" i="0" u="none" strike="noStrike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  <a:hlinkClick xmlns:r="http://schemas.openxmlformats.org/officeDocument/2006/relationships" r:id=""/>
            </a:rPr>
            <a:t>© Copyright 2021</a:t>
          </a:r>
          <a:r>
            <a:rPr lang="en-US" sz="1100" b="0" i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 Texas Instruments Incorporated. All rights reserved.</a:t>
          </a:r>
          <a:endParaRPr lang="en-US" sz="1100" b="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95247</xdr:colOff>
      <xdr:row>6</xdr:row>
      <xdr:rowOff>47623</xdr:rowOff>
    </xdr:from>
    <xdr:ext cx="11229977" cy="418147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95247" y="1114423"/>
          <a:ext cx="11229977" cy="4181477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IMPORTANT NOTICE AND DISCLAIMER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kumimoji="0" lang="en-US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TI PROVIDES TECHNICAL AND RELIABILITY DATA (INCLUDING DATA SHEETS), DESIGN RESOURCES (INCLUDING REFERENCE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DESIGNS), APPLICATION OR OTHER DESIGN ADVICE, WEB TOOLS, SAFETY INFORMATION, AND OTHER RESOURCES “AS IS”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AND WITH ALL FAULTS, AND DISCLAIMS ALL WARRANTIES, EXPRESS AND IMPLIED, INCLUDING WITHOUT LIMITATION ANY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IMPLIED WARRANTIES OF MERCHANTABILITY, FITNESS FOR A PARTICULAR PURPOSE OR NON-INFRINGEMENT OF THIRD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PARTY INTELLECTUAL PROPERTY RIGHTS.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These resources are intended for skilled developers designing with TI products. You are solely responsible for (1) selecting the appropriate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TI products for your application, (2) designing, validating and testing your application, and (3) ensuring your application meets applicable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standards, and any other safety, security, regulatory or other requirements.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These resources are subject to change without notice. TI grants you permission to use these resources only for development of an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application that uses the TI products described in the resource. Other reproduction and display of these resources is prohibited. No license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is granted to any other TI intellectual property right or to any third party intellectual property right. TI disclaims responsibility for, and you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will fully indemnify TI and its representatives against, any claims, damages, costs, losses, and liabilities arising out of your use of these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resources.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TI’s products are provided subject to TI’s Terms of Sale or other applicable terms available either on ti.com or provided in conjunction with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such TI products. TI’s provision of these resources does not expand or otherwise alter TI’s applicable warranties or warranty disclaimers for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TI products.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TI objects to and rejects any additional or different terms you may have proposed. IMPORTANT NOTICE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Mailing Address: Texas Instruments, Post Office Box 655303, Dallas, Texas 75265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Copyright © 2022, Texas Instruments Incorporated</a:t>
          </a:r>
          <a:endParaRPr kumimoji="0" lang="en-US" sz="7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95247</xdr:colOff>
      <xdr:row>30</xdr:row>
      <xdr:rowOff>28575</xdr:rowOff>
    </xdr:from>
    <xdr:ext cx="11229977" cy="64770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95247" y="5438775"/>
          <a:ext cx="11229977" cy="64770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IMPORTANT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   </a:t>
          </a:r>
          <a:endParaRPr lang="en-US" sz="800">
            <a:effectLst/>
          </a:endParaRPr>
        </a:p>
        <a:p>
          <a:r>
            <a:rPr 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1.  Do not delete this worksheet!</a:t>
          </a:r>
          <a:endParaRPr lang="en-US" sz="800">
            <a:effectLst/>
          </a:endParaRPr>
        </a:p>
        <a:p>
          <a:pPr eaLnBrk="1" fontAlgn="auto" latinLnBrk="0" hangingPunct="1"/>
          <a:r>
            <a:rPr 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2.  Redistributions must retain the above copyright and the following disclaimer.</a:t>
          </a:r>
          <a:endParaRPr lang="en-US" sz="800">
            <a:effectLst/>
          </a:endParaRPr>
        </a:p>
        <a:p>
          <a:endParaRPr lang="en-US" sz="800" baseline="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564696</xdr:colOff>
      <xdr:row>107</xdr:row>
      <xdr:rowOff>123652</xdr:rowOff>
    </xdr:from>
    <xdr:to>
      <xdr:col>9</xdr:col>
      <xdr:colOff>564696</xdr:colOff>
      <xdr:row>136</xdr:row>
      <xdr:rowOff>141527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696" y="18125902"/>
          <a:ext cx="5510893" cy="47531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564696</xdr:colOff>
      <xdr:row>137</xdr:row>
      <xdr:rowOff>138794</xdr:rowOff>
    </xdr:from>
    <xdr:to>
      <xdr:col>9</xdr:col>
      <xdr:colOff>564696</xdr:colOff>
      <xdr:row>166</xdr:row>
      <xdr:rowOff>136279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696" y="23039615"/>
          <a:ext cx="5510893" cy="47327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564696</xdr:colOff>
      <xdr:row>34</xdr:row>
      <xdr:rowOff>51297</xdr:rowOff>
    </xdr:from>
    <xdr:to>
      <xdr:col>9</xdr:col>
      <xdr:colOff>540203</xdr:colOff>
      <xdr:row>56</xdr:row>
      <xdr:rowOff>136448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696" y="6133690"/>
          <a:ext cx="5486400" cy="3677437"/>
        </a:xfrm>
        <a:prstGeom prst="rect">
          <a:avLst/>
        </a:prstGeom>
      </xdr:spPr>
    </xdr:pic>
    <xdr:clientData/>
  </xdr:twoCellAnchor>
  <xdr:twoCellAnchor editAs="oneCell">
    <xdr:from>
      <xdr:col>0</xdr:col>
      <xdr:colOff>564696</xdr:colOff>
      <xdr:row>82</xdr:row>
      <xdr:rowOff>128683</xdr:rowOff>
    </xdr:from>
    <xdr:to>
      <xdr:col>9</xdr:col>
      <xdr:colOff>540203</xdr:colOff>
      <xdr:row>106</xdr:row>
      <xdr:rowOff>126387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696" y="14048790"/>
          <a:ext cx="5486400" cy="3916561"/>
        </a:xfrm>
        <a:prstGeom prst="rect">
          <a:avLst/>
        </a:prstGeom>
      </xdr:spPr>
    </xdr:pic>
    <xdr:clientData/>
  </xdr:twoCellAnchor>
  <xdr:twoCellAnchor editAs="oneCell">
    <xdr:from>
      <xdr:col>12</xdr:col>
      <xdr:colOff>63500</xdr:colOff>
      <xdr:row>9</xdr:row>
      <xdr:rowOff>12307</xdr:rowOff>
    </xdr:from>
    <xdr:to>
      <xdr:col>20</xdr:col>
      <xdr:colOff>88900</xdr:colOff>
      <xdr:row>34</xdr:row>
      <xdr:rowOff>139706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84" t="7673" r="5497" b="7948"/>
        <a:stretch/>
      </xdr:blipFill>
      <xdr:spPr>
        <a:xfrm>
          <a:off x="7302500" y="1980807"/>
          <a:ext cx="5486400" cy="4096149"/>
        </a:xfrm>
        <a:prstGeom prst="rect">
          <a:avLst/>
        </a:prstGeom>
      </xdr:spPr>
    </xdr:pic>
    <xdr:clientData/>
  </xdr:twoCellAnchor>
  <xdr:twoCellAnchor editAs="oneCell">
    <xdr:from>
      <xdr:col>12</xdr:col>
      <xdr:colOff>57150</xdr:colOff>
      <xdr:row>35</xdr:row>
      <xdr:rowOff>153607</xdr:rowOff>
    </xdr:from>
    <xdr:to>
      <xdr:col>20</xdr:col>
      <xdr:colOff>63873</xdr:colOff>
      <xdr:row>68</xdr:row>
      <xdr:rowOff>64167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04" t="3892" r="994" b="4124"/>
        <a:stretch/>
      </xdr:blipFill>
      <xdr:spPr>
        <a:xfrm>
          <a:off x="7296150" y="6249607"/>
          <a:ext cx="5467723" cy="5149310"/>
        </a:xfrm>
        <a:prstGeom prst="rect">
          <a:avLst/>
        </a:prstGeom>
      </xdr:spPr>
    </xdr:pic>
    <xdr:clientData/>
  </xdr:twoCellAnchor>
  <xdr:twoCellAnchor editAs="oneCell">
    <xdr:from>
      <xdr:col>12</xdr:col>
      <xdr:colOff>57150</xdr:colOff>
      <xdr:row>69</xdr:row>
      <xdr:rowOff>78068</xdr:rowOff>
    </xdr:from>
    <xdr:to>
      <xdr:col>20</xdr:col>
      <xdr:colOff>63873</xdr:colOff>
      <xdr:row>100</xdr:row>
      <xdr:rowOff>62923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8" t="6200" r="277" b="3403"/>
        <a:stretch/>
      </xdr:blipFill>
      <xdr:spPr>
        <a:xfrm>
          <a:off x="7296150" y="11571568"/>
          <a:ext cx="5467723" cy="4906105"/>
        </a:xfrm>
        <a:prstGeom prst="rect">
          <a:avLst/>
        </a:prstGeom>
      </xdr:spPr>
    </xdr:pic>
    <xdr:clientData/>
  </xdr:twoCellAnchor>
  <xdr:twoCellAnchor editAs="oneCell">
    <xdr:from>
      <xdr:col>22</xdr:col>
      <xdr:colOff>69271</xdr:colOff>
      <xdr:row>9</xdr:row>
      <xdr:rowOff>10102</xdr:rowOff>
    </xdr:from>
    <xdr:to>
      <xdr:col>33</xdr:col>
      <xdr:colOff>259771</xdr:colOff>
      <xdr:row>38</xdr:row>
      <xdr:rowOff>14251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51" t="3176" r="2120" b="4976"/>
        <a:stretch/>
      </xdr:blipFill>
      <xdr:spPr>
        <a:xfrm>
          <a:off x="13975771" y="1978602"/>
          <a:ext cx="6826250" cy="4607899"/>
        </a:xfrm>
        <a:prstGeom prst="rect">
          <a:avLst/>
        </a:prstGeom>
      </xdr:spPr>
    </xdr:pic>
    <xdr:clientData/>
  </xdr:twoCellAnchor>
  <xdr:twoCellAnchor editAs="oneCell">
    <xdr:from>
      <xdr:col>22</xdr:col>
      <xdr:colOff>69271</xdr:colOff>
      <xdr:row>38</xdr:row>
      <xdr:rowOff>153610</xdr:rowOff>
    </xdr:from>
    <xdr:to>
      <xdr:col>33</xdr:col>
      <xdr:colOff>252695</xdr:colOff>
      <xdr:row>68</xdr:row>
      <xdr:rowOff>49701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7" t="10113" r="4940" b="8223"/>
        <a:stretch/>
      </xdr:blipFill>
      <xdr:spPr>
        <a:xfrm>
          <a:off x="13975771" y="6725860"/>
          <a:ext cx="6819174" cy="4658591"/>
        </a:xfrm>
        <a:prstGeom prst="rect">
          <a:avLst/>
        </a:prstGeom>
      </xdr:spPr>
    </xdr:pic>
    <xdr:clientData/>
  </xdr:twoCellAnchor>
  <xdr:twoCellAnchor editAs="oneCell">
    <xdr:from>
      <xdr:col>22</xdr:col>
      <xdr:colOff>69271</xdr:colOff>
      <xdr:row>69</xdr:row>
      <xdr:rowOff>27423</xdr:rowOff>
    </xdr:from>
    <xdr:to>
      <xdr:col>33</xdr:col>
      <xdr:colOff>259771</xdr:colOff>
      <xdr:row>98</xdr:row>
      <xdr:rowOff>109158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2" t="8673" r="3293" b="4723"/>
        <a:stretch/>
      </xdr:blipFill>
      <xdr:spPr>
        <a:xfrm>
          <a:off x="13975771" y="11520923"/>
          <a:ext cx="6826250" cy="4685485"/>
        </a:xfrm>
        <a:prstGeom prst="rect">
          <a:avLst/>
        </a:prstGeom>
      </xdr:spPr>
    </xdr:pic>
    <xdr:clientData/>
  </xdr:twoCellAnchor>
  <xdr:twoCellAnchor editAs="oneCell">
    <xdr:from>
      <xdr:col>0</xdr:col>
      <xdr:colOff>559596</xdr:colOff>
      <xdr:row>9</xdr:row>
      <xdr:rowOff>83343</xdr:rowOff>
    </xdr:from>
    <xdr:to>
      <xdr:col>9</xdr:col>
      <xdr:colOff>500062</xdr:colOff>
      <xdr:row>33</xdr:row>
      <xdr:rowOff>35718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58" t="7197" r="4310" b="7455"/>
        <a:stretch/>
      </xdr:blipFill>
      <xdr:spPr>
        <a:xfrm>
          <a:off x="559596" y="2107406"/>
          <a:ext cx="5405435" cy="3952875"/>
        </a:xfrm>
        <a:prstGeom prst="rect">
          <a:avLst/>
        </a:prstGeom>
      </xdr:spPr>
    </xdr:pic>
    <xdr:clientData/>
  </xdr:twoCellAnchor>
  <xdr:twoCellAnchor editAs="oneCell">
    <xdr:from>
      <xdr:col>0</xdr:col>
      <xdr:colOff>567877</xdr:colOff>
      <xdr:row>58</xdr:row>
      <xdr:rowOff>59530</xdr:rowOff>
    </xdr:from>
    <xdr:to>
      <xdr:col>9</xdr:col>
      <xdr:colOff>521805</xdr:colOff>
      <xdr:row>81</xdr:row>
      <xdr:rowOff>113822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16" t="10975" r="8251" b="10033"/>
        <a:stretch/>
      </xdr:blipFill>
      <xdr:spPr>
        <a:xfrm>
          <a:off x="567877" y="10189160"/>
          <a:ext cx="5470145" cy="386429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809625</xdr:colOff>
      <xdr:row>24</xdr:row>
      <xdr:rowOff>66675</xdr:rowOff>
    </xdr:from>
    <xdr:to>
      <xdr:col>19</xdr:col>
      <xdr:colOff>190500</xdr:colOff>
      <xdr:row>55</xdr:row>
      <xdr:rowOff>0</xdr:rowOff>
    </xdr:to>
    <xdr:grpSp>
      <xdr:nvGrpSpPr>
        <xdr:cNvPr id="2" name="Group 1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>
          <a:grpSpLocks/>
        </xdr:cNvGrpSpPr>
      </xdr:nvGrpSpPr>
      <xdr:grpSpPr bwMode="auto">
        <a:xfrm>
          <a:off x="10896600" y="4181475"/>
          <a:ext cx="6229350" cy="5010150"/>
          <a:chOff x="3209925" y="19650076"/>
          <a:chExt cx="5619750" cy="5910101"/>
        </a:xfrm>
      </xdr:grpSpPr>
      <xdr:pic>
        <xdr:nvPicPr>
          <xdr:cNvPr id="3" name="Picture 11" descr="Error amp - no ref des.tif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3209925" y="19659867"/>
            <a:ext cx="5619750" cy="590031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$A$442">
        <xdr:nvSpPr>
          <xdr:cNvPr id="4" name="Text Box 5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 txBox="1">
            <a:spLocks noChangeArrowheads="1" noTextEdit="1"/>
          </xdr:cNvSpPr>
        </xdr:nvSpPr>
        <xdr:spPr bwMode="auto">
          <a:xfrm>
            <a:off x="5400675" y="23797353"/>
            <a:ext cx="961159" cy="28761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fld id="{646744A9-B6E0-4B97-A665-5D50832E7F13}" type="TxLink">
              <a:rPr lang="en-US" sz="1000" b="1" i="0" u="none" strike="noStrike" baseline="0">
                <a:solidFill>
                  <a:srgbClr val="000000"/>
                </a:solidFill>
                <a:latin typeface="Arialri"/>
                <a:cs typeface="Arial"/>
              </a:rPr>
              <a:pPr algn="l" rtl="0">
                <a:defRPr sz="1000"/>
              </a:pPr>
              <a:t>CC1 = 33nF</a:t>
            </a:fld>
            <a:endParaRPr lang="en-US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#REF!">
        <xdr:nvSpPr>
          <xdr:cNvPr id="5" name="Text Box 6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SpPr txBox="1">
            <a:spLocks noChangeArrowheads="1" noTextEdit="1"/>
          </xdr:cNvSpPr>
        </xdr:nvSpPr>
        <xdr:spPr bwMode="auto">
          <a:xfrm>
            <a:off x="3322493" y="23862299"/>
            <a:ext cx="805295" cy="55668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r" rtl="0">
              <a:defRPr sz="1000"/>
            </a:pPr>
            <a:fld id="{872494E3-3BCB-4B8A-8556-319E6FBD4F6C}" type="TxLink">
              <a:rPr lang="en-US" sz="1000" b="1" i="0" u="none" strike="noStrike" baseline="0">
                <a:solidFill>
                  <a:srgbClr val="000000"/>
                </a:solidFill>
                <a:latin typeface="Arialri"/>
                <a:cs typeface="Arial"/>
              </a:rPr>
              <a:pPr algn="r" rtl="0">
                <a:defRPr sz="1000"/>
              </a:pPr>
              <a:t> </a:t>
            </a:fld>
            <a:endParaRPr lang="en-US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$A$451">
        <xdr:nvSpPr>
          <xdr:cNvPr id="6" name="Text Box 9">
            <a:extLst>
              <a:ext uri="{FF2B5EF4-FFF2-40B4-BE49-F238E27FC236}">
                <a16:creationId xmlns:a16="http://schemas.microsoft.com/office/drawing/2014/main" id="{00000000-0008-0000-0400-000006000000}"/>
              </a:ext>
            </a:extLst>
          </xdr:cNvPr>
          <xdr:cNvSpPr txBox="1">
            <a:spLocks noChangeArrowheads="1" noTextEdit="1"/>
          </xdr:cNvSpPr>
        </xdr:nvSpPr>
        <xdr:spPr bwMode="auto">
          <a:xfrm>
            <a:off x="7539470" y="20865497"/>
            <a:ext cx="909205" cy="52884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r" rtl="0">
              <a:defRPr sz="1000"/>
            </a:pPr>
            <a:fld id="{52D31661-C732-4DB5-B625-AC6B80EEA28C}" type="TxLink">
              <a:rPr lang="en-US" sz="1000" b="1" i="0" u="none" strike="noStrike" baseline="0">
                <a:solidFill>
                  <a:srgbClr val="000000"/>
                </a:solidFill>
                <a:latin typeface="Arialri"/>
                <a:cs typeface="Arial"/>
              </a:rPr>
              <a:pPr algn="r" rtl="0">
                <a:defRPr sz="1000"/>
              </a:pPr>
              <a:t>RFB1 = 310kΩ</a:t>
            </a:fld>
            <a:endParaRPr lang="el-GR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$A$452">
        <xdr:nvSpPr>
          <xdr:cNvPr id="7" name="Text Box 10">
            <a:extLst>
              <a:ext uri="{FF2B5EF4-FFF2-40B4-BE49-F238E27FC236}">
                <a16:creationId xmlns:a16="http://schemas.microsoft.com/office/drawing/2014/main" id="{00000000-0008-0000-0400-000007000000}"/>
              </a:ext>
            </a:extLst>
          </xdr:cNvPr>
          <xdr:cNvSpPr txBox="1">
            <a:spLocks noChangeArrowheads="1" noTextEdit="1"/>
          </xdr:cNvSpPr>
        </xdr:nvSpPr>
        <xdr:spPr bwMode="auto">
          <a:xfrm>
            <a:off x="7565449" y="22257201"/>
            <a:ext cx="917864" cy="3247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r" rtl="0">
              <a:defRPr sz="1000"/>
            </a:pPr>
            <a:fld id="{49F0D989-1BAE-4B3F-9979-B5F5B92776AD}" type="TxLink">
              <a:rPr lang="en-US" sz="1000" b="1" i="0" u="none" strike="noStrike" baseline="0">
                <a:solidFill>
                  <a:srgbClr val="000000"/>
                </a:solidFill>
                <a:latin typeface="Arialri"/>
                <a:cs typeface="Arial"/>
              </a:rPr>
              <a:pPr algn="r" rtl="0">
                <a:defRPr sz="1000"/>
              </a:pPr>
              <a:t>RFB2 = 20.5kΩ</a:t>
            </a:fld>
            <a:endParaRPr lang="el-GR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$A$441">
        <xdr:nvSpPr>
          <xdr:cNvPr id="8" name="Text Box 4">
            <a:extLst>
              <a:ext uri="{FF2B5EF4-FFF2-40B4-BE49-F238E27FC236}">
                <a16:creationId xmlns:a16="http://schemas.microsoft.com/office/drawing/2014/main" id="{00000000-0008-0000-0400-000008000000}"/>
              </a:ext>
            </a:extLst>
          </xdr:cNvPr>
          <xdr:cNvSpPr txBox="1">
            <a:spLocks noChangeArrowheads="1" noTextEdit="1"/>
          </xdr:cNvSpPr>
        </xdr:nvSpPr>
        <xdr:spPr bwMode="auto">
          <a:xfrm>
            <a:off x="5314083" y="22860271"/>
            <a:ext cx="874568" cy="41751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fld id="{899FBA2F-0000-4A1A-AACB-0C4C45759FAE}" type="TxLink">
              <a:rPr lang="en-US" sz="1000" b="1" i="0" u="none" strike="noStrike" baseline="0">
                <a:solidFill>
                  <a:srgbClr val="000000"/>
                </a:solidFill>
                <a:latin typeface="Arialri"/>
                <a:cs typeface="Arial"/>
              </a:rPr>
              <a:pPr algn="l" rtl="0">
                <a:defRPr sz="1000"/>
              </a:pPr>
              <a:t>RC1 = 6.04kΩ</a:t>
            </a:fld>
            <a:endParaRPr lang="el-GR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$A$431">
        <xdr:nvSpPr>
          <xdr:cNvPr id="9" name="Text Box 9">
            <a:extLst>
              <a:ext uri="{FF2B5EF4-FFF2-40B4-BE49-F238E27FC236}">
                <a16:creationId xmlns:a16="http://schemas.microsoft.com/office/drawing/2014/main" id="{00000000-0008-0000-0400-000009000000}"/>
              </a:ext>
            </a:extLst>
          </xdr:cNvPr>
          <xdr:cNvSpPr txBox="1">
            <a:spLocks noChangeArrowheads="1" noTextEdit="1"/>
          </xdr:cNvSpPr>
        </xdr:nvSpPr>
        <xdr:spPr bwMode="auto">
          <a:xfrm>
            <a:off x="7452880" y="19650076"/>
            <a:ext cx="1082386" cy="31545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r" rtl="0">
              <a:defRPr sz="1000"/>
            </a:pPr>
            <a:fld id="{97BF0309-416E-405E-B585-4983CCA02D3E}" type="TxLink">
              <a:rPr lang="en-US" sz="1000" b="1" i="0" u="none" strike="noStrike" baseline="0">
                <a:solidFill>
                  <a:srgbClr val="000000"/>
                </a:solidFill>
                <a:latin typeface="Arialri"/>
                <a:cs typeface="Arial"/>
              </a:rPr>
              <a:pPr algn="r" rtl="0">
                <a:defRPr sz="1000"/>
              </a:pPr>
              <a:t>VOUT = 12.8V</a:t>
            </a:fld>
            <a:endParaRPr lang="el-GR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</xdr:grpSp>
    <xdr:clientData/>
  </xdr:twoCellAnchor>
  <xdr:twoCellAnchor>
    <xdr:from>
      <xdr:col>13</xdr:col>
      <xdr:colOff>66675</xdr:colOff>
      <xdr:row>16</xdr:row>
      <xdr:rowOff>152401</xdr:rowOff>
    </xdr:from>
    <xdr:to>
      <xdr:col>14</xdr:col>
      <xdr:colOff>504825</xdr:colOff>
      <xdr:row>18</xdr:row>
      <xdr:rowOff>95251</xdr:rowOff>
    </xdr:to>
    <xdr:sp macro="" textlink="$A$445">
      <xdr:nvSpPr>
        <xdr:cNvPr id="10" name="Text Box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3173075" y="2647951"/>
          <a:ext cx="9620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DCFBE156-977E-4C45-9B24-0A2E6E91FFAB}" type="TxLink">
            <a:rPr lang="en-US" sz="1000" b="1" i="0" u="none" strike="noStrike" baseline="0">
              <a:solidFill>
                <a:srgbClr val="000000"/>
              </a:solidFill>
              <a:latin typeface="Arialri"/>
              <a:cs typeface="Arial"/>
            </a:rPr>
            <a:pPr algn="r" rtl="0">
              <a:defRPr sz="1000"/>
            </a:pPr>
            <a:t>gm = 1.27mS</a:t>
          </a:fld>
          <a:endParaRPr lang="el-G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13</xdr:col>
      <xdr:colOff>95250</xdr:colOff>
      <xdr:row>21</xdr:row>
      <xdr:rowOff>0</xdr:rowOff>
    </xdr:from>
    <xdr:to>
      <xdr:col>14</xdr:col>
      <xdr:colOff>533400</xdr:colOff>
      <xdr:row>23</xdr:row>
      <xdr:rowOff>104775</xdr:rowOff>
    </xdr:to>
    <xdr:sp macro="" textlink="$A$446">
      <xdr:nvSpPr>
        <xdr:cNvPr id="11" name="Text Box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3201650" y="3267075"/>
          <a:ext cx="9620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4772262A-5BC4-4AF8-A8E2-DF3959B443C1}" type="TxLink">
            <a:rPr lang="en-US" sz="1000" b="1" i="0" u="none" strike="noStrike" baseline="0">
              <a:solidFill>
                <a:srgbClr val="000000"/>
              </a:solidFill>
              <a:latin typeface="Arialri"/>
              <a:cs typeface="Arial"/>
            </a:rPr>
            <a:pPr algn="r" rtl="0">
              <a:defRPr sz="1000"/>
            </a:pPr>
            <a:t>RoEA = 20MΩ</a:t>
          </a:fld>
          <a:endParaRPr lang="el-G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13</xdr:col>
      <xdr:colOff>95250</xdr:colOff>
      <xdr:row>19</xdr:row>
      <xdr:rowOff>0</xdr:rowOff>
    </xdr:from>
    <xdr:to>
      <xdr:col>14</xdr:col>
      <xdr:colOff>533400</xdr:colOff>
      <xdr:row>20</xdr:row>
      <xdr:rowOff>104775</xdr:rowOff>
    </xdr:to>
    <xdr:sp macro="" textlink="$A$447">
      <xdr:nvSpPr>
        <xdr:cNvPr id="12" name="Text Box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3201650" y="2981325"/>
          <a:ext cx="9620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6540ECFD-AAA0-44C8-8BEA-3C65071BF767}" type="TxLink">
            <a:rPr lang="en-US" sz="1000" b="1" i="0" u="none" strike="noStrike" baseline="0">
              <a:solidFill>
                <a:srgbClr val="000000"/>
              </a:solidFill>
              <a:latin typeface="Arialri"/>
              <a:cs typeface="Arial"/>
            </a:rPr>
            <a:pPr algn="r" rtl="0">
              <a:defRPr sz="1000"/>
            </a:pPr>
            <a:t>GBW = 8MHz</a:t>
          </a:fld>
          <a:endParaRPr lang="el-G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2</xdr:col>
      <xdr:colOff>352425</xdr:colOff>
      <xdr:row>35</xdr:row>
      <xdr:rowOff>123825</xdr:rowOff>
    </xdr:from>
    <xdr:to>
      <xdr:col>5</xdr:col>
      <xdr:colOff>361657</xdr:colOff>
      <xdr:row>39</xdr:row>
      <xdr:rowOff>18982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43325" y="5857875"/>
          <a:ext cx="2342857" cy="542857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35</xdr:row>
      <xdr:rowOff>28575</xdr:rowOff>
    </xdr:from>
    <xdr:to>
      <xdr:col>7</xdr:col>
      <xdr:colOff>704662</xdr:colOff>
      <xdr:row>39</xdr:row>
      <xdr:rowOff>18970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62700" y="5762625"/>
          <a:ext cx="1504762" cy="6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361950</xdr:colOff>
      <xdr:row>39</xdr:row>
      <xdr:rowOff>114300</xdr:rowOff>
    </xdr:from>
    <xdr:to>
      <xdr:col>4</xdr:col>
      <xdr:colOff>409374</xdr:colOff>
      <xdr:row>43</xdr:row>
      <xdr:rowOff>9457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52850" y="6496050"/>
          <a:ext cx="1609524" cy="542857"/>
        </a:xfrm>
        <a:prstGeom prst="rect">
          <a:avLst/>
        </a:prstGeom>
      </xdr:spPr>
    </xdr:pic>
    <xdr:clientData/>
  </xdr:twoCellAnchor>
  <xdr:twoCellAnchor editAs="oneCell">
    <xdr:from>
      <xdr:col>4</xdr:col>
      <xdr:colOff>752475</xdr:colOff>
      <xdr:row>39</xdr:row>
      <xdr:rowOff>85725</xdr:rowOff>
    </xdr:from>
    <xdr:to>
      <xdr:col>7</xdr:col>
      <xdr:colOff>1056961</xdr:colOff>
      <xdr:row>42</xdr:row>
      <xdr:rowOff>142807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705475" y="6467475"/>
          <a:ext cx="2514286" cy="54285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8839200</xdr:colOff>
      <xdr:row>5</xdr:row>
      <xdr:rowOff>9525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647700"/>
          <a:ext cx="8839200" cy="5000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8839200</xdr:colOff>
      <xdr:row>8</xdr:row>
      <xdr:rowOff>9525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6229350"/>
          <a:ext cx="8839200" cy="5000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1</xdr:col>
      <xdr:colOff>1741435</xdr:colOff>
      <xdr:row>4</xdr:row>
      <xdr:rowOff>4449692</xdr:rowOff>
    </xdr:from>
    <xdr:to>
      <xdr:col>1</xdr:col>
      <xdr:colOff>2083824</xdr:colOff>
      <xdr:row>4</xdr:row>
      <xdr:rowOff>4711252</xdr:rowOff>
    </xdr:to>
    <xdr:sp macro="" textlink="">
      <xdr:nvSpPr>
        <xdr:cNvPr id="6" name="Text Box 22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2446285" y="5097392"/>
          <a:ext cx="342389" cy="261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FB1</a:t>
          </a:r>
        </a:p>
      </xdr:txBody>
    </xdr:sp>
    <xdr:clientData/>
  </xdr:twoCellAnchor>
  <xdr:twoCellAnchor editAs="absolute">
    <xdr:from>
      <xdr:col>1</xdr:col>
      <xdr:colOff>6856439</xdr:colOff>
      <xdr:row>4</xdr:row>
      <xdr:rowOff>2095432</xdr:rowOff>
    </xdr:from>
    <xdr:to>
      <xdr:col>1</xdr:col>
      <xdr:colOff>7240372</xdr:colOff>
      <xdr:row>4</xdr:row>
      <xdr:rowOff>2323782</xdr:rowOff>
    </xdr:to>
    <xdr:sp macro="" textlink="">
      <xdr:nvSpPr>
        <xdr:cNvPr id="7" name="Text Box 228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7561289" y="2743132"/>
          <a:ext cx="383933" cy="228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OUT</a:t>
          </a:r>
        </a:p>
      </xdr:txBody>
    </xdr:sp>
    <xdr:clientData/>
  </xdr:twoCellAnchor>
  <xdr:twoCellAnchor editAs="absolute">
    <xdr:from>
      <xdr:col>1</xdr:col>
      <xdr:colOff>7914727</xdr:colOff>
      <xdr:row>4</xdr:row>
      <xdr:rowOff>985582</xdr:rowOff>
    </xdr:from>
    <xdr:to>
      <xdr:col>1</xdr:col>
      <xdr:colOff>8390563</xdr:colOff>
      <xdr:row>4</xdr:row>
      <xdr:rowOff>1229566</xdr:rowOff>
    </xdr:to>
    <xdr:sp macro="" textlink="">
      <xdr:nvSpPr>
        <xdr:cNvPr id="8" name="Text Box 231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8619577" y="1633282"/>
          <a:ext cx="475836" cy="2439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CS(out)</a:t>
          </a:r>
        </a:p>
      </xdr:txBody>
    </xdr:sp>
    <xdr:clientData/>
  </xdr:twoCellAnchor>
  <xdr:twoCellAnchor editAs="absolute">
    <xdr:from>
      <xdr:col>1</xdr:col>
      <xdr:colOff>3248284</xdr:colOff>
      <xdr:row>4</xdr:row>
      <xdr:rowOff>4341824</xdr:rowOff>
    </xdr:from>
    <xdr:to>
      <xdr:col>1</xdr:col>
      <xdr:colOff>3522445</xdr:colOff>
      <xdr:row>4</xdr:row>
      <xdr:rowOff>4590206</xdr:rowOff>
    </xdr:to>
    <xdr:sp macro="" textlink="">
      <xdr:nvSpPr>
        <xdr:cNvPr id="9" name="Text Box 233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>
          <a:spLocks noChangeArrowheads="1"/>
        </xdr:cNvSpPr>
      </xdr:nvSpPr>
      <xdr:spPr bwMode="auto">
        <a:xfrm>
          <a:off x="3953134" y="4989524"/>
          <a:ext cx="274161" cy="2483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</a:t>
          </a:r>
        </a:p>
      </xdr:txBody>
    </xdr:sp>
    <xdr:clientData/>
  </xdr:twoCellAnchor>
  <xdr:twoCellAnchor editAs="absolute">
    <xdr:from>
      <xdr:col>1</xdr:col>
      <xdr:colOff>6888908</xdr:colOff>
      <xdr:row>4</xdr:row>
      <xdr:rowOff>2971350</xdr:rowOff>
    </xdr:from>
    <xdr:to>
      <xdr:col>1</xdr:col>
      <xdr:colOff>7132769</xdr:colOff>
      <xdr:row>4</xdr:row>
      <xdr:rowOff>3192646</xdr:rowOff>
    </xdr:to>
    <xdr:sp macro="" textlink="">
      <xdr:nvSpPr>
        <xdr:cNvPr id="10" name="Text Box 23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7593758" y="3619050"/>
          <a:ext cx="243861" cy="221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</a:t>
          </a:r>
        </a:p>
      </xdr:txBody>
    </xdr:sp>
    <xdr:clientData/>
  </xdr:twoCellAnchor>
  <xdr:twoCellAnchor editAs="absolute">
    <xdr:from>
      <xdr:col>1</xdr:col>
      <xdr:colOff>6587606</xdr:colOff>
      <xdr:row>4</xdr:row>
      <xdr:rowOff>1269925</xdr:rowOff>
    </xdr:from>
    <xdr:to>
      <xdr:col>1</xdr:col>
      <xdr:colOff>6927606</xdr:colOff>
      <xdr:row>4</xdr:row>
      <xdr:rowOff>1547630</xdr:rowOff>
    </xdr:to>
    <xdr:sp macro="" textlink="">
      <xdr:nvSpPr>
        <xdr:cNvPr id="11" name="Text Box 235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7292456" y="1917625"/>
          <a:ext cx="340000" cy="277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</a:t>
          </a:r>
        </a:p>
      </xdr:txBody>
    </xdr:sp>
    <xdr:clientData/>
  </xdr:twoCellAnchor>
  <xdr:twoCellAnchor editAs="absolute">
    <xdr:from>
      <xdr:col>1</xdr:col>
      <xdr:colOff>3618738</xdr:colOff>
      <xdr:row>4</xdr:row>
      <xdr:rowOff>4540413</xdr:rowOff>
    </xdr:from>
    <xdr:to>
      <xdr:col>1</xdr:col>
      <xdr:colOff>4025437</xdr:colOff>
      <xdr:row>4</xdr:row>
      <xdr:rowOff>4788337</xdr:rowOff>
    </xdr:to>
    <xdr:sp macro="" textlink="">
      <xdr:nvSpPr>
        <xdr:cNvPr id="12" name="Text Box 243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>
          <a:spLocks noChangeArrowheads="1"/>
        </xdr:cNvSpPr>
      </xdr:nvSpPr>
      <xdr:spPr bwMode="auto">
        <a:xfrm>
          <a:off x="4323588" y="5188113"/>
          <a:ext cx="406699" cy="2479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100pF</a:t>
          </a:r>
        </a:p>
      </xdr:txBody>
    </xdr:sp>
    <xdr:clientData/>
  </xdr:twoCellAnchor>
  <xdr:twoCellAnchor editAs="absolute">
    <xdr:from>
      <xdr:col>1</xdr:col>
      <xdr:colOff>6345478</xdr:colOff>
      <xdr:row>4</xdr:row>
      <xdr:rowOff>2121792</xdr:rowOff>
    </xdr:from>
    <xdr:to>
      <xdr:col>1</xdr:col>
      <xdr:colOff>6670916</xdr:colOff>
      <xdr:row>4</xdr:row>
      <xdr:rowOff>2348038</xdr:rowOff>
    </xdr:to>
    <xdr:sp macro="" textlink="">
      <xdr:nvSpPr>
        <xdr:cNvPr id="13" name="Text Box 244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>
          <a:spLocks noChangeArrowheads="1"/>
        </xdr:cNvSpPr>
      </xdr:nvSpPr>
      <xdr:spPr bwMode="auto">
        <a:xfrm>
          <a:off x="7050328" y="2769492"/>
          <a:ext cx="325438" cy="226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IN</a:t>
          </a:r>
        </a:p>
      </xdr:txBody>
    </xdr:sp>
    <xdr:clientData/>
  </xdr:twoCellAnchor>
  <xdr:twoCellAnchor editAs="absolute">
    <xdr:from>
      <xdr:col>1</xdr:col>
      <xdr:colOff>3985001</xdr:colOff>
      <xdr:row>4</xdr:row>
      <xdr:rowOff>69606</xdr:rowOff>
    </xdr:from>
    <xdr:to>
      <xdr:col>1</xdr:col>
      <xdr:colOff>4393844</xdr:colOff>
      <xdr:row>4</xdr:row>
      <xdr:rowOff>311250</xdr:rowOff>
    </xdr:to>
    <xdr:sp macro="" textlink="">
      <xdr:nvSpPr>
        <xdr:cNvPr id="14" name="Text Box 24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>
          <a:spLocks noChangeArrowheads="1"/>
        </xdr:cNvSpPr>
      </xdr:nvSpPr>
      <xdr:spPr bwMode="auto">
        <a:xfrm>
          <a:off x="4689851" y="717306"/>
          <a:ext cx="408843" cy="2416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BOOT1</a:t>
          </a:r>
        </a:p>
      </xdr:txBody>
    </xdr:sp>
    <xdr:clientData/>
  </xdr:twoCellAnchor>
  <xdr:twoCellAnchor editAs="absolute">
    <xdr:from>
      <xdr:col>1</xdr:col>
      <xdr:colOff>5069341</xdr:colOff>
      <xdr:row>4</xdr:row>
      <xdr:rowOff>2108325</xdr:rowOff>
    </xdr:from>
    <xdr:to>
      <xdr:col>1</xdr:col>
      <xdr:colOff>5444036</xdr:colOff>
      <xdr:row>4</xdr:row>
      <xdr:rowOff>2358596</xdr:rowOff>
    </xdr:to>
    <xdr:sp macro="" textlink="">
      <xdr:nvSpPr>
        <xdr:cNvPr id="15" name="Text Box 24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 noChangeArrowheads="1"/>
        </xdr:cNvSpPr>
      </xdr:nvSpPr>
      <xdr:spPr bwMode="auto">
        <a:xfrm>
          <a:off x="5774191" y="2756025"/>
          <a:ext cx="374695" cy="2502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VCC</a:t>
          </a:r>
        </a:p>
      </xdr:txBody>
    </xdr:sp>
    <xdr:clientData/>
  </xdr:twoCellAnchor>
  <xdr:twoCellAnchor editAs="absolute">
    <xdr:from>
      <xdr:col>1</xdr:col>
      <xdr:colOff>4599220</xdr:colOff>
      <xdr:row>4</xdr:row>
      <xdr:rowOff>4171631</xdr:rowOff>
    </xdr:from>
    <xdr:to>
      <xdr:col>1</xdr:col>
      <xdr:colOff>4910059</xdr:colOff>
      <xdr:row>4</xdr:row>
      <xdr:rowOff>4403721</xdr:rowOff>
    </xdr:to>
    <xdr:sp macro="" textlink="">
      <xdr:nvSpPr>
        <xdr:cNvPr id="16" name="Text Box 250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>
          <a:spLocks noChangeArrowheads="1"/>
        </xdr:cNvSpPr>
      </xdr:nvSpPr>
      <xdr:spPr bwMode="auto">
        <a:xfrm>
          <a:off x="5304070" y="4819331"/>
          <a:ext cx="310839" cy="232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CS1</a:t>
          </a:r>
        </a:p>
        <a:p>
          <a:pPr algn="l" rtl="0">
            <a:defRPr sz="1000"/>
          </a:pP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ood</a:t>
          </a:r>
        </a:p>
      </xdr:txBody>
    </xdr:sp>
    <xdr:clientData/>
  </xdr:twoCellAnchor>
  <xdr:twoCellAnchor editAs="absolute">
    <xdr:from>
      <xdr:col>1</xdr:col>
      <xdr:colOff>1023436</xdr:colOff>
      <xdr:row>4</xdr:row>
      <xdr:rowOff>2749110</xdr:rowOff>
    </xdr:from>
    <xdr:to>
      <xdr:col>1</xdr:col>
      <xdr:colOff>1350592</xdr:colOff>
      <xdr:row>4</xdr:row>
      <xdr:rowOff>3004734</xdr:rowOff>
    </xdr:to>
    <xdr:sp macro="" textlink="">
      <xdr:nvSpPr>
        <xdr:cNvPr id="17" name="Text Box 251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>
          <a:spLocks noChangeArrowheads="1"/>
        </xdr:cNvSpPr>
      </xdr:nvSpPr>
      <xdr:spPr bwMode="auto">
        <a:xfrm>
          <a:off x="1728286" y="3396810"/>
          <a:ext cx="327156" cy="2556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SS</a:t>
          </a:r>
        </a:p>
      </xdr:txBody>
    </xdr:sp>
    <xdr:clientData/>
  </xdr:twoCellAnchor>
  <xdr:twoCellAnchor editAs="absolute">
    <xdr:from>
      <xdr:col>1</xdr:col>
      <xdr:colOff>781911</xdr:colOff>
      <xdr:row>4</xdr:row>
      <xdr:rowOff>4088695</xdr:rowOff>
    </xdr:from>
    <xdr:to>
      <xdr:col>1</xdr:col>
      <xdr:colOff>1177488</xdr:colOff>
      <xdr:row>4</xdr:row>
      <xdr:rowOff>4289572</xdr:rowOff>
    </xdr:to>
    <xdr:sp macro="" textlink="">
      <xdr:nvSpPr>
        <xdr:cNvPr id="19" name="Text Box 255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>
          <a:spLocks noChangeArrowheads="1"/>
        </xdr:cNvSpPr>
      </xdr:nvSpPr>
      <xdr:spPr bwMode="auto">
        <a:xfrm>
          <a:off x="1486761" y="4736395"/>
          <a:ext cx="395577" cy="2008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FB2</a:t>
          </a:r>
        </a:p>
      </xdr:txBody>
    </xdr:sp>
    <xdr:clientData/>
  </xdr:twoCellAnchor>
  <xdr:twoCellAnchor editAs="absolute">
    <xdr:from>
      <xdr:col>1</xdr:col>
      <xdr:colOff>141951</xdr:colOff>
      <xdr:row>4</xdr:row>
      <xdr:rowOff>3374489</xdr:rowOff>
    </xdr:from>
    <xdr:to>
      <xdr:col>1</xdr:col>
      <xdr:colOff>384920</xdr:colOff>
      <xdr:row>4</xdr:row>
      <xdr:rowOff>3588894</xdr:rowOff>
    </xdr:to>
    <xdr:sp macro="" textlink="">
      <xdr:nvSpPr>
        <xdr:cNvPr id="20" name="Text Box 256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>
          <a:spLocks noChangeArrowheads="1"/>
        </xdr:cNvSpPr>
      </xdr:nvSpPr>
      <xdr:spPr bwMode="auto">
        <a:xfrm>
          <a:off x="846801" y="4022189"/>
          <a:ext cx="242969" cy="2144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C2</a:t>
          </a:r>
        </a:p>
      </xdr:txBody>
    </xdr:sp>
    <xdr:clientData/>
  </xdr:twoCellAnchor>
  <xdr:twoCellAnchor editAs="absolute">
    <xdr:from>
      <xdr:col>1</xdr:col>
      <xdr:colOff>896117</xdr:colOff>
      <xdr:row>4</xdr:row>
      <xdr:rowOff>3616323</xdr:rowOff>
    </xdr:from>
    <xdr:to>
      <xdr:col>1</xdr:col>
      <xdr:colOff>1211687</xdr:colOff>
      <xdr:row>4</xdr:row>
      <xdr:rowOff>3860361</xdr:rowOff>
    </xdr:to>
    <xdr:sp macro="" textlink="">
      <xdr:nvSpPr>
        <xdr:cNvPr id="21" name="Text Box 257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 txBox="1">
          <a:spLocks noChangeArrowheads="1"/>
        </xdr:cNvSpPr>
      </xdr:nvSpPr>
      <xdr:spPr bwMode="auto">
        <a:xfrm>
          <a:off x="1600967" y="4264023"/>
          <a:ext cx="315570" cy="2440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C1</a:t>
          </a:r>
        </a:p>
      </xdr:txBody>
    </xdr:sp>
    <xdr:clientData/>
  </xdr:twoCellAnchor>
  <xdr:twoCellAnchor editAs="absolute">
    <xdr:from>
      <xdr:col>1</xdr:col>
      <xdr:colOff>853558</xdr:colOff>
      <xdr:row>4</xdr:row>
      <xdr:rowOff>3233968</xdr:rowOff>
    </xdr:from>
    <xdr:to>
      <xdr:col>1</xdr:col>
      <xdr:colOff>1162413</xdr:colOff>
      <xdr:row>4</xdr:row>
      <xdr:rowOff>3477474</xdr:rowOff>
    </xdr:to>
    <xdr:sp macro="" textlink="">
      <xdr:nvSpPr>
        <xdr:cNvPr id="22" name="Text Box 258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 bwMode="auto">
        <a:xfrm>
          <a:off x="1558408" y="3881668"/>
          <a:ext cx="308855" cy="2435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u="none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</a:p>
      </xdr:txBody>
    </xdr:sp>
    <xdr:clientData/>
  </xdr:twoCellAnchor>
  <xdr:twoCellAnchor editAs="absolute">
    <xdr:from>
      <xdr:col>1</xdr:col>
      <xdr:colOff>9479</xdr:colOff>
      <xdr:row>4</xdr:row>
      <xdr:rowOff>2563366</xdr:rowOff>
    </xdr:from>
    <xdr:to>
      <xdr:col>1</xdr:col>
      <xdr:colOff>693342</xdr:colOff>
      <xdr:row>4</xdr:row>
      <xdr:rowOff>2808011</xdr:rowOff>
    </xdr:to>
    <xdr:sp macro="" textlink="'Variable Management'!B471">
      <xdr:nvSpPr>
        <xdr:cNvPr id="23" name="Text Box 261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14329" y="3211066"/>
          <a:ext cx="683863" cy="244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B50E25BC-E8CF-448B-A92C-74321B73BB8B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220pF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0</xdr:col>
      <xdr:colOff>657225</xdr:colOff>
      <xdr:row>4</xdr:row>
      <xdr:rowOff>3643067</xdr:rowOff>
    </xdr:from>
    <xdr:to>
      <xdr:col>1</xdr:col>
      <xdr:colOff>372581</xdr:colOff>
      <xdr:row>4</xdr:row>
      <xdr:rowOff>3918625</xdr:rowOff>
    </xdr:to>
    <xdr:sp macro="" textlink="'Variable Management'!B443">
      <xdr:nvSpPr>
        <xdr:cNvPr id="24" name="Text Box 262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 txBox="1">
          <a:spLocks noChangeArrowheads="1" noTextEdit="1"/>
        </xdr:cNvSpPr>
      </xdr:nvSpPr>
      <xdr:spPr bwMode="auto">
        <a:xfrm>
          <a:off x="657225" y="4290767"/>
          <a:ext cx="420206" cy="2755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r" rtl="0">
            <a:defRPr sz="1000"/>
          </a:pPr>
          <a:fld id="{2D8520E2-C481-4B17-83BA-3FA209B7A03A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1200pF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815405</xdr:colOff>
      <xdr:row>4</xdr:row>
      <xdr:rowOff>3430362</xdr:rowOff>
    </xdr:from>
    <xdr:to>
      <xdr:col>1</xdr:col>
      <xdr:colOff>1274852</xdr:colOff>
      <xdr:row>4</xdr:row>
      <xdr:rowOff>3673901</xdr:rowOff>
    </xdr:to>
    <xdr:sp macro="" textlink="'Variable Management'!B441">
      <xdr:nvSpPr>
        <xdr:cNvPr id="25" name="Text Box 263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520255" y="4078062"/>
          <a:ext cx="459447" cy="243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EDB14F34-7391-4353-9626-FAE030CE211F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6.04kΩ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720709</xdr:colOff>
      <xdr:row>4</xdr:row>
      <xdr:rowOff>4291195</xdr:rowOff>
    </xdr:from>
    <xdr:to>
      <xdr:col>1</xdr:col>
      <xdr:colOff>1235548</xdr:colOff>
      <xdr:row>4</xdr:row>
      <xdr:rowOff>4465831</xdr:rowOff>
    </xdr:to>
    <xdr:sp macro="" textlink="'Variable Management'!B452">
      <xdr:nvSpPr>
        <xdr:cNvPr id="26" name="Text Box 264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425559" y="4938895"/>
          <a:ext cx="514839" cy="1746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r" rtl="0">
            <a:defRPr sz="1000"/>
          </a:pPr>
          <a:fld id="{4143709D-01BC-4A19-AF00-5C62DAE21E0B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20.5kΩ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35144</xdr:colOff>
      <xdr:row>4</xdr:row>
      <xdr:rowOff>2143786</xdr:rowOff>
    </xdr:from>
    <xdr:to>
      <xdr:col>1</xdr:col>
      <xdr:colOff>715810</xdr:colOff>
      <xdr:row>4</xdr:row>
      <xdr:rowOff>2403758</xdr:rowOff>
    </xdr:to>
    <xdr:sp macro="" textlink="'Variable Management'!B469">
      <xdr:nvSpPr>
        <xdr:cNvPr id="27" name="Text Box 265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39994" y="2791486"/>
          <a:ext cx="680666" cy="2599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30247B59-D142-4194-9028-13C083D6194C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33.2kΩ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648746</xdr:colOff>
      <xdr:row>4</xdr:row>
      <xdr:rowOff>1677960</xdr:rowOff>
    </xdr:from>
    <xdr:to>
      <xdr:col>1</xdr:col>
      <xdr:colOff>1135349</xdr:colOff>
      <xdr:row>4</xdr:row>
      <xdr:rowOff>1863090</xdr:rowOff>
    </xdr:to>
    <xdr:sp macro="" textlink="'Variable Management'!B450">
      <xdr:nvSpPr>
        <xdr:cNvPr id="28" name="Text Box 266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353596" y="2325660"/>
          <a:ext cx="486603" cy="185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F0D4FEFA-1BCB-42BA-B0A4-AAEA1128161F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 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6802438</xdr:colOff>
      <xdr:row>4</xdr:row>
      <xdr:rowOff>2314832</xdr:rowOff>
    </xdr:from>
    <xdr:to>
      <xdr:col>1</xdr:col>
      <xdr:colOff>7303337</xdr:colOff>
      <xdr:row>4</xdr:row>
      <xdr:rowOff>2523970</xdr:rowOff>
    </xdr:to>
    <xdr:sp macro="" textlink="'Variable Management'!B433">
      <xdr:nvSpPr>
        <xdr:cNvPr id="29" name="Text Box 267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507288" y="2962532"/>
          <a:ext cx="500899" cy="2091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fld id="{DEF62FD0-959B-4627-B7E8-61CA1688D174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ctr" rtl="0">
              <a:defRPr sz="1000"/>
            </a:pPr>
            <a:t>990µF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1750147</xdr:colOff>
      <xdr:row>4</xdr:row>
      <xdr:rowOff>4625275</xdr:rowOff>
    </xdr:from>
    <xdr:to>
      <xdr:col>1</xdr:col>
      <xdr:colOff>2273580</xdr:colOff>
      <xdr:row>4</xdr:row>
      <xdr:rowOff>4918364</xdr:rowOff>
    </xdr:to>
    <xdr:sp macro="" textlink="'Variable Management'!B451">
      <xdr:nvSpPr>
        <xdr:cNvPr id="30" name="Text Box 268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 txBox="1">
          <a:spLocks noChangeArrowheads="1" noTextEdit="1"/>
        </xdr:cNvSpPr>
      </xdr:nvSpPr>
      <xdr:spPr bwMode="auto">
        <a:xfrm>
          <a:off x="2454997" y="5272975"/>
          <a:ext cx="523433" cy="2930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DE4FB3C5-779F-4472-8885-3DB2A25A3AD8}" type="TxLink">
            <a:rPr lang="en-US" sz="10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310kΩ</a:t>
          </a:fld>
          <a:endParaRPr lang="el-GR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7863577</xdr:colOff>
      <xdr:row>4</xdr:row>
      <xdr:rowOff>1170730</xdr:rowOff>
    </xdr:from>
    <xdr:to>
      <xdr:col>1</xdr:col>
      <xdr:colOff>8405722</xdr:colOff>
      <xdr:row>4</xdr:row>
      <xdr:rowOff>1375908</xdr:rowOff>
    </xdr:to>
    <xdr:sp macro="" textlink="'Variable Management'!B464">
      <xdr:nvSpPr>
        <xdr:cNvPr id="31" name="Text Box 274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568427" y="1818430"/>
          <a:ext cx="542145" cy="2051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fld id="{14CFEDF3-9A5F-4A24-9D5F-304E5DC1B6C6}" type="TxLink">
            <a:rPr lang="en-US" sz="10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ctr" rtl="0">
              <a:defRPr sz="1000"/>
            </a:pPr>
            <a:t>#VALUE!</a:t>
          </a:fld>
          <a:endParaRPr lang="en-US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6539066</xdr:colOff>
      <xdr:row>4</xdr:row>
      <xdr:rowOff>1499397</xdr:rowOff>
    </xdr:from>
    <xdr:to>
      <xdr:col>1</xdr:col>
      <xdr:colOff>6987309</xdr:colOff>
      <xdr:row>4</xdr:row>
      <xdr:rowOff>1708490</xdr:rowOff>
    </xdr:to>
    <xdr:sp macro="" textlink="'Variable Management'!B426">
      <xdr:nvSpPr>
        <xdr:cNvPr id="32" name="Text Box 275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243916" y="2147097"/>
          <a:ext cx="448243" cy="2090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fld id="{08583DE7-3129-476B-98BE-2887A134E956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ctr" rtl="0">
              <a:defRPr sz="1000"/>
            </a:pPr>
            <a:t>2µH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6311714</xdr:colOff>
      <xdr:row>4</xdr:row>
      <xdr:rowOff>2301177</xdr:rowOff>
    </xdr:from>
    <xdr:to>
      <xdr:col>1</xdr:col>
      <xdr:colOff>6784061</xdr:colOff>
      <xdr:row>4</xdr:row>
      <xdr:rowOff>2524893</xdr:rowOff>
    </xdr:to>
    <xdr:sp macro="" textlink="'Variable Management'!B437">
      <xdr:nvSpPr>
        <xdr:cNvPr id="33" name="Text Box 276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016564" y="2948877"/>
          <a:ext cx="472347" cy="2237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7E8F3901-1453-4951-8E28-510E65401D4C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290µF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3505332</xdr:colOff>
      <xdr:row>4</xdr:row>
      <xdr:rowOff>145674</xdr:rowOff>
    </xdr:from>
    <xdr:to>
      <xdr:col>1</xdr:col>
      <xdr:colOff>3874809</xdr:colOff>
      <xdr:row>4</xdr:row>
      <xdr:rowOff>381789</xdr:rowOff>
    </xdr:to>
    <xdr:sp macro="" textlink="">
      <xdr:nvSpPr>
        <xdr:cNvPr id="34" name="Text Box 279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 txBox="1">
          <a:spLocks noChangeArrowheads="1"/>
        </xdr:cNvSpPr>
      </xdr:nvSpPr>
      <xdr:spPr bwMode="auto">
        <a:xfrm>
          <a:off x="4210182" y="793374"/>
          <a:ext cx="369477" cy="23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0.1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1006694</xdr:colOff>
      <xdr:row>4</xdr:row>
      <xdr:rowOff>2949980</xdr:rowOff>
    </xdr:from>
    <xdr:to>
      <xdr:col>1</xdr:col>
      <xdr:colOff>1444337</xdr:colOff>
      <xdr:row>4</xdr:row>
      <xdr:rowOff>3184830</xdr:rowOff>
    </xdr:to>
    <xdr:sp macro="" textlink="'Variable Management'!B470">
      <xdr:nvSpPr>
        <xdr:cNvPr id="35" name="Text Box 281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711544" y="3597680"/>
          <a:ext cx="437643" cy="23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77460045-3ADA-4E36-A50B-8C5C548E137C}" type="TxLink">
            <a:rPr lang="en-US" sz="10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220nF</a:t>
          </a:fld>
          <a:endParaRPr lang="en-US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8287206</xdr:colOff>
      <xdr:row>4</xdr:row>
      <xdr:rowOff>976516</xdr:rowOff>
    </xdr:from>
    <xdr:to>
      <xdr:col>1</xdr:col>
      <xdr:colOff>8765869</xdr:colOff>
      <xdr:row>4</xdr:row>
      <xdr:rowOff>1221128</xdr:rowOff>
    </xdr:to>
    <xdr:sp macro="" textlink="'Variable Management'!B431">
      <xdr:nvSpPr>
        <xdr:cNvPr id="36" name="Text Box 285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992056" y="1624216"/>
          <a:ext cx="478663" cy="2446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r" rtl="0">
            <a:defRPr sz="1000"/>
          </a:pPr>
          <a:fld id="{702C2B8A-7C4B-4FDB-B229-3170089D9686}" type="TxLink">
            <a:rPr lang="en-US" sz="1200" b="1" i="0" u="none" strike="noStrike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12.8V</a:t>
          </a:fld>
          <a:endParaRPr lang="en-US" sz="1200" b="1" i="0" u="none" strike="noStrike" baseline="0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8272196</xdr:colOff>
      <xdr:row>4</xdr:row>
      <xdr:rowOff>1205517</xdr:rowOff>
    </xdr:from>
    <xdr:to>
      <xdr:col>1</xdr:col>
      <xdr:colOff>8725233</xdr:colOff>
      <xdr:row>4</xdr:row>
      <xdr:rowOff>1448071</xdr:rowOff>
    </xdr:to>
    <xdr:sp macro="" textlink="'Variable Management'!B473">
      <xdr:nvSpPr>
        <xdr:cNvPr id="37" name="Text Box 286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977046" y="1853217"/>
          <a:ext cx="453037" cy="2425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E0FB88FA-F39E-4ACF-AB5E-DCB628763AAE}" type="TxLink">
            <a:rPr lang="en-US" sz="1200" b="1" i="0" u="none" strike="noStrike">
              <a:solidFill>
                <a:srgbClr val="FF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20A</a:t>
          </a:fld>
          <a:endParaRPr lang="en-US" sz="1200" b="1" i="0" strike="noStrike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339944</xdr:colOff>
      <xdr:row>4</xdr:row>
      <xdr:rowOff>1969229</xdr:rowOff>
    </xdr:from>
    <xdr:to>
      <xdr:col>1</xdr:col>
      <xdr:colOff>604552</xdr:colOff>
      <xdr:row>4</xdr:row>
      <xdr:rowOff>2161044</xdr:rowOff>
    </xdr:to>
    <xdr:sp macro="" textlink="">
      <xdr:nvSpPr>
        <xdr:cNvPr id="38" name="Text Box 251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 txBox="1">
          <a:spLocks noChangeArrowheads="1"/>
        </xdr:cNvSpPr>
      </xdr:nvSpPr>
      <xdr:spPr bwMode="auto">
        <a:xfrm>
          <a:off x="1044794" y="2616929"/>
          <a:ext cx="264608" cy="1918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T</a:t>
          </a:r>
        </a:p>
      </xdr:txBody>
    </xdr:sp>
    <xdr:clientData/>
  </xdr:twoCellAnchor>
  <xdr:twoCellAnchor editAs="absolute">
    <xdr:from>
      <xdr:col>1</xdr:col>
      <xdr:colOff>2952085</xdr:colOff>
      <xdr:row>4</xdr:row>
      <xdr:rowOff>141585</xdr:rowOff>
    </xdr:from>
    <xdr:to>
      <xdr:col>1</xdr:col>
      <xdr:colOff>3413563</xdr:colOff>
      <xdr:row>4</xdr:row>
      <xdr:rowOff>365593</xdr:rowOff>
    </xdr:to>
    <xdr:sp macro="" textlink="">
      <xdr:nvSpPr>
        <xdr:cNvPr id="39" name="Text Box 247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 txBox="1">
          <a:spLocks noChangeArrowheads="1"/>
        </xdr:cNvSpPr>
      </xdr:nvSpPr>
      <xdr:spPr bwMode="auto">
        <a:xfrm>
          <a:off x="3656935" y="789285"/>
          <a:ext cx="461478" cy="2240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BOOT1</a:t>
          </a:r>
        </a:p>
      </xdr:txBody>
    </xdr:sp>
    <xdr:clientData/>
  </xdr:twoCellAnchor>
  <xdr:twoCellAnchor editAs="absolute">
    <xdr:from>
      <xdr:col>1</xdr:col>
      <xdr:colOff>5943177</xdr:colOff>
      <xdr:row>4</xdr:row>
      <xdr:rowOff>2257233</xdr:rowOff>
    </xdr:from>
    <xdr:to>
      <xdr:col>1</xdr:col>
      <xdr:colOff>6265561</xdr:colOff>
      <xdr:row>4</xdr:row>
      <xdr:rowOff>2502483</xdr:rowOff>
    </xdr:to>
    <xdr:sp macro="" textlink="">
      <xdr:nvSpPr>
        <xdr:cNvPr id="40" name="Text Box 244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 txBox="1">
          <a:spLocks noChangeArrowheads="1"/>
        </xdr:cNvSpPr>
      </xdr:nvSpPr>
      <xdr:spPr bwMode="auto">
        <a:xfrm>
          <a:off x="6648027" y="2904933"/>
          <a:ext cx="322384" cy="24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2</a:t>
          </a:r>
        </a:p>
      </xdr:txBody>
    </xdr:sp>
    <xdr:clientData/>
  </xdr:twoCellAnchor>
  <xdr:twoCellAnchor editAs="absolute">
    <xdr:from>
      <xdr:col>1</xdr:col>
      <xdr:colOff>5944154</xdr:colOff>
      <xdr:row>4</xdr:row>
      <xdr:rowOff>1381249</xdr:rowOff>
    </xdr:from>
    <xdr:to>
      <xdr:col>1</xdr:col>
      <xdr:colOff>6266538</xdr:colOff>
      <xdr:row>4</xdr:row>
      <xdr:rowOff>1647440</xdr:rowOff>
    </xdr:to>
    <xdr:sp macro="" textlink="">
      <xdr:nvSpPr>
        <xdr:cNvPr id="41" name="Text Box 244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 txBox="1">
          <a:spLocks noChangeArrowheads="1"/>
        </xdr:cNvSpPr>
      </xdr:nvSpPr>
      <xdr:spPr bwMode="auto">
        <a:xfrm>
          <a:off x="6649004" y="2028949"/>
          <a:ext cx="322384" cy="2661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</a:t>
          </a:r>
        </a:p>
      </xdr:txBody>
    </xdr:sp>
    <xdr:clientData/>
  </xdr:twoCellAnchor>
  <xdr:twoCellAnchor editAs="absolute">
    <xdr:from>
      <xdr:col>1</xdr:col>
      <xdr:colOff>6867893</xdr:colOff>
      <xdr:row>4</xdr:row>
      <xdr:rowOff>3140812</xdr:rowOff>
    </xdr:from>
    <xdr:to>
      <xdr:col>1</xdr:col>
      <xdr:colOff>7347524</xdr:colOff>
      <xdr:row>4</xdr:row>
      <xdr:rowOff>3411874</xdr:rowOff>
    </xdr:to>
    <xdr:sp macro="" textlink="'Variable Management'!B428">
      <xdr:nvSpPr>
        <xdr:cNvPr id="42" name="Text Box 275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572743" y="3788512"/>
          <a:ext cx="479631" cy="27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952677B8-8C18-463F-B0C9-D2099A1EBA1B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3mΩ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254219</xdr:colOff>
      <xdr:row>4</xdr:row>
      <xdr:rowOff>2371224</xdr:rowOff>
    </xdr:from>
    <xdr:to>
      <xdr:col>1</xdr:col>
      <xdr:colOff>687280</xdr:colOff>
      <xdr:row>4</xdr:row>
      <xdr:rowOff>2607535</xdr:rowOff>
    </xdr:to>
    <xdr:sp macro="" textlink="">
      <xdr:nvSpPr>
        <xdr:cNvPr id="43" name="Text Box 251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 txBox="1">
          <a:spLocks noChangeArrowheads="1"/>
        </xdr:cNvSpPr>
      </xdr:nvSpPr>
      <xdr:spPr bwMode="auto">
        <a:xfrm>
          <a:off x="959069" y="3018924"/>
          <a:ext cx="433061" cy="2363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SLOPE</a:t>
          </a:r>
        </a:p>
      </xdr:txBody>
    </xdr:sp>
    <xdr:clientData/>
  </xdr:twoCellAnchor>
  <xdr:twoCellAnchor editAs="absolute">
    <xdr:from>
      <xdr:col>1</xdr:col>
      <xdr:colOff>5510442</xdr:colOff>
      <xdr:row>4</xdr:row>
      <xdr:rowOff>3213286</xdr:rowOff>
    </xdr:from>
    <xdr:to>
      <xdr:col>1</xdr:col>
      <xdr:colOff>5917925</xdr:colOff>
      <xdr:row>4</xdr:row>
      <xdr:rowOff>3457653</xdr:rowOff>
    </xdr:to>
    <xdr:sp macro="" textlink="">
      <xdr:nvSpPr>
        <xdr:cNvPr id="44" name="Text Box 248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 txBox="1">
          <a:spLocks noChangeArrowheads="1"/>
        </xdr:cNvSpPr>
      </xdr:nvSpPr>
      <xdr:spPr bwMode="auto">
        <a:xfrm>
          <a:off x="6215292" y="3860986"/>
          <a:ext cx="407483" cy="2443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BOOT2</a:t>
          </a:r>
        </a:p>
      </xdr:txBody>
    </xdr:sp>
    <xdr:clientData/>
  </xdr:twoCellAnchor>
  <xdr:twoCellAnchor editAs="absolute">
    <xdr:from>
      <xdr:col>1</xdr:col>
      <xdr:colOff>4880097</xdr:colOff>
      <xdr:row>4</xdr:row>
      <xdr:rowOff>3616355</xdr:rowOff>
    </xdr:from>
    <xdr:to>
      <xdr:col>1</xdr:col>
      <xdr:colOff>5341575</xdr:colOff>
      <xdr:row>4</xdr:row>
      <xdr:rowOff>3867177</xdr:rowOff>
    </xdr:to>
    <xdr:sp macro="" textlink="">
      <xdr:nvSpPr>
        <xdr:cNvPr id="45" name="Text Box 24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 txBox="1">
          <a:spLocks noChangeArrowheads="1"/>
        </xdr:cNvSpPr>
      </xdr:nvSpPr>
      <xdr:spPr bwMode="auto">
        <a:xfrm>
          <a:off x="5584947" y="4264055"/>
          <a:ext cx="461478" cy="2508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BOOT2</a:t>
          </a:r>
        </a:p>
      </xdr:txBody>
    </xdr:sp>
    <xdr:clientData/>
  </xdr:twoCellAnchor>
  <xdr:twoCellAnchor editAs="absolute">
    <xdr:from>
      <xdr:col>1</xdr:col>
      <xdr:colOff>4940561</xdr:colOff>
      <xdr:row>4</xdr:row>
      <xdr:rowOff>3828330</xdr:rowOff>
    </xdr:from>
    <xdr:to>
      <xdr:col>1</xdr:col>
      <xdr:colOff>5310038</xdr:colOff>
      <xdr:row>4</xdr:row>
      <xdr:rowOff>4055655</xdr:rowOff>
    </xdr:to>
    <xdr:sp macro="" textlink="">
      <xdr:nvSpPr>
        <xdr:cNvPr id="46" name="Text Box 27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 txBox="1">
          <a:spLocks noChangeArrowheads="1"/>
        </xdr:cNvSpPr>
      </xdr:nvSpPr>
      <xdr:spPr bwMode="auto">
        <a:xfrm>
          <a:off x="5645411" y="4476030"/>
          <a:ext cx="369477" cy="22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0.1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5094928</xdr:colOff>
      <xdr:row>4</xdr:row>
      <xdr:rowOff>2377424</xdr:rowOff>
    </xdr:from>
    <xdr:to>
      <xdr:col>1</xdr:col>
      <xdr:colOff>5365431</xdr:colOff>
      <xdr:row>4</xdr:row>
      <xdr:rowOff>2614453</xdr:rowOff>
    </xdr:to>
    <xdr:sp macro="" textlink="">
      <xdr:nvSpPr>
        <xdr:cNvPr id="47" name="Text Box 27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 txBox="1">
          <a:spLocks noChangeArrowheads="1"/>
        </xdr:cNvSpPr>
      </xdr:nvSpPr>
      <xdr:spPr bwMode="auto">
        <a:xfrm>
          <a:off x="5799778" y="3025124"/>
          <a:ext cx="270503" cy="2370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2444899</xdr:colOff>
      <xdr:row>4</xdr:row>
      <xdr:rowOff>38100</xdr:rowOff>
    </xdr:from>
    <xdr:to>
      <xdr:col>1</xdr:col>
      <xdr:colOff>2821188</xdr:colOff>
      <xdr:row>4</xdr:row>
      <xdr:rowOff>273769</xdr:rowOff>
    </xdr:to>
    <xdr:sp macro="" textlink="">
      <xdr:nvSpPr>
        <xdr:cNvPr id="48" name="Text Box 279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 txBox="1">
          <a:spLocks noChangeArrowheads="1"/>
        </xdr:cNvSpPr>
      </xdr:nvSpPr>
      <xdr:spPr bwMode="auto">
        <a:xfrm>
          <a:off x="3149749" y="685800"/>
          <a:ext cx="376289" cy="2356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0.1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2144579</xdr:colOff>
      <xdr:row>4</xdr:row>
      <xdr:rowOff>478502</xdr:rowOff>
    </xdr:from>
    <xdr:to>
      <xdr:col>1</xdr:col>
      <xdr:colOff>2471641</xdr:colOff>
      <xdr:row>4</xdr:row>
      <xdr:rowOff>705632</xdr:rowOff>
    </xdr:to>
    <xdr:sp macro="" textlink="">
      <xdr:nvSpPr>
        <xdr:cNvPr id="49" name="Text Box 245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 txBox="1">
          <a:spLocks noChangeArrowheads="1"/>
        </xdr:cNvSpPr>
      </xdr:nvSpPr>
      <xdr:spPr bwMode="auto">
        <a:xfrm>
          <a:off x="2849429" y="1126202"/>
          <a:ext cx="327062" cy="227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VIN</a:t>
          </a:r>
        </a:p>
      </xdr:txBody>
    </xdr:sp>
    <xdr:clientData/>
  </xdr:twoCellAnchor>
  <xdr:twoCellAnchor editAs="absolute">
    <xdr:from>
      <xdr:col>1</xdr:col>
      <xdr:colOff>2451906</xdr:colOff>
      <xdr:row>4</xdr:row>
      <xdr:rowOff>498798</xdr:rowOff>
    </xdr:from>
    <xdr:to>
      <xdr:col>1</xdr:col>
      <xdr:colOff>2822138</xdr:colOff>
      <xdr:row>4</xdr:row>
      <xdr:rowOff>722941</xdr:rowOff>
    </xdr:to>
    <xdr:sp macro="" textlink="">
      <xdr:nvSpPr>
        <xdr:cNvPr id="50" name="Text Box 27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 txBox="1">
          <a:spLocks noChangeArrowheads="1"/>
        </xdr:cNvSpPr>
      </xdr:nvSpPr>
      <xdr:spPr bwMode="auto">
        <a:xfrm>
          <a:off x="3156756" y="1146498"/>
          <a:ext cx="370232" cy="224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l-GR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2Ω</a:t>
          </a:r>
        </a:p>
      </xdr:txBody>
    </xdr:sp>
    <xdr:clientData/>
  </xdr:twoCellAnchor>
  <xdr:twoCellAnchor editAs="absolute">
    <xdr:from>
      <xdr:col>1</xdr:col>
      <xdr:colOff>4627899</xdr:colOff>
      <xdr:row>4</xdr:row>
      <xdr:rowOff>4758188</xdr:rowOff>
    </xdr:from>
    <xdr:to>
      <xdr:col>1</xdr:col>
      <xdr:colOff>4940204</xdr:colOff>
      <xdr:row>4</xdr:row>
      <xdr:rowOff>4983266</xdr:rowOff>
    </xdr:to>
    <xdr:sp macro="" textlink="">
      <xdr:nvSpPr>
        <xdr:cNvPr id="51" name="Text Box 250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 txBox="1">
          <a:spLocks noChangeArrowheads="1"/>
        </xdr:cNvSpPr>
      </xdr:nvSpPr>
      <xdr:spPr bwMode="auto">
        <a:xfrm>
          <a:off x="5332749" y="5405888"/>
          <a:ext cx="312305" cy="2250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CS2</a:t>
          </a:r>
        </a:p>
        <a:p>
          <a:pPr algn="l" rtl="0">
            <a:defRPr sz="1000"/>
          </a:pP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ood</a:t>
          </a:r>
        </a:p>
      </xdr:txBody>
    </xdr:sp>
    <xdr:clientData/>
  </xdr:twoCellAnchor>
  <xdr:twoCellAnchor editAs="absolute">
    <xdr:from>
      <xdr:col>1</xdr:col>
      <xdr:colOff>2028048</xdr:colOff>
      <xdr:row>4</xdr:row>
      <xdr:rowOff>51537</xdr:rowOff>
    </xdr:from>
    <xdr:to>
      <xdr:col>1</xdr:col>
      <xdr:colOff>2352330</xdr:colOff>
      <xdr:row>4</xdr:row>
      <xdr:rowOff>270228</xdr:rowOff>
    </xdr:to>
    <xdr:sp macro="" textlink="">
      <xdr:nvSpPr>
        <xdr:cNvPr id="52" name="Text Box 245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 txBox="1">
          <a:spLocks noChangeArrowheads="1"/>
        </xdr:cNvSpPr>
      </xdr:nvSpPr>
      <xdr:spPr bwMode="auto">
        <a:xfrm>
          <a:off x="2732898" y="699237"/>
          <a:ext cx="324282" cy="2186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VIN</a:t>
          </a:r>
        </a:p>
      </xdr:txBody>
    </xdr:sp>
    <xdr:clientData/>
  </xdr:twoCellAnchor>
  <xdr:twoCellAnchor editAs="absolute">
    <xdr:from>
      <xdr:col>1</xdr:col>
      <xdr:colOff>7319710</xdr:colOff>
      <xdr:row>4</xdr:row>
      <xdr:rowOff>2253494</xdr:rowOff>
    </xdr:from>
    <xdr:to>
      <xdr:col>1</xdr:col>
      <xdr:colOff>7598272</xdr:colOff>
      <xdr:row>4</xdr:row>
      <xdr:rowOff>2543864</xdr:rowOff>
    </xdr:to>
    <xdr:sp macro="" textlink="">
      <xdr:nvSpPr>
        <xdr:cNvPr id="53" name="Text Box 24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 txBox="1">
          <a:spLocks noChangeArrowheads="1"/>
        </xdr:cNvSpPr>
      </xdr:nvSpPr>
      <xdr:spPr bwMode="auto">
        <a:xfrm>
          <a:off x="8024560" y="2901194"/>
          <a:ext cx="278562" cy="290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4</a:t>
          </a:r>
        </a:p>
      </xdr:txBody>
    </xdr:sp>
    <xdr:clientData/>
  </xdr:twoCellAnchor>
  <xdr:twoCellAnchor editAs="absolute">
    <xdr:from>
      <xdr:col>1</xdr:col>
      <xdr:colOff>7311161</xdr:colOff>
      <xdr:row>4</xdr:row>
      <xdr:rowOff>1379784</xdr:rowOff>
    </xdr:from>
    <xdr:to>
      <xdr:col>1</xdr:col>
      <xdr:colOff>7590944</xdr:colOff>
      <xdr:row>4</xdr:row>
      <xdr:rowOff>1643701</xdr:rowOff>
    </xdr:to>
    <xdr:sp macro="" textlink="">
      <xdr:nvSpPr>
        <xdr:cNvPr id="54" name="Text Box 24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 txBox="1">
          <a:spLocks noChangeArrowheads="1"/>
        </xdr:cNvSpPr>
      </xdr:nvSpPr>
      <xdr:spPr bwMode="auto">
        <a:xfrm>
          <a:off x="8016011" y="2027484"/>
          <a:ext cx="279783" cy="263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3</a:t>
          </a:r>
        </a:p>
      </xdr:txBody>
    </xdr:sp>
    <xdr:clientData/>
  </xdr:twoCellAnchor>
  <xdr:twoCellAnchor editAs="absolute">
    <xdr:from>
      <xdr:col>1</xdr:col>
      <xdr:colOff>663203</xdr:colOff>
      <xdr:row>4</xdr:row>
      <xdr:rowOff>3821721</xdr:rowOff>
    </xdr:from>
    <xdr:to>
      <xdr:col>1</xdr:col>
      <xdr:colOff>1167405</xdr:colOff>
      <xdr:row>4</xdr:row>
      <xdr:rowOff>4065124</xdr:rowOff>
    </xdr:to>
    <xdr:sp macro="" textlink="'Variable Management'!B442">
      <xdr:nvSpPr>
        <xdr:cNvPr id="55" name="Text Box 261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368053" y="4469421"/>
          <a:ext cx="504202" cy="2434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B9060F6D-CAA3-48E6-BAE7-37C16D6980D0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33nF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4854635</xdr:colOff>
      <xdr:row>4</xdr:row>
      <xdr:rowOff>4479932</xdr:rowOff>
    </xdr:from>
    <xdr:to>
      <xdr:col>1</xdr:col>
      <xdr:colOff>5248259</xdr:colOff>
      <xdr:row>4</xdr:row>
      <xdr:rowOff>4712952</xdr:rowOff>
    </xdr:to>
    <xdr:sp macro="" textlink="'Variable Management'!B467">
      <xdr:nvSpPr>
        <xdr:cNvPr id="56" name="Text Box 270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 txBox="1">
          <a:spLocks noChangeArrowheads="1" noTextEdit="1"/>
        </xdr:cNvSpPr>
      </xdr:nvSpPr>
      <xdr:spPr bwMode="auto">
        <a:xfrm>
          <a:off x="5559485" y="5127632"/>
          <a:ext cx="393624" cy="233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62E2AFC2-CB14-431A-99E1-2EF4D5A6CD34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 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1654331</xdr:colOff>
      <xdr:row>4</xdr:row>
      <xdr:rowOff>420739</xdr:rowOff>
    </xdr:from>
    <xdr:to>
      <xdr:col>1</xdr:col>
      <xdr:colOff>2003826</xdr:colOff>
      <xdr:row>4</xdr:row>
      <xdr:rowOff>662384</xdr:rowOff>
    </xdr:to>
    <xdr:sp macro="" textlink="">
      <xdr:nvSpPr>
        <xdr:cNvPr id="57" name="Text Box 24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 txBox="1">
          <a:spLocks noChangeArrowheads="1"/>
        </xdr:cNvSpPr>
      </xdr:nvSpPr>
      <xdr:spPr bwMode="auto">
        <a:xfrm>
          <a:off x="2359181" y="1068439"/>
          <a:ext cx="349495" cy="2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VIN</a:t>
          </a:r>
        </a:p>
      </xdr:txBody>
    </xdr:sp>
    <xdr:clientData/>
  </xdr:twoCellAnchor>
  <xdr:twoCellAnchor editAs="absolute">
    <xdr:from>
      <xdr:col>1</xdr:col>
      <xdr:colOff>6290995</xdr:colOff>
      <xdr:row>4</xdr:row>
      <xdr:rowOff>996921</xdr:rowOff>
    </xdr:from>
    <xdr:to>
      <xdr:col>1</xdr:col>
      <xdr:colOff>7281596</xdr:colOff>
      <xdr:row>4</xdr:row>
      <xdr:rowOff>1257170</xdr:rowOff>
    </xdr:to>
    <xdr:sp macro="" textlink="'Variable Management'!B475">
      <xdr:nvSpPr>
        <xdr:cNvPr id="58" name="Text Box 283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 txBox="1">
          <a:spLocks noChangeArrowheads="1" noTextEdit="1"/>
        </xdr:cNvSpPr>
      </xdr:nvSpPr>
      <xdr:spPr bwMode="auto">
        <a:xfrm>
          <a:off x="6995845" y="1644621"/>
          <a:ext cx="990601" cy="2602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B114F7CE-60BB-40BD-BD7F-B22E7592FFCF}" type="TxLink">
            <a:rPr lang="en-US" sz="1200" b="1" i="0" u="none" strike="noStrike">
              <a:solidFill>
                <a:srgbClr val="FF0000"/>
              </a:solidFill>
              <a:latin typeface="Arial"/>
              <a:cs typeface="Arial"/>
            </a:rPr>
            <a:pPr algn="l" rtl="0">
              <a:defRPr sz="1000"/>
            </a:pPr>
            <a:t>9V...48V</a:t>
          </a:fld>
          <a:endParaRPr lang="en-US" sz="1200" b="1" i="0" strike="noStrike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713956</xdr:colOff>
      <xdr:row>4</xdr:row>
      <xdr:rowOff>1507243</xdr:rowOff>
    </xdr:from>
    <xdr:to>
      <xdr:col>1</xdr:col>
      <xdr:colOff>1196832</xdr:colOff>
      <xdr:row>4</xdr:row>
      <xdr:rowOff>1692372</xdr:rowOff>
    </xdr:to>
    <xdr:sp macro="" textlink="'Variable Management'!C450">
      <xdr:nvSpPr>
        <xdr:cNvPr id="59" name="Text Box 266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418806" y="2154943"/>
          <a:ext cx="482876" cy="1851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fld id="{DF2A2C16-623E-4E51-B82E-2B3F1562B3CF}" type="TxLink"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 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1741435</xdr:colOff>
      <xdr:row>7</xdr:row>
      <xdr:rowOff>4459217</xdr:rowOff>
    </xdr:from>
    <xdr:to>
      <xdr:col>1</xdr:col>
      <xdr:colOff>2083824</xdr:colOff>
      <xdr:row>7</xdr:row>
      <xdr:rowOff>4720777</xdr:rowOff>
    </xdr:to>
    <xdr:sp macro="" textlink="">
      <xdr:nvSpPr>
        <xdr:cNvPr id="60" name="Text Box 225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 txBox="1">
          <a:spLocks noChangeArrowheads="1"/>
        </xdr:cNvSpPr>
      </xdr:nvSpPr>
      <xdr:spPr bwMode="auto">
        <a:xfrm>
          <a:off x="2446285" y="10688567"/>
          <a:ext cx="342389" cy="261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FB1</a:t>
          </a:r>
        </a:p>
      </xdr:txBody>
    </xdr:sp>
    <xdr:clientData/>
  </xdr:twoCellAnchor>
  <xdr:twoCellAnchor editAs="absolute">
    <xdr:from>
      <xdr:col>1</xdr:col>
      <xdr:colOff>6856439</xdr:colOff>
      <xdr:row>7</xdr:row>
      <xdr:rowOff>2104957</xdr:rowOff>
    </xdr:from>
    <xdr:to>
      <xdr:col>1</xdr:col>
      <xdr:colOff>7240372</xdr:colOff>
      <xdr:row>7</xdr:row>
      <xdr:rowOff>2333307</xdr:rowOff>
    </xdr:to>
    <xdr:sp macro="" textlink="">
      <xdr:nvSpPr>
        <xdr:cNvPr id="61" name="Text Box 228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 txBox="1">
          <a:spLocks noChangeArrowheads="1"/>
        </xdr:cNvSpPr>
      </xdr:nvSpPr>
      <xdr:spPr bwMode="auto">
        <a:xfrm>
          <a:off x="7561289" y="8334307"/>
          <a:ext cx="383933" cy="228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OUT</a:t>
          </a:r>
        </a:p>
      </xdr:txBody>
    </xdr:sp>
    <xdr:clientData/>
  </xdr:twoCellAnchor>
  <xdr:twoCellAnchor editAs="absolute">
    <xdr:from>
      <xdr:col>1</xdr:col>
      <xdr:colOff>7914727</xdr:colOff>
      <xdr:row>7</xdr:row>
      <xdr:rowOff>995107</xdr:rowOff>
    </xdr:from>
    <xdr:to>
      <xdr:col>1</xdr:col>
      <xdr:colOff>8390563</xdr:colOff>
      <xdr:row>7</xdr:row>
      <xdr:rowOff>1239091</xdr:rowOff>
    </xdr:to>
    <xdr:sp macro="" textlink="">
      <xdr:nvSpPr>
        <xdr:cNvPr id="62" name="Text Box 231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 txBox="1">
          <a:spLocks noChangeArrowheads="1"/>
        </xdr:cNvSpPr>
      </xdr:nvSpPr>
      <xdr:spPr bwMode="auto">
        <a:xfrm>
          <a:off x="8619577" y="7224457"/>
          <a:ext cx="475836" cy="2439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CS(out)</a:t>
          </a:r>
        </a:p>
      </xdr:txBody>
    </xdr:sp>
    <xdr:clientData/>
  </xdr:twoCellAnchor>
  <xdr:twoCellAnchor editAs="absolute">
    <xdr:from>
      <xdr:col>1</xdr:col>
      <xdr:colOff>3248284</xdr:colOff>
      <xdr:row>7</xdr:row>
      <xdr:rowOff>4351349</xdr:rowOff>
    </xdr:from>
    <xdr:to>
      <xdr:col>1</xdr:col>
      <xdr:colOff>3522445</xdr:colOff>
      <xdr:row>7</xdr:row>
      <xdr:rowOff>4599731</xdr:rowOff>
    </xdr:to>
    <xdr:sp macro="" textlink="">
      <xdr:nvSpPr>
        <xdr:cNvPr id="63" name="Text Box 233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 txBox="1">
          <a:spLocks noChangeArrowheads="1"/>
        </xdr:cNvSpPr>
      </xdr:nvSpPr>
      <xdr:spPr bwMode="auto">
        <a:xfrm>
          <a:off x="3953134" y="10580699"/>
          <a:ext cx="274161" cy="2483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</a:t>
          </a:r>
        </a:p>
      </xdr:txBody>
    </xdr:sp>
    <xdr:clientData/>
  </xdr:twoCellAnchor>
  <xdr:twoCellAnchor editAs="absolute">
    <xdr:from>
      <xdr:col>1</xdr:col>
      <xdr:colOff>6888908</xdr:colOff>
      <xdr:row>7</xdr:row>
      <xdr:rowOff>2980875</xdr:rowOff>
    </xdr:from>
    <xdr:to>
      <xdr:col>1</xdr:col>
      <xdr:colOff>7132769</xdr:colOff>
      <xdr:row>7</xdr:row>
      <xdr:rowOff>3202171</xdr:rowOff>
    </xdr:to>
    <xdr:sp macro="" textlink="">
      <xdr:nvSpPr>
        <xdr:cNvPr id="64" name="Text Box 234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 txBox="1">
          <a:spLocks noChangeArrowheads="1"/>
        </xdr:cNvSpPr>
      </xdr:nvSpPr>
      <xdr:spPr bwMode="auto">
        <a:xfrm>
          <a:off x="7593758" y="9210225"/>
          <a:ext cx="243861" cy="221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</a:t>
          </a:r>
        </a:p>
      </xdr:txBody>
    </xdr:sp>
    <xdr:clientData/>
  </xdr:twoCellAnchor>
  <xdr:twoCellAnchor editAs="absolute">
    <xdr:from>
      <xdr:col>1</xdr:col>
      <xdr:colOff>6587606</xdr:colOff>
      <xdr:row>7</xdr:row>
      <xdr:rowOff>1279450</xdr:rowOff>
    </xdr:from>
    <xdr:to>
      <xdr:col>1</xdr:col>
      <xdr:colOff>6927606</xdr:colOff>
      <xdr:row>7</xdr:row>
      <xdr:rowOff>1557155</xdr:rowOff>
    </xdr:to>
    <xdr:sp macro="" textlink="">
      <xdr:nvSpPr>
        <xdr:cNvPr id="65" name="Text Box 235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 txBox="1">
          <a:spLocks noChangeArrowheads="1"/>
        </xdr:cNvSpPr>
      </xdr:nvSpPr>
      <xdr:spPr bwMode="auto">
        <a:xfrm>
          <a:off x="7292456" y="7508800"/>
          <a:ext cx="340000" cy="277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</a:t>
          </a:r>
        </a:p>
      </xdr:txBody>
    </xdr:sp>
    <xdr:clientData/>
  </xdr:twoCellAnchor>
  <xdr:twoCellAnchor editAs="absolute">
    <xdr:from>
      <xdr:col>1</xdr:col>
      <xdr:colOff>3609213</xdr:colOff>
      <xdr:row>7</xdr:row>
      <xdr:rowOff>4549938</xdr:rowOff>
    </xdr:from>
    <xdr:to>
      <xdr:col>1</xdr:col>
      <xdr:colOff>4015912</xdr:colOff>
      <xdr:row>7</xdr:row>
      <xdr:rowOff>4797862</xdr:rowOff>
    </xdr:to>
    <xdr:sp macro="" textlink="">
      <xdr:nvSpPr>
        <xdr:cNvPr id="66" name="Text Box 243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 txBox="1">
          <a:spLocks noChangeArrowheads="1"/>
        </xdr:cNvSpPr>
      </xdr:nvSpPr>
      <xdr:spPr bwMode="auto">
        <a:xfrm>
          <a:off x="4314063" y="10779288"/>
          <a:ext cx="406699" cy="2479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100pF</a:t>
          </a:r>
        </a:p>
      </xdr:txBody>
    </xdr:sp>
    <xdr:clientData/>
  </xdr:twoCellAnchor>
  <xdr:twoCellAnchor editAs="absolute">
    <xdr:from>
      <xdr:col>1</xdr:col>
      <xdr:colOff>6345478</xdr:colOff>
      <xdr:row>7</xdr:row>
      <xdr:rowOff>2131317</xdr:rowOff>
    </xdr:from>
    <xdr:to>
      <xdr:col>1</xdr:col>
      <xdr:colOff>6670916</xdr:colOff>
      <xdr:row>7</xdr:row>
      <xdr:rowOff>2357563</xdr:rowOff>
    </xdr:to>
    <xdr:sp macro="" textlink="">
      <xdr:nvSpPr>
        <xdr:cNvPr id="67" name="Text Box 244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 txBox="1">
          <a:spLocks noChangeArrowheads="1"/>
        </xdr:cNvSpPr>
      </xdr:nvSpPr>
      <xdr:spPr bwMode="auto">
        <a:xfrm>
          <a:off x="7050328" y="8360667"/>
          <a:ext cx="325438" cy="226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IN</a:t>
          </a:r>
        </a:p>
      </xdr:txBody>
    </xdr:sp>
    <xdr:clientData/>
  </xdr:twoCellAnchor>
  <xdr:twoCellAnchor editAs="absolute">
    <xdr:from>
      <xdr:col>1</xdr:col>
      <xdr:colOff>3985001</xdr:colOff>
      <xdr:row>7</xdr:row>
      <xdr:rowOff>79131</xdr:rowOff>
    </xdr:from>
    <xdr:to>
      <xdr:col>1</xdr:col>
      <xdr:colOff>4393844</xdr:colOff>
      <xdr:row>7</xdr:row>
      <xdr:rowOff>320775</xdr:rowOff>
    </xdr:to>
    <xdr:sp macro="" textlink="">
      <xdr:nvSpPr>
        <xdr:cNvPr id="68" name="Text Box 248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 txBox="1">
          <a:spLocks noChangeArrowheads="1"/>
        </xdr:cNvSpPr>
      </xdr:nvSpPr>
      <xdr:spPr bwMode="auto">
        <a:xfrm>
          <a:off x="4689851" y="6308481"/>
          <a:ext cx="408843" cy="2416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BOOT1</a:t>
          </a:r>
        </a:p>
      </xdr:txBody>
    </xdr:sp>
    <xdr:clientData/>
  </xdr:twoCellAnchor>
  <xdr:twoCellAnchor editAs="absolute">
    <xdr:from>
      <xdr:col>1</xdr:col>
      <xdr:colOff>5069341</xdr:colOff>
      <xdr:row>7</xdr:row>
      <xdr:rowOff>2117850</xdr:rowOff>
    </xdr:from>
    <xdr:to>
      <xdr:col>1</xdr:col>
      <xdr:colOff>5444036</xdr:colOff>
      <xdr:row>7</xdr:row>
      <xdr:rowOff>2368121</xdr:rowOff>
    </xdr:to>
    <xdr:sp macro="" textlink="">
      <xdr:nvSpPr>
        <xdr:cNvPr id="69" name="Text Box 24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 txBox="1">
          <a:spLocks noChangeArrowheads="1"/>
        </xdr:cNvSpPr>
      </xdr:nvSpPr>
      <xdr:spPr bwMode="auto">
        <a:xfrm>
          <a:off x="5774191" y="8347200"/>
          <a:ext cx="374695" cy="2502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VCC</a:t>
          </a:r>
        </a:p>
      </xdr:txBody>
    </xdr:sp>
    <xdr:clientData/>
  </xdr:twoCellAnchor>
  <xdr:twoCellAnchor editAs="absolute">
    <xdr:from>
      <xdr:col>1</xdr:col>
      <xdr:colOff>4599220</xdr:colOff>
      <xdr:row>7</xdr:row>
      <xdr:rowOff>4181156</xdr:rowOff>
    </xdr:from>
    <xdr:to>
      <xdr:col>1</xdr:col>
      <xdr:colOff>4910059</xdr:colOff>
      <xdr:row>7</xdr:row>
      <xdr:rowOff>4413246</xdr:rowOff>
    </xdr:to>
    <xdr:sp macro="" textlink="">
      <xdr:nvSpPr>
        <xdr:cNvPr id="70" name="Text Box 250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 txBox="1">
          <a:spLocks noChangeArrowheads="1"/>
        </xdr:cNvSpPr>
      </xdr:nvSpPr>
      <xdr:spPr bwMode="auto">
        <a:xfrm>
          <a:off x="5304070" y="10410506"/>
          <a:ext cx="310839" cy="232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CS1</a:t>
          </a:r>
        </a:p>
        <a:p>
          <a:pPr algn="l" rtl="0">
            <a:defRPr sz="1000"/>
          </a:pP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ood</a:t>
          </a:r>
        </a:p>
      </xdr:txBody>
    </xdr:sp>
    <xdr:clientData/>
  </xdr:twoCellAnchor>
  <xdr:twoCellAnchor editAs="absolute">
    <xdr:from>
      <xdr:col>1</xdr:col>
      <xdr:colOff>1023436</xdr:colOff>
      <xdr:row>7</xdr:row>
      <xdr:rowOff>2758635</xdr:rowOff>
    </xdr:from>
    <xdr:to>
      <xdr:col>1</xdr:col>
      <xdr:colOff>1350592</xdr:colOff>
      <xdr:row>7</xdr:row>
      <xdr:rowOff>3014259</xdr:rowOff>
    </xdr:to>
    <xdr:sp macro="" textlink="">
      <xdr:nvSpPr>
        <xdr:cNvPr id="71" name="Text Box 251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 txBox="1">
          <a:spLocks noChangeArrowheads="1"/>
        </xdr:cNvSpPr>
      </xdr:nvSpPr>
      <xdr:spPr bwMode="auto">
        <a:xfrm>
          <a:off x="1728286" y="8987985"/>
          <a:ext cx="327156" cy="2556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SS</a:t>
          </a:r>
        </a:p>
      </xdr:txBody>
    </xdr:sp>
    <xdr:clientData/>
  </xdr:twoCellAnchor>
  <xdr:twoCellAnchor editAs="absolute">
    <xdr:from>
      <xdr:col>1</xdr:col>
      <xdr:colOff>781911</xdr:colOff>
      <xdr:row>7</xdr:row>
      <xdr:rowOff>4098220</xdr:rowOff>
    </xdr:from>
    <xdr:to>
      <xdr:col>1</xdr:col>
      <xdr:colOff>1177488</xdr:colOff>
      <xdr:row>7</xdr:row>
      <xdr:rowOff>4299097</xdr:rowOff>
    </xdr:to>
    <xdr:sp macro="" textlink="">
      <xdr:nvSpPr>
        <xdr:cNvPr id="72" name="Text Box 255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1486761" y="10327570"/>
          <a:ext cx="395577" cy="2008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FB2</a:t>
          </a:r>
        </a:p>
      </xdr:txBody>
    </xdr:sp>
    <xdr:clientData/>
  </xdr:twoCellAnchor>
  <xdr:twoCellAnchor editAs="absolute">
    <xdr:from>
      <xdr:col>1</xdr:col>
      <xdr:colOff>141951</xdr:colOff>
      <xdr:row>7</xdr:row>
      <xdr:rowOff>3384014</xdr:rowOff>
    </xdr:from>
    <xdr:to>
      <xdr:col>1</xdr:col>
      <xdr:colOff>384920</xdr:colOff>
      <xdr:row>7</xdr:row>
      <xdr:rowOff>3598419</xdr:rowOff>
    </xdr:to>
    <xdr:sp macro="" textlink="">
      <xdr:nvSpPr>
        <xdr:cNvPr id="73" name="Text Box 256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 txBox="1">
          <a:spLocks noChangeArrowheads="1"/>
        </xdr:cNvSpPr>
      </xdr:nvSpPr>
      <xdr:spPr bwMode="auto">
        <a:xfrm>
          <a:off x="846801" y="9613364"/>
          <a:ext cx="242969" cy="2144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C2</a:t>
          </a:r>
        </a:p>
      </xdr:txBody>
    </xdr:sp>
    <xdr:clientData/>
  </xdr:twoCellAnchor>
  <xdr:twoCellAnchor editAs="absolute">
    <xdr:from>
      <xdr:col>1</xdr:col>
      <xdr:colOff>896117</xdr:colOff>
      <xdr:row>7</xdr:row>
      <xdr:rowOff>3625848</xdr:rowOff>
    </xdr:from>
    <xdr:to>
      <xdr:col>1</xdr:col>
      <xdr:colOff>1211687</xdr:colOff>
      <xdr:row>7</xdr:row>
      <xdr:rowOff>3869886</xdr:rowOff>
    </xdr:to>
    <xdr:sp macro="" textlink="">
      <xdr:nvSpPr>
        <xdr:cNvPr id="74" name="Text Box 25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 txBox="1">
          <a:spLocks noChangeArrowheads="1"/>
        </xdr:cNvSpPr>
      </xdr:nvSpPr>
      <xdr:spPr bwMode="auto">
        <a:xfrm>
          <a:off x="1600967" y="9855198"/>
          <a:ext cx="315570" cy="2440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C1</a:t>
          </a:r>
        </a:p>
      </xdr:txBody>
    </xdr:sp>
    <xdr:clientData/>
  </xdr:twoCellAnchor>
  <xdr:twoCellAnchor editAs="absolute">
    <xdr:from>
      <xdr:col>1</xdr:col>
      <xdr:colOff>853558</xdr:colOff>
      <xdr:row>7</xdr:row>
      <xdr:rowOff>3243493</xdr:rowOff>
    </xdr:from>
    <xdr:to>
      <xdr:col>1</xdr:col>
      <xdr:colOff>1162413</xdr:colOff>
      <xdr:row>7</xdr:row>
      <xdr:rowOff>3486999</xdr:rowOff>
    </xdr:to>
    <xdr:sp macro="" textlink="">
      <xdr:nvSpPr>
        <xdr:cNvPr id="75" name="Text Box 258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 txBox="1">
          <a:spLocks noChangeArrowheads="1"/>
        </xdr:cNvSpPr>
      </xdr:nvSpPr>
      <xdr:spPr bwMode="auto">
        <a:xfrm>
          <a:off x="1558408" y="9472843"/>
          <a:ext cx="308855" cy="2435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u="none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</a:p>
      </xdr:txBody>
    </xdr:sp>
    <xdr:clientData/>
  </xdr:twoCellAnchor>
  <xdr:twoCellAnchor editAs="absolute">
    <xdr:from>
      <xdr:col>1</xdr:col>
      <xdr:colOff>9479</xdr:colOff>
      <xdr:row>7</xdr:row>
      <xdr:rowOff>2572891</xdr:rowOff>
    </xdr:from>
    <xdr:to>
      <xdr:col>1</xdr:col>
      <xdr:colOff>693342</xdr:colOff>
      <xdr:row>7</xdr:row>
      <xdr:rowOff>2817536</xdr:rowOff>
    </xdr:to>
    <xdr:sp macro="" textlink="'Variable Management'!B471">
      <xdr:nvSpPr>
        <xdr:cNvPr id="76" name="Text Box 261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14329" y="8802241"/>
          <a:ext cx="683863" cy="244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B50E25BC-E8CF-448B-A92C-74321B73BB8B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220pF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0</xdr:col>
      <xdr:colOff>657225</xdr:colOff>
      <xdr:row>7</xdr:row>
      <xdr:rowOff>3652592</xdr:rowOff>
    </xdr:from>
    <xdr:to>
      <xdr:col>1</xdr:col>
      <xdr:colOff>372581</xdr:colOff>
      <xdr:row>7</xdr:row>
      <xdr:rowOff>3928150</xdr:rowOff>
    </xdr:to>
    <xdr:sp macro="" textlink="'Variable Management'!B443">
      <xdr:nvSpPr>
        <xdr:cNvPr id="77" name="Text Box 262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 txBox="1">
          <a:spLocks noChangeArrowheads="1" noTextEdit="1"/>
        </xdr:cNvSpPr>
      </xdr:nvSpPr>
      <xdr:spPr bwMode="auto">
        <a:xfrm>
          <a:off x="657225" y="9881942"/>
          <a:ext cx="420206" cy="2755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r" rtl="0">
            <a:defRPr sz="1000"/>
          </a:pPr>
          <a:fld id="{2D8520E2-C481-4B17-83BA-3FA209B7A03A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1200pF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815405</xdr:colOff>
      <xdr:row>7</xdr:row>
      <xdr:rowOff>3439887</xdr:rowOff>
    </xdr:from>
    <xdr:to>
      <xdr:col>1</xdr:col>
      <xdr:colOff>1274852</xdr:colOff>
      <xdr:row>7</xdr:row>
      <xdr:rowOff>3683426</xdr:rowOff>
    </xdr:to>
    <xdr:sp macro="" textlink="'Variable Management'!B441">
      <xdr:nvSpPr>
        <xdr:cNvPr id="78" name="Text Box 263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520255" y="9669237"/>
          <a:ext cx="459447" cy="243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EDB14F34-7391-4353-9626-FAE030CE211F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6.04kΩ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720709</xdr:colOff>
      <xdr:row>7</xdr:row>
      <xdr:rowOff>4300720</xdr:rowOff>
    </xdr:from>
    <xdr:to>
      <xdr:col>1</xdr:col>
      <xdr:colOff>1235548</xdr:colOff>
      <xdr:row>7</xdr:row>
      <xdr:rowOff>4475356</xdr:rowOff>
    </xdr:to>
    <xdr:sp macro="" textlink="'Variable Management'!B452">
      <xdr:nvSpPr>
        <xdr:cNvPr id="79" name="Text Box 26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425559" y="10530070"/>
          <a:ext cx="514839" cy="1746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r" rtl="0">
            <a:defRPr sz="1000"/>
          </a:pPr>
          <a:fld id="{4143709D-01BC-4A19-AF00-5C62DAE21E0B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20.5kΩ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35144</xdr:colOff>
      <xdr:row>7</xdr:row>
      <xdr:rowOff>2153311</xdr:rowOff>
    </xdr:from>
    <xdr:to>
      <xdr:col>1</xdr:col>
      <xdr:colOff>715810</xdr:colOff>
      <xdr:row>7</xdr:row>
      <xdr:rowOff>2413283</xdr:rowOff>
    </xdr:to>
    <xdr:sp macro="" textlink="'Variable Management'!B469">
      <xdr:nvSpPr>
        <xdr:cNvPr id="80" name="Text Box 265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39994" y="8382661"/>
          <a:ext cx="680666" cy="2599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30247B59-D142-4194-9028-13C083D6194C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33.2kΩ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648746</xdr:colOff>
      <xdr:row>7</xdr:row>
      <xdr:rowOff>1687485</xdr:rowOff>
    </xdr:from>
    <xdr:to>
      <xdr:col>1</xdr:col>
      <xdr:colOff>1135349</xdr:colOff>
      <xdr:row>7</xdr:row>
      <xdr:rowOff>1872615</xdr:rowOff>
    </xdr:to>
    <xdr:sp macro="" textlink="'Variable Management'!B450">
      <xdr:nvSpPr>
        <xdr:cNvPr id="81" name="Text Box 266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353596" y="7916835"/>
          <a:ext cx="486603" cy="185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F0D4FEFA-1BCB-42BA-B0A4-AAEA1128161F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 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6802438</xdr:colOff>
      <xdr:row>7</xdr:row>
      <xdr:rowOff>2324357</xdr:rowOff>
    </xdr:from>
    <xdr:to>
      <xdr:col>1</xdr:col>
      <xdr:colOff>7303337</xdr:colOff>
      <xdr:row>7</xdr:row>
      <xdr:rowOff>2533495</xdr:rowOff>
    </xdr:to>
    <xdr:sp macro="" textlink="'Variable Management'!B433">
      <xdr:nvSpPr>
        <xdr:cNvPr id="82" name="Text Box 26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507288" y="8553707"/>
          <a:ext cx="500899" cy="2091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fld id="{DEF62FD0-959B-4627-B7E8-61CA1688D174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ctr" rtl="0">
              <a:defRPr sz="1000"/>
            </a:pPr>
            <a:t>990µF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1750147</xdr:colOff>
      <xdr:row>7</xdr:row>
      <xdr:rowOff>4634800</xdr:rowOff>
    </xdr:from>
    <xdr:to>
      <xdr:col>1</xdr:col>
      <xdr:colOff>2273580</xdr:colOff>
      <xdr:row>7</xdr:row>
      <xdr:rowOff>4927889</xdr:rowOff>
    </xdr:to>
    <xdr:sp macro="" textlink="'Variable Management'!B451">
      <xdr:nvSpPr>
        <xdr:cNvPr id="83" name="Text Box 26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 txBox="1">
          <a:spLocks noChangeArrowheads="1" noTextEdit="1"/>
        </xdr:cNvSpPr>
      </xdr:nvSpPr>
      <xdr:spPr bwMode="auto">
        <a:xfrm>
          <a:off x="2454997" y="10864150"/>
          <a:ext cx="523433" cy="2930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DE4FB3C5-779F-4472-8885-3DB2A25A3AD8}" type="TxLink">
            <a:rPr lang="en-US" sz="10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310kΩ</a:t>
          </a:fld>
          <a:endParaRPr lang="el-GR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7863577</xdr:colOff>
      <xdr:row>7</xdr:row>
      <xdr:rowOff>1180255</xdr:rowOff>
    </xdr:from>
    <xdr:to>
      <xdr:col>1</xdr:col>
      <xdr:colOff>8405722</xdr:colOff>
      <xdr:row>7</xdr:row>
      <xdr:rowOff>1385433</xdr:rowOff>
    </xdr:to>
    <xdr:sp macro="" textlink="'Variable Management'!B464">
      <xdr:nvSpPr>
        <xdr:cNvPr id="84" name="Text Box 27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568427" y="7409605"/>
          <a:ext cx="542145" cy="2051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fld id="{14CFEDF3-9A5F-4A24-9D5F-304E5DC1B6C6}" type="TxLink">
            <a:rPr lang="en-US" sz="10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ctr" rtl="0">
              <a:defRPr sz="1000"/>
            </a:pPr>
            <a:t>#VALUE!</a:t>
          </a:fld>
          <a:endParaRPr lang="en-US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6539066</xdr:colOff>
      <xdr:row>7</xdr:row>
      <xdr:rowOff>1508922</xdr:rowOff>
    </xdr:from>
    <xdr:to>
      <xdr:col>1</xdr:col>
      <xdr:colOff>6987309</xdr:colOff>
      <xdr:row>7</xdr:row>
      <xdr:rowOff>1718015</xdr:rowOff>
    </xdr:to>
    <xdr:sp macro="" textlink="'Variable Management'!B426">
      <xdr:nvSpPr>
        <xdr:cNvPr id="85" name="Text Box 275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243916" y="7738272"/>
          <a:ext cx="448243" cy="2090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fld id="{08583DE7-3129-476B-98BE-2887A134E956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ctr" rtl="0">
              <a:defRPr sz="1000"/>
            </a:pPr>
            <a:t>2µH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6311714</xdr:colOff>
      <xdr:row>7</xdr:row>
      <xdr:rowOff>2310702</xdr:rowOff>
    </xdr:from>
    <xdr:to>
      <xdr:col>1</xdr:col>
      <xdr:colOff>6784061</xdr:colOff>
      <xdr:row>7</xdr:row>
      <xdr:rowOff>2534418</xdr:rowOff>
    </xdr:to>
    <xdr:sp macro="" textlink="'Variable Management'!B437">
      <xdr:nvSpPr>
        <xdr:cNvPr id="86" name="Text Box 276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016564" y="8540052"/>
          <a:ext cx="472347" cy="2237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7E8F3901-1453-4951-8E28-510E65401D4C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290µF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3505332</xdr:colOff>
      <xdr:row>7</xdr:row>
      <xdr:rowOff>155199</xdr:rowOff>
    </xdr:from>
    <xdr:to>
      <xdr:col>1</xdr:col>
      <xdr:colOff>3874809</xdr:colOff>
      <xdr:row>7</xdr:row>
      <xdr:rowOff>391314</xdr:rowOff>
    </xdr:to>
    <xdr:sp macro="" textlink="">
      <xdr:nvSpPr>
        <xdr:cNvPr id="87" name="Text Box 27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 txBox="1">
          <a:spLocks noChangeArrowheads="1"/>
        </xdr:cNvSpPr>
      </xdr:nvSpPr>
      <xdr:spPr bwMode="auto">
        <a:xfrm>
          <a:off x="4210182" y="6384549"/>
          <a:ext cx="369477" cy="23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0.1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1006694</xdr:colOff>
      <xdr:row>7</xdr:row>
      <xdr:rowOff>2959505</xdr:rowOff>
    </xdr:from>
    <xdr:to>
      <xdr:col>1</xdr:col>
      <xdr:colOff>1444337</xdr:colOff>
      <xdr:row>7</xdr:row>
      <xdr:rowOff>3194355</xdr:rowOff>
    </xdr:to>
    <xdr:sp macro="" textlink="'Variable Management'!B470">
      <xdr:nvSpPr>
        <xdr:cNvPr id="88" name="Text Box 281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711544" y="9188855"/>
          <a:ext cx="437643" cy="23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77460045-3ADA-4E36-A50B-8C5C548E137C}" type="TxLink">
            <a:rPr lang="en-US" sz="10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220nF</a:t>
          </a:fld>
          <a:endParaRPr lang="en-US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8287206</xdr:colOff>
      <xdr:row>7</xdr:row>
      <xdr:rowOff>986041</xdr:rowOff>
    </xdr:from>
    <xdr:to>
      <xdr:col>1</xdr:col>
      <xdr:colOff>8765869</xdr:colOff>
      <xdr:row>7</xdr:row>
      <xdr:rowOff>1230653</xdr:rowOff>
    </xdr:to>
    <xdr:sp macro="" textlink="'Variable Management'!B431">
      <xdr:nvSpPr>
        <xdr:cNvPr id="89" name="Text Box 285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992056" y="7215391"/>
          <a:ext cx="478663" cy="2446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r" rtl="0">
            <a:defRPr sz="1000"/>
          </a:pPr>
          <a:fld id="{702C2B8A-7C4B-4FDB-B229-3170089D9686}" type="TxLink">
            <a:rPr lang="en-US" sz="1200" b="1" i="0" u="none" strike="noStrike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12.8V</a:t>
          </a:fld>
          <a:endParaRPr lang="en-US" sz="1200" b="1" i="0" u="none" strike="noStrike" baseline="0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8272196</xdr:colOff>
      <xdr:row>7</xdr:row>
      <xdr:rowOff>1215042</xdr:rowOff>
    </xdr:from>
    <xdr:to>
      <xdr:col>1</xdr:col>
      <xdr:colOff>8725233</xdr:colOff>
      <xdr:row>7</xdr:row>
      <xdr:rowOff>1457596</xdr:rowOff>
    </xdr:to>
    <xdr:sp macro="" textlink="'Variable Management'!B473">
      <xdr:nvSpPr>
        <xdr:cNvPr id="90" name="Text Box 286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977046" y="7444392"/>
          <a:ext cx="453037" cy="2425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E0FB88FA-F39E-4ACF-AB5E-DCB628763AAE}" type="TxLink">
            <a:rPr lang="en-US" sz="1200" b="1" i="0" u="none" strike="noStrike">
              <a:solidFill>
                <a:srgbClr val="FF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20A</a:t>
          </a:fld>
          <a:endParaRPr lang="en-US" sz="1200" b="1" i="0" strike="noStrike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339944</xdr:colOff>
      <xdr:row>7</xdr:row>
      <xdr:rowOff>1978754</xdr:rowOff>
    </xdr:from>
    <xdr:to>
      <xdr:col>1</xdr:col>
      <xdr:colOff>604552</xdr:colOff>
      <xdr:row>7</xdr:row>
      <xdr:rowOff>2170569</xdr:rowOff>
    </xdr:to>
    <xdr:sp macro="" textlink="">
      <xdr:nvSpPr>
        <xdr:cNvPr id="91" name="Text Box 251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 txBox="1">
          <a:spLocks noChangeArrowheads="1"/>
        </xdr:cNvSpPr>
      </xdr:nvSpPr>
      <xdr:spPr bwMode="auto">
        <a:xfrm>
          <a:off x="1044794" y="8208104"/>
          <a:ext cx="264608" cy="1918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T</a:t>
          </a:r>
        </a:p>
      </xdr:txBody>
    </xdr:sp>
    <xdr:clientData/>
  </xdr:twoCellAnchor>
  <xdr:twoCellAnchor editAs="absolute">
    <xdr:from>
      <xdr:col>1</xdr:col>
      <xdr:colOff>2952085</xdr:colOff>
      <xdr:row>7</xdr:row>
      <xdr:rowOff>151110</xdr:rowOff>
    </xdr:from>
    <xdr:to>
      <xdr:col>1</xdr:col>
      <xdr:colOff>3413563</xdr:colOff>
      <xdr:row>7</xdr:row>
      <xdr:rowOff>375118</xdr:rowOff>
    </xdr:to>
    <xdr:sp macro="" textlink="">
      <xdr:nvSpPr>
        <xdr:cNvPr id="92" name="Text Box 24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 txBox="1">
          <a:spLocks noChangeArrowheads="1"/>
        </xdr:cNvSpPr>
      </xdr:nvSpPr>
      <xdr:spPr bwMode="auto">
        <a:xfrm>
          <a:off x="3656935" y="6380460"/>
          <a:ext cx="461478" cy="2240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BOOT1</a:t>
          </a:r>
        </a:p>
      </xdr:txBody>
    </xdr:sp>
    <xdr:clientData/>
  </xdr:twoCellAnchor>
  <xdr:twoCellAnchor editAs="absolute">
    <xdr:from>
      <xdr:col>1</xdr:col>
      <xdr:colOff>5943177</xdr:colOff>
      <xdr:row>7</xdr:row>
      <xdr:rowOff>2266758</xdr:rowOff>
    </xdr:from>
    <xdr:to>
      <xdr:col>1</xdr:col>
      <xdr:colOff>6265561</xdr:colOff>
      <xdr:row>7</xdr:row>
      <xdr:rowOff>2512008</xdr:rowOff>
    </xdr:to>
    <xdr:sp macro="" textlink="">
      <xdr:nvSpPr>
        <xdr:cNvPr id="93" name="Text Box 244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 txBox="1">
          <a:spLocks noChangeArrowheads="1"/>
        </xdr:cNvSpPr>
      </xdr:nvSpPr>
      <xdr:spPr bwMode="auto">
        <a:xfrm>
          <a:off x="6648027" y="8496108"/>
          <a:ext cx="322384" cy="24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2</a:t>
          </a:r>
        </a:p>
      </xdr:txBody>
    </xdr:sp>
    <xdr:clientData/>
  </xdr:twoCellAnchor>
  <xdr:twoCellAnchor editAs="absolute">
    <xdr:from>
      <xdr:col>1</xdr:col>
      <xdr:colOff>5944154</xdr:colOff>
      <xdr:row>7</xdr:row>
      <xdr:rowOff>1390774</xdr:rowOff>
    </xdr:from>
    <xdr:to>
      <xdr:col>1</xdr:col>
      <xdr:colOff>6266538</xdr:colOff>
      <xdr:row>7</xdr:row>
      <xdr:rowOff>1656965</xdr:rowOff>
    </xdr:to>
    <xdr:sp macro="" textlink="">
      <xdr:nvSpPr>
        <xdr:cNvPr id="94" name="Text Box 24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 txBox="1">
          <a:spLocks noChangeArrowheads="1"/>
        </xdr:cNvSpPr>
      </xdr:nvSpPr>
      <xdr:spPr bwMode="auto">
        <a:xfrm>
          <a:off x="6649004" y="7620124"/>
          <a:ext cx="322384" cy="2661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</a:t>
          </a:r>
        </a:p>
      </xdr:txBody>
    </xdr:sp>
    <xdr:clientData/>
  </xdr:twoCellAnchor>
  <xdr:twoCellAnchor editAs="absolute">
    <xdr:from>
      <xdr:col>1</xdr:col>
      <xdr:colOff>6867893</xdr:colOff>
      <xdr:row>7</xdr:row>
      <xdr:rowOff>3150337</xdr:rowOff>
    </xdr:from>
    <xdr:to>
      <xdr:col>1</xdr:col>
      <xdr:colOff>7347524</xdr:colOff>
      <xdr:row>7</xdr:row>
      <xdr:rowOff>3421399</xdr:rowOff>
    </xdr:to>
    <xdr:sp macro="" textlink="'Variable Management'!B428">
      <xdr:nvSpPr>
        <xdr:cNvPr id="95" name="Text Box 275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572743" y="9379687"/>
          <a:ext cx="479631" cy="27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952677B8-8C18-463F-B0C9-D2099A1EBA1B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3mΩ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254219</xdr:colOff>
      <xdr:row>7</xdr:row>
      <xdr:rowOff>2380749</xdr:rowOff>
    </xdr:from>
    <xdr:to>
      <xdr:col>1</xdr:col>
      <xdr:colOff>687280</xdr:colOff>
      <xdr:row>7</xdr:row>
      <xdr:rowOff>2617060</xdr:rowOff>
    </xdr:to>
    <xdr:sp macro="" textlink="">
      <xdr:nvSpPr>
        <xdr:cNvPr id="96" name="Text Box 251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 txBox="1">
          <a:spLocks noChangeArrowheads="1"/>
        </xdr:cNvSpPr>
      </xdr:nvSpPr>
      <xdr:spPr bwMode="auto">
        <a:xfrm>
          <a:off x="959069" y="8610099"/>
          <a:ext cx="433061" cy="2363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SLOPE</a:t>
          </a:r>
        </a:p>
      </xdr:txBody>
    </xdr:sp>
    <xdr:clientData/>
  </xdr:twoCellAnchor>
  <xdr:twoCellAnchor editAs="absolute">
    <xdr:from>
      <xdr:col>1</xdr:col>
      <xdr:colOff>5510442</xdr:colOff>
      <xdr:row>7</xdr:row>
      <xdr:rowOff>3222811</xdr:rowOff>
    </xdr:from>
    <xdr:to>
      <xdr:col>1</xdr:col>
      <xdr:colOff>5917925</xdr:colOff>
      <xdr:row>7</xdr:row>
      <xdr:rowOff>3467178</xdr:rowOff>
    </xdr:to>
    <xdr:sp macro="" textlink="">
      <xdr:nvSpPr>
        <xdr:cNvPr id="97" name="Text Box 248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 txBox="1">
          <a:spLocks noChangeArrowheads="1"/>
        </xdr:cNvSpPr>
      </xdr:nvSpPr>
      <xdr:spPr bwMode="auto">
        <a:xfrm>
          <a:off x="6215292" y="9452161"/>
          <a:ext cx="407483" cy="2443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BOOT2</a:t>
          </a:r>
        </a:p>
      </xdr:txBody>
    </xdr:sp>
    <xdr:clientData/>
  </xdr:twoCellAnchor>
  <xdr:twoCellAnchor editAs="absolute">
    <xdr:from>
      <xdr:col>1</xdr:col>
      <xdr:colOff>4880097</xdr:colOff>
      <xdr:row>7</xdr:row>
      <xdr:rowOff>3625880</xdr:rowOff>
    </xdr:from>
    <xdr:to>
      <xdr:col>1</xdr:col>
      <xdr:colOff>5341575</xdr:colOff>
      <xdr:row>7</xdr:row>
      <xdr:rowOff>3876702</xdr:rowOff>
    </xdr:to>
    <xdr:sp macro="" textlink="">
      <xdr:nvSpPr>
        <xdr:cNvPr id="98" name="Text Box 24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 txBox="1">
          <a:spLocks noChangeArrowheads="1"/>
        </xdr:cNvSpPr>
      </xdr:nvSpPr>
      <xdr:spPr bwMode="auto">
        <a:xfrm>
          <a:off x="5584947" y="9855230"/>
          <a:ext cx="461478" cy="2508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BOOT2</a:t>
          </a:r>
        </a:p>
      </xdr:txBody>
    </xdr:sp>
    <xdr:clientData/>
  </xdr:twoCellAnchor>
  <xdr:twoCellAnchor editAs="absolute">
    <xdr:from>
      <xdr:col>1</xdr:col>
      <xdr:colOff>4940561</xdr:colOff>
      <xdr:row>7</xdr:row>
      <xdr:rowOff>3837855</xdr:rowOff>
    </xdr:from>
    <xdr:to>
      <xdr:col>1</xdr:col>
      <xdr:colOff>5310038</xdr:colOff>
      <xdr:row>7</xdr:row>
      <xdr:rowOff>4065180</xdr:rowOff>
    </xdr:to>
    <xdr:sp macro="" textlink="">
      <xdr:nvSpPr>
        <xdr:cNvPr id="99" name="Text Box 27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 txBox="1">
          <a:spLocks noChangeArrowheads="1"/>
        </xdr:cNvSpPr>
      </xdr:nvSpPr>
      <xdr:spPr bwMode="auto">
        <a:xfrm>
          <a:off x="5645411" y="10067205"/>
          <a:ext cx="369477" cy="22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0.1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5094928</xdr:colOff>
      <xdr:row>7</xdr:row>
      <xdr:rowOff>2386949</xdr:rowOff>
    </xdr:from>
    <xdr:to>
      <xdr:col>1</xdr:col>
      <xdr:colOff>5365431</xdr:colOff>
      <xdr:row>7</xdr:row>
      <xdr:rowOff>2623978</xdr:rowOff>
    </xdr:to>
    <xdr:sp macro="" textlink="">
      <xdr:nvSpPr>
        <xdr:cNvPr id="100" name="Text Box 279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 txBox="1">
          <a:spLocks noChangeArrowheads="1"/>
        </xdr:cNvSpPr>
      </xdr:nvSpPr>
      <xdr:spPr bwMode="auto">
        <a:xfrm>
          <a:off x="5799778" y="8616299"/>
          <a:ext cx="270503" cy="2370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2444899</xdr:colOff>
      <xdr:row>7</xdr:row>
      <xdr:rowOff>47625</xdr:rowOff>
    </xdr:from>
    <xdr:to>
      <xdr:col>1</xdr:col>
      <xdr:colOff>2821188</xdr:colOff>
      <xdr:row>7</xdr:row>
      <xdr:rowOff>283294</xdr:rowOff>
    </xdr:to>
    <xdr:sp macro="" textlink="">
      <xdr:nvSpPr>
        <xdr:cNvPr id="101" name="Text Box 27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 txBox="1">
          <a:spLocks noChangeArrowheads="1"/>
        </xdr:cNvSpPr>
      </xdr:nvSpPr>
      <xdr:spPr bwMode="auto">
        <a:xfrm>
          <a:off x="3149749" y="6276975"/>
          <a:ext cx="376289" cy="2356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0.1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2144579</xdr:colOff>
      <xdr:row>7</xdr:row>
      <xdr:rowOff>488027</xdr:rowOff>
    </xdr:from>
    <xdr:to>
      <xdr:col>1</xdr:col>
      <xdr:colOff>2471641</xdr:colOff>
      <xdr:row>7</xdr:row>
      <xdr:rowOff>715157</xdr:rowOff>
    </xdr:to>
    <xdr:sp macro="" textlink="">
      <xdr:nvSpPr>
        <xdr:cNvPr id="102" name="Text Box 245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 txBox="1">
          <a:spLocks noChangeArrowheads="1"/>
        </xdr:cNvSpPr>
      </xdr:nvSpPr>
      <xdr:spPr bwMode="auto">
        <a:xfrm>
          <a:off x="2849429" y="6717377"/>
          <a:ext cx="327062" cy="227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VIN</a:t>
          </a:r>
        </a:p>
      </xdr:txBody>
    </xdr:sp>
    <xdr:clientData/>
  </xdr:twoCellAnchor>
  <xdr:twoCellAnchor editAs="absolute">
    <xdr:from>
      <xdr:col>1</xdr:col>
      <xdr:colOff>2451906</xdr:colOff>
      <xdr:row>7</xdr:row>
      <xdr:rowOff>508323</xdr:rowOff>
    </xdr:from>
    <xdr:to>
      <xdr:col>1</xdr:col>
      <xdr:colOff>2822138</xdr:colOff>
      <xdr:row>7</xdr:row>
      <xdr:rowOff>732466</xdr:rowOff>
    </xdr:to>
    <xdr:sp macro="" textlink="">
      <xdr:nvSpPr>
        <xdr:cNvPr id="103" name="Text Box 277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 txBox="1">
          <a:spLocks noChangeArrowheads="1"/>
        </xdr:cNvSpPr>
      </xdr:nvSpPr>
      <xdr:spPr bwMode="auto">
        <a:xfrm>
          <a:off x="3156756" y="6737673"/>
          <a:ext cx="370232" cy="224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l-GR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2Ω</a:t>
          </a:r>
        </a:p>
      </xdr:txBody>
    </xdr:sp>
    <xdr:clientData/>
  </xdr:twoCellAnchor>
  <xdr:twoCellAnchor editAs="absolute">
    <xdr:from>
      <xdr:col>1</xdr:col>
      <xdr:colOff>4627899</xdr:colOff>
      <xdr:row>7</xdr:row>
      <xdr:rowOff>4767713</xdr:rowOff>
    </xdr:from>
    <xdr:to>
      <xdr:col>1</xdr:col>
      <xdr:colOff>4940204</xdr:colOff>
      <xdr:row>8</xdr:row>
      <xdr:rowOff>1691</xdr:rowOff>
    </xdr:to>
    <xdr:sp macro="" textlink="">
      <xdr:nvSpPr>
        <xdr:cNvPr id="104" name="Text Box 250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 txBox="1">
          <a:spLocks noChangeArrowheads="1"/>
        </xdr:cNvSpPr>
      </xdr:nvSpPr>
      <xdr:spPr bwMode="auto">
        <a:xfrm>
          <a:off x="5332749" y="10997063"/>
          <a:ext cx="312305" cy="2250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CS2</a:t>
          </a:r>
        </a:p>
        <a:p>
          <a:pPr algn="l" rtl="0">
            <a:defRPr sz="1000"/>
          </a:pP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ood</a:t>
          </a:r>
        </a:p>
      </xdr:txBody>
    </xdr:sp>
    <xdr:clientData/>
  </xdr:twoCellAnchor>
  <xdr:twoCellAnchor editAs="absolute">
    <xdr:from>
      <xdr:col>1</xdr:col>
      <xdr:colOff>2028048</xdr:colOff>
      <xdr:row>7</xdr:row>
      <xdr:rowOff>61062</xdr:rowOff>
    </xdr:from>
    <xdr:to>
      <xdr:col>1</xdr:col>
      <xdr:colOff>2352330</xdr:colOff>
      <xdr:row>7</xdr:row>
      <xdr:rowOff>279753</xdr:rowOff>
    </xdr:to>
    <xdr:sp macro="" textlink="">
      <xdr:nvSpPr>
        <xdr:cNvPr id="105" name="Text Box 245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 txBox="1">
          <a:spLocks noChangeArrowheads="1"/>
        </xdr:cNvSpPr>
      </xdr:nvSpPr>
      <xdr:spPr bwMode="auto">
        <a:xfrm>
          <a:off x="2732898" y="6290412"/>
          <a:ext cx="324282" cy="2186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VIN</a:t>
          </a:r>
        </a:p>
      </xdr:txBody>
    </xdr:sp>
    <xdr:clientData/>
  </xdr:twoCellAnchor>
  <xdr:twoCellAnchor editAs="absolute">
    <xdr:from>
      <xdr:col>1</xdr:col>
      <xdr:colOff>7319710</xdr:colOff>
      <xdr:row>7</xdr:row>
      <xdr:rowOff>2263019</xdr:rowOff>
    </xdr:from>
    <xdr:to>
      <xdr:col>1</xdr:col>
      <xdr:colOff>7598272</xdr:colOff>
      <xdr:row>7</xdr:row>
      <xdr:rowOff>2553389</xdr:rowOff>
    </xdr:to>
    <xdr:sp macro="" textlink="">
      <xdr:nvSpPr>
        <xdr:cNvPr id="106" name="Text Box 24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 txBox="1">
          <a:spLocks noChangeArrowheads="1"/>
        </xdr:cNvSpPr>
      </xdr:nvSpPr>
      <xdr:spPr bwMode="auto">
        <a:xfrm>
          <a:off x="8024560" y="8492369"/>
          <a:ext cx="278562" cy="290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4</a:t>
          </a:r>
        </a:p>
      </xdr:txBody>
    </xdr:sp>
    <xdr:clientData/>
  </xdr:twoCellAnchor>
  <xdr:twoCellAnchor editAs="absolute">
    <xdr:from>
      <xdr:col>1</xdr:col>
      <xdr:colOff>7311161</xdr:colOff>
      <xdr:row>7</xdr:row>
      <xdr:rowOff>1389309</xdr:rowOff>
    </xdr:from>
    <xdr:to>
      <xdr:col>1</xdr:col>
      <xdr:colOff>7590944</xdr:colOff>
      <xdr:row>7</xdr:row>
      <xdr:rowOff>1653226</xdr:rowOff>
    </xdr:to>
    <xdr:sp macro="" textlink="">
      <xdr:nvSpPr>
        <xdr:cNvPr id="107" name="Text Box 244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 txBox="1">
          <a:spLocks noChangeArrowheads="1"/>
        </xdr:cNvSpPr>
      </xdr:nvSpPr>
      <xdr:spPr bwMode="auto">
        <a:xfrm>
          <a:off x="8016011" y="7618659"/>
          <a:ext cx="279783" cy="263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3</a:t>
          </a:r>
        </a:p>
      </xdr:txBody>
    </xdr:sp>
    <xdr:clientData/>
  </xdr:twoCellAnchor>
  <xdr:twoCellAnchor editAs="absolute">
    <xdr:from>
      <xdr:col>1</xdr:col>
      <xdr:colOff>663203</xdr:colOff>
      <xdr:row>7</xdr:row>
      <xdr:rowOff>3831246</xdr:rowOff>
    </xdr:from>
    <xdr:to>
      <xdr:col>1</xdr:col>
      <xdr:colOff>1167405</xdr:colOff>
      <xdr:row>7</xdr:row>
      <xdr:rowOff>4074649</xdr:rowOff>
    </xdr:to>
    <xdr:sp macro="" textlink="'Variable Management'!B442">
      <xdr:nvSpPr>
        <xdr:cNvPr id="108" name="Text Box 261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368053" y="10060596"/>
          <a:ext cx="504202" cy="2434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B9060F6D-CAA3-48E6-BAE7-37C16D6980D0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33nF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4854635</xdr:colOff>
      <xdr:row>7</xdr:row>
      <xdr:rowOff>4489457</xdr:rowOff>
    </xdr:from>
    <xdr:to>
      <xdr:col>1</xdr:col>
      <xdr:colOff>5248259</xdr:colOff>
      <xdr:row>7</xdr:row>
      <xdr:rowOff>4722477</xdr:rowOff>
    </xdr:to>
    <xdr:sp macro="" textlink="'Variable Management'!B467">
      <xdr:nvSpPr>
        <xdr:cNvPr id="109" name="Text Box 270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 txBox="1">
          <a:spLocks noChangeArrowheads="1" noTextEdit="1"/>
        </xdr:cNvSpPr>
      </xdr:nvSpPr>
      <xdr:spPr bwMode="auto">
        <a:xfrm>
          <a:off x="5559485" y="10718807"/>
          <a:ext cx="393624" cy="233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62E2AFC2-CB14-431A-99E1-2EF4D5A6CD34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 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1654331</xdr:colOff>
      <xdr:row>7</xdr:row>
      <xdr:rowOff>430264</xdr:rowOff>
    </xdr:from>
    <xdr:to>
      <xdr:col>1</xdr:col>
      <xdr:colOff>2003826</xdr:colOff>
      <xdr:row>7</xdr:row>
      <xdr:rowOff>671909</xdr:rowOff>
    </xdr:to>
    <xdr:sp macro="" textlink="">
      <xdr:nvSpPr>
        <xdr:cNvPr id="110" name="Text Box 248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 txBox="1">
          <a:spLocks noChangeArrowheads="1"/>
        </xdr:cNvSpPr>
      </xdr:nvSpPr>
      <xdr:spPr bwMode="auto">
        <a:xfrm>
          <a:off x="2359181" y="6659614"/>
          <a:ext cx="349495" cy="2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VIN</a:t>
          </a:r>
        </a:p>
      </xdr:txBody>
    </xdr:sp>
    <xdr:clientData/>
  </xdr:twoCellAnchor>
  <xdr:twoCellAnchor editAs="absolute">
    <xdr:from>
      <xdr:col>1</xdr:col>
      <xdr:colOff>6290995</xdr:colOff>
      <xdr:row>7</xdr:row>
      <xdr:rowOff>1006446</xdr:rowOff>
    </xdr:from>
    <xdr:to>
      <xdr:col>1</xdr:col>
      <xdr:colOff>7281596</xdr:colOff>
      <xdr:row>7</xdr:row>
      <xdr:rowOff>1266695</xdr:rowOff>
    </xdr:to>
    <xdr:sp macro="" textlink="'Variable Management'!B475">
      <xdr:nvSpPr>
        <xdr:cNvPr id="111" name="Text Box 283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 txBox="1">
          <a:spLocks noChangeArrowheads="1" noTextEdit="1"/>
        </xdr:cNvSpPr>
      </xdr:nvSpPr>
      <xdr:spPr bwMode="auto">
        <a:xfrm>
          <a:off x="6995845" y="7235796"/>
          <a:ext cx="990601" cy="2602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B114F7CE-60BB-40BD-BD7F-B22E7592FFCF}" type="TxLink">
            <a:rPr lang="en-US" sz="1200" b="1" i="0" u="none" strike="noStrike">
              <a:solidFill>
                <a:srgbClr val="FF0000"/>
              </a:solidFill>
              <a:latin typeface="Arial"/>
              <a:cs typeface="Arial"/>
            </a:rPr>
            <a:pPr algn="l" rtl="0">
              <a:defRPr sz="1000"/>
            </a:pPr>
            <a:t>9V...48V</a:t>
          </a:fld>
          <a:endParaRPr lang="en-US" sz="1200" b="1" i="0" strike="noStrike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713956</xdr:colOff>
      <xdr:row>7</xdr:row>
      <xdr:rowOff>1516768</xdr:rowOff>
    </xdr:from>
    <xdr:to>
      <xdr:col>1</xdr:col>
      <xdr:colOff>1196832</xdr:colOff>
      <xdr:row>7</xdr:row>
      <xdr:rowOff>1701897</xdr:rowOff>
    </xdr:to>
    <xdr:sp macro="" textlink="'Variable Management'!C450">
      <xdr:nvSpPr>
        <xdr:cNvPr id="112" name="Text Box 26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418806" y="7746118"/>
          <a:ext cx="482876" cy="1851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fld id="{DF2A2C16-623E-4E51-B82E-2B3F1562B3CF}" type="TxLink"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 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4</xdr:row>
      <xdr:rowOff>1009650</xdr:rowOff>
    </xdr:from>
    <xdr:to>
      <xdr:col>5</xdr:col>
      <xdr:colOff>240968</xdr:colOff>
      <xdr:row>4</xdr:row>
      <xdr:rowOff>1238250</xdr:rowOff>
    </xdr:to>
    <xdr:sp macro="" textlink="'Variable Management'!$B$457">
      <xdr:nvSpPr>
        <xdr:cNvPr id="5" name="Text Box 2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0753725" y="1657350"/>
          <a:ext cx="421943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27432" tIns="22860" rIns="0" bIns="22860" anchor="b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fld id="{1F0AFB1C-0795-4024-9821-D34D86340D40}" type="TxLink"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pPr algn="l" rtl="0">
              <a:defRPr sz="1000"/>
            </a:pPr>
            <a:t>#VALUE!</a:t>
          </a:fld>
          <a:endParaRPr lang="en-US" sz="900" b="1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419100</xdr:colOff>
      <xdr:row>4</xdr:row>
      <xdr:rowOff>1000125</xdr:rowOff>
    </xdr:from>
    <xdr:to>
      <xdr:col>4</xdr:col>
      <xdr:colOff>231443</xdr:colOff>
      <xdr:row>4</xdr:row>
      <xdr:rowOff>1228725</xdr:rowOff>
    </xdr:to>
    <xdr:sp macro="" textlink="'Variable Management'!$B$458">
      <xdr:nvSpPr>
        <xdr:cNvPr id="7" name="Text Box 24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0134600" y="1647825"/>
          <a:ext cx="421943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27432" tIns="22860" rIns="0" bIns="22860" anchor="b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fld id="{17D4567B-D519-4FF8-A1F3-102CF08055AD}" type="TxLink"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pPr algn="l" rtl="0">
              <a:defRPr sz="1000"/>
            </a:pPr>
            <a:t>#VALUE!</a:t>
          </a:fld>
          <a:endParaRPr lang="en-US" sz="900" b="1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25400</xdr:colOff>
      <xdr:row>4</xdr:row>
      <xdr:rowOff>12700</xdr:rowOff>
    </xdr:from>
    <xdr:to>
      <xdr:col>1</xdr:col>
      <xdr:colOff>8150225</xdr:colOff>
      <xdr:row>4</xdr:row>
      <xdr:rowOff>5165725</xdr:rowOff>
    </xdr:to>
    <xdr:graphicFrame macro="">
      <xdr:nvGraphicFramePr>
        <xdr:cNvPr id="8" name="Chart 253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6</xdr:row>
      <xdr:rowOff>6350</xdr:rowOff>
    </xdr:from>
    <xdr:to>
      <xdr:col>1</xdr:col>
      <xdr:colOff>8162925</xdr:colOff>
      <xdr:row>6</xdr:row>
      <xdr:rowOff>5159375</xdr:rowOff>
    </xdr:to>
    <xdr:graphicFrame macro="">
      <xdr:nvGraphicFramePr>
        <xdr:cNvPr id="9" name="Chart 253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628650</xdr:colOff>
      <xdr:row>59</xdr:row>
      <xdr:rowOff>66675</xdr:rowOff>
    </xdr:from>
    <xdr:to>
      <xdr:col>45</xdr:col>
      <xdr:colOff>381000</xdr:colOff>
      <xdr:row>89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495300</xdr:colOff>
      <xdr:row>59</xdr:row>
      <xdr:rowOff>47625</xdr:rowOff>
    </xdr:from>
    <xdr:to>
      <xdr:col>34</xdr:col>
      <xdr:colOff>457200</xdr:colOff>
      <xdr:row>88</xdr:row>
      <xdr:rowOff>38100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95250</xdr:colOff>
      <xdr:row>59</xdr:row>
      <xdr:rowOff>31507</xdr:rowOff>
    </xdr:from>
    <xdr:to>
      <xdr:col>23</xdr:col>
      <xdr:colOff>327512</xdr:colOff>
      <xdr:row>88</xdr:row>
      <xdr:rowOff>21982</xdr:rowOff>
    </xdr:to>
    <xdr:graphicFrame macro="">
      <xdr:nvGraphicFramePr>
        <xdr:cNvPr id="4" name="Chart 4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142874</xdr:colOff>
      <xdr:row>92</xdr:row>
      <xdr:rowOff>66675</xdr:rowOff>
    </xdr:from>
    <xdr:to>
      <xdr:col>24</xdr:col>
      <xdr:colOff>171449</xdr:colOff>
      <xdr:row>121</xdr:row>
      <xdr:rowOff>95250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533400</xdr:colOff>
      <xdr:row>55</xdr:row>
      <xdr:rowOff>66675</xdr:rowOff>
    </xdr:from>
    <xdr:to>
      <xdr:col>45</xdr:col>
      <xdr:colOff>285750</xdr:colOff>
      <xdr:row>84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400050</xdr:colOff>
      <xdr:row>55</xdr:row>
      <xdr:rowOff>47625</xdr:rowOff>
    </xdr:from>
    <xdr:to>
      <xdr:col>34</xdr:col>
      <xdr:colOff>361950</xdr:colOff>
      <xdr:row>84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0</xdr:colOff>
      <xdr:row>55</xdr:row>
      <xdr:rowOff>31507</xdr:rowOff>
    </xdr:from>
    <xdr:to>
      <xdr:col>23</xdr:col>
      <xdr:colOff>232262</xdr:colOff>
      <xdr:row>83</xdr:row>
      <xdr:rowOff>145807</xdr:rowOff>
    </xdr:to>
    <xdr:graphicFrame macro="">
      <xdr:nvGraphicFramePr>
        <xdr:cNvPr id="4" name="Chart 4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14</xdr:row>
      <xdr:rowOff>142875</xdr:rowOff>
    </xdr:from>
    <xdr:to>
      <xdr:col>10</xdr:col>
      <xdr:colOff>304800</xdr:colOff>
      <xdr:row>40</xdr:row>
      <xdr:rowOff>66675</xdr:rowOff>
    </xdr:to>
    <xdr:graphicFrame macro="">
      <xdr:nvGraphicFramePr>
        <xdr:cNvPr id="2" name="Chart 1029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0196876/Desktop/LM5177/Quickstart%20Tool/customer/Valeo_LM5177%20Buck-Boost%20Quickstart%20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ign Converter"/>
      <sheetName val="Licenses"/>
      <sheetName val="BOM &amp; Schematic"/>
      <sheetName val="EVMs"/>
      <sheetName val="Variable Management"/>
      <sheetName val="Timings"/>
      <sheetName val="CFG Setting"/>
      <sheetName val="Schematic Management"/>
      <sheetName val="Efficiency Plot Management"/>
      <sheetName val="Efficiency vs VIN Calculations"/>
      <sheetName val="Efficiency vs Load Calculations"/>
      <sheetName val="Stability Calculations"/>
      <sheetName val="Standard Value Calculator"/>
      <sheetName val="Snubber"/>
      <sheetName val="Parallel Output Caps"/>
    </sheetNames>
    <sheetDataSet>
      <sheetData sheetId="0"/>
      <sheetData sheetId="1"/>
      <sheetData sheetId="2"/>
      <sheetData sheetId="3"/>
      <sheetData sheetId="4">
        <row r="7">
          <cell r="B7">
            <v>12</v>
          </cell>
        </row>
        <row r="8">
          <cell r="B8">
            <v>44</v>
          </cell>
        </row>
        <row r="9">
          <cell r="B9">
            <v>45</v>
          </cell>
        </row>
        <row r="10">
          <cell r="B10">
            <v>4.0422641076474628</v>
          </cell>
          <cell r="L10">
            <v>2</v>
          </cell>
          <cell r="O10">
            <v>9</v>
          </cell>
        </row>
        <row r="12">
          <cell r="B12">
            <v>5</v>
          </cell>
        </row>
        <row r="13">
          <cell r="B13">
            <v>10</v>
          </cell>
        </row>
        <row r="14">
          <cell r="B14">
            <v>0.5</v>
          </cell>
        </row>
        <row r="15">
          <cell r="B15">
            <v>50</v>
          </cell>
        </row>
        <row r="16">
          <cell r="B16">
            <v>0.95</v>
          </cell>
        </row>
        <row r="17">
          <cell r="B17">
            <v>52.631578947368425</v>
          </cell>
        </row>
        <row r="18">
          <cell r="B18">
            <v>4.3859649122807021</v>
          </cell>
        </row>
        <row r="19">
          <cell r="B19">
            <v>1.1961722488038278</v>
          </cell>
        </row>
        <row r="20">
          <cell r="B20">
            <v>1.169590643274854</v>
          </cell>
        </row>
        <row r="22">
          <cell r="B22">
            <v>450000</v>
          </cell>
        </row>
        <row r="24">
          <cell r="B24">
            <v>1</v>
          </cell>
        </row>
        <row r="26">
          <cell r="B26">
            <v>67332.727333333343</v>
          </cell>
        </row>
        <row r="34">
          <cell r="B34">
            <v>1</v>
          </cell>
        </row>
        <row r="36">
          <cell r="B36">
            <v>0.19154717847050734</v>
          </cell>
        </row>
        <row r="37">
          <cell r="B37">
            <v>0.87445282152949255</v>
          </cell>
        </row>
        <row r="40">
          <cell r="B40">
            <v>4.0422641076474628</v>
          </cell>
        </row>
        <row r="41">
          <cell r="B41">
            <v>4.4622641076474636</v>
          </cell>
        </row>
        <row r="43">
          <cell r="B43">
            <v>5.7178613607244966</v>
          </cell>
        </row>
        <row r="48">
          <cell r="B48">
            <v>0.11363636363636363</v>
          </cell>
        </row>
        <row r="51">
          <cell r="B51">
            <v>0.41666666666666669</v>
          </cell>
        </row>
        <row r="52">
          <cell r="B52">
            <v>0.11363636363636363</v>
          </cell>
        </row>
        <row r="53">
          <cell r="B53">
            <v>0.1111111111111111</v>
          </cell>
        </row>
        <row r="54">
          <cell r="B54">
            <v>0.19154717847050734</v>
          </cell>
        </row>
        <row r="64">
          <cell r="B64">
            <v>1.697530864197531E-6</v>
          </cell>
        </row>
        <row r="66">
          <cell r="B66">
            <v>2.2000000000000001E-6</v>
          </cell>
        </row>
        <row r="67">
          <cell r="B67">
            <v>0.01</v>
          </cell>
        </row>
        <row r="69">
          <cell r="B69">
            <v>0.11617691608603453</v>
          </cell>
        </row>
        <row r="70">
          <cell r="B70">
            <v>0.88382308391396547</v>
          </cell>
        </row>
        <row r="72">
          <cell r="B72">
            <v>0.42563817980022195</v>
          </cell>
        </row>
        <row r="73">
          <cell r="B73">
            <v>0.11617691608603453</v>
          </cell>
        </row>
        <row r="74">
          <cell r="B74">
            <v>0.11359597156398103</v>
          </cell>
        </row>
        <row r="76">
          <cell r="B76">
            <v>0.15</v>
          </cell>
        </row>
        <row r="78">
          <cell r="B78">
            <v>3.0095628874763163</v>
          </cell>
        </row>
        <row r="79">
          <cell r="B79">
            <v>4.5766663912680263</v>
          </cell>
        </row>
        <row r="80">
          <cell r="B80">
            <v>4.5897362248073135</v>
          </cell>
        </row>
        <row r="81">
          <cell r="B81">
            <v>0.7821053378307824</v>
          </cell>
        </row>
        <row r="100">
          <cell r="B100">
            <v>12</v>
          </cell>
        </row>
        <row r="108">
          <cell r="B108">
            <v>0.05</v>
          </cell>
        </row>
        <row r="112">
          <cell r="B112">
            <v>0.05</v>
          </cell>
        </row>
        <row r="121">
          <cell r="B121">
            <v>4.7640742050262617E-3</v>
          </cell>
        </row>
        <row r="122">
          <cell r="B122">
            <v>1.3333333333333333E-3</v>
          </cell>
        </row>
        <row r="127">
          <cell r="B127">
            <v>39.00478144373816</v>
          </cell>
        </row>
        <row r="128">
          <cell r="B128">
            <v>39.78833319563401</v>
          </cell>
        </row>
        <row r="129">
          <cell r="B129">
            <v>39.794868112403655</v>
          </cell>
        </row>
        <row r="137">
          <cell r="B137">
            <v>42.089736224807311</v>
          </cell>
        </row>
        <row r="139">
          <cell r="B139">
            <v>82500</v>
          </cell>
        </row>
        <row r="141">
          <cell r="B141">
            <v>83000</v>
          </cell>
        </row>
        <row r="143">
          <cell r="B143">
            <v>0</v>
          </cell>
        </row>
        <row r="154">
          <cell r="B154">
            <v>10</v>
          </cell>
        </row>
        <row r="155">
          <cell r="B155">
            <v>50</v>
          </cell>
        </row>
        <row r="156">
          <cell r="B156">
            <v>5</v>
          </cell>
        </row>
        <row r="157">
          <cell r="B157">
            <v>1</v>
          </cell>
        </row>
        <row r="167">
          <cell r="B167">
            <v>5.5732646064376223E-6</v>
          </cell>
        </row>
        <row r="169">
          <cell r="B169">
            <v>2.0000000000000001E-4</v>
          </cell>
        </row>
        <row r="170">
          <cell r="B170">
            <v>4.9821769605255535E-2</v>
          </cell>
        </row>
        <row r="173">
          <cell r="B173">
            <v>8.0000000000000004E-4</v>
          </cell>
        </row>
        <row r="174">
          <cell r="B174">
            <v>7.3564929434952802E-3</v>
          </cell>
        </row>
        <row r="183">
          <cell r="B183">
            <v>0.18</v>
          </cell>
        </row>
        <row r="187">
          <cell r="B187">
            <v>3.0864197530864198E-5</v>
          </cell>
        </row>
        <row r="189">
          <cell r="B189">
            <v>1E-4</v>
          </cell>
        </row>
        <row r="192">
          <cell r="B192">
            <v>1.0121657532779785E-2</v>
          </cell>
        </row>
        <row r="194">
          <cell r="B194">
            <v>2E-3</v>
          </cell>
        </row>
        <row r="198">
          <cell r="B198">
            <v>8.0145291780362865E-2</v>
          </cell>
        </row>
        <row r="203">
          <cell r="B203">
            <v>3.0000000000000001E-3</v>
          </cell>
        </row>
        <row r="204">
          <cell r="B204">
            <v>1.0000000000000001E-5</v>
          </cell>
        </row>
        <row r="205">
          <cell r="B205">
            <v>3.0000000000000004E-8</v>
          </cell>
        </row>
        <row r="206">
          <cell r="B206">
            <v>3.2999999999999998E-8</v>
          </cell>
        </row>
        <row r="210">
          <cell r="B210">
            <v>4.0999999999999996</v>
          </cell>
        </row>
        <row r="212">
          <cell r="B212">
            <v>75</v>
          </cell>
        </row>
        <row r="213">
          <cell r="B213">
            <v>39.263803680981603</v>
          </cell>
        </row>
        <row r="218">
          <cell r="B218">
            <v>1.28</v>
          </cell>
        </row>
        <row r="219">
          <cell r="B219">
            <v>1.23</v>
          </cell>
        </row>
        <row r="221">
          <cell r="B221">
            <v>5.0000000000000001E-3</v>
          </cell>
        </row>
        <row r="236">
          <cell r="B236">
            <v>3.1415926535897931</v>
          </cell>
        </row>
        <row r="237">
          <cell r="B237">
            <v>5</v>
          </cell>
        </row>
        <row r="238">
          <cell r="B238">
            <v>6.6666666666666662E-3</v>
          </cell>
        </row>
        <row r="239">
          <cell r="B239">
            <v>5.0000000000000001E-4</v>
          </cell>
        </row>
        <row r="240">
          <cell r="B240">
            <v>2.4999999999999998E-12</v>
          </cell>
        </row>
        <row r="241">
          <cell r="B241">
            <v>1.8749999999999999E-3</v>
          </cell>
        </row>
        <row r="242">
          <cell r="B242">
            <v>0</v>
          </cell>
        </row>
        <row r="244">
          <cell r="B244">
            <v>0</v>
          </cell>
        </row>
        <row r="245">
          <cell r="B245">
            <v>352409.63855421683</v>
          </cell>
        </row>
        <row r="246">
          <cell r="B246">
            <v>352409.63855421683</v>
          </cell>
        </row>
        <row r="248">
          <cell r="B248">
            <v>0</v>
          </cell>
        </row>
        <row r="251">
          <cell r="B251">
            <v>1666.6666666666665</v>
          </cell>
        </row>
        <row r="254">
          <cell r="B254">
            <v>52861445.783132531</v>
          </cell>
        </row>
        <row r="255">
          <cell r="B255">
            <v>17727272.727272727</v>
          </cell>
        </row>
        <row r="256">
          <cell r="B256">
            <v>2272727.2727272725</v>
          </cell>
        </row>
        <row r="262">
          <cell r="B262">
            <v>1.9697867298578197E-6</v>
          </cell>
        </row>
        <row r="264">
          <cell r="B264">
            <v>1.2763596004439511E-6</v>
          </cell>
        </row>
        <row r="273">
          <cell r="B273">
            <v>24.259036144578317</v>
          </cell>
        </row>
        <row r="274">
          <cell r="B274">
            <v>2.8183400064967539</v>
          </cell>
        </row>
        <row r="275">
          <cell r="B275">
            <v>3.9819277108433737</v>
          </cell>
        </row>
        <row r="276">
          <cell r="B276">
            <v>3.5193196293200675</v>
          </cell>
        </row>
        <row r="278">
          <cell r="B278">
            <v>24.259036144578317</v>
          </cell>
        </row>
        <row r="279">
          <cell r="B279">
            <v>2.8183400064967539</v>
          </cell>
        </row>
        <row r="280">
          <cell r="B280">
            <v>0.13730077783749636</v>
          </cell>
        </row>
        <row r="282">
          <cell r="B282">
            <v>5.1644682192855942E-3</v>
          </cell>
        </row>
        <row r="283">
          <cell r="B283">
            <v>22.49547210880371</v>
          </cell>
        </row>
        <row r="287">
          <cell r="B287">
            <v>13</v>
          </cell>
        </row>
        <row r="288">
          <cell r="B288">
            <v>6.1213439650728982E-12</v>
          </cell>
        </row>
        <row r="289">
          <cell r="B289">
            <v>10000000</v>
          </cell>
        </row>
        <row r="292">
          <cell r="B292">
            <v>5000</v>
          </cell>
        </row>
        <row r="293">
          <cell r="B293">
            <v>0.2</v>
          </cell>
        </row>
        <row r="294">
          <cell r="B294">
            <v>150</v>
          </cell>
        </row>
        <row r="295">
          <cell r="B295">
            <v>34.548220888889361</v>
          </cell>
        </row>
        <row r="296">
          <cell r="B296">
            <v>33.143365646773709</v>
          </cell>
        </row>
        <row r="297">
          <cell r="B297">
            <v>34.548220888889361</v>
          </cell>
        </row>
        <row r="303">
          <cell r="B303">
            <v>0.5</v>
          </cell>
        </row>
        <row r="306">
          <cell r="B306">
            <v>1591.5494309189535</v>
          </cell>
        </row>
        <row r="307">
          <cell r="B307">
            <v>3183.098861837907</v>
          </cell>
        </row>
        <row r="308">
          <cell r="B308">
            <v>1591.5494309189535</v>
          </cell>
        </row>
        <row r="310">
          <cell r="B310">
            <v>0.48219126808545959</v>
          </cell>
        </row>
        <row r="311">
          <cell r="B311">
            <v>36071.212385318155</v>
          </cell>
        </row>
        <row r="312">
          <cell r="B312">
            <v>994718.39432434586</v>
          </cell>
        </row>
        <row r="313">
          <cell r="B313">
            <v>28255.183747999388</v>
          </cell>
        </row>
        <row r="314">
          <cell r="B314">
            <v>11932.69613388343</v>
          </cell>
        </row>
        <row r="317">
          <cell r="B317">
            <v>20000</v>
          </cell>
        </row>
        <row r="318">
          <cell r="B318">
            <v>1675.516081914556</v>
          </cell>
        </row>
        <row r="319">
          <cell r="B319">
            <v>3.9788735772973844E-8</v>
          </cell>
        </row>
        <row r="320">
          <cell r="B320">
            <v>6.723687250684391E-10</v>
          </cell>
        </row>
        <row r="323">
          <cell r="B323">
            <v>2000</v>
          </cell>
        </row>
        <row r="324">
          <cell r="B324">
            <v>3.3000000000000004E-8</v>
          </cell>
        </row>
        <row r="325">
          <cell r="B325">
            <v>2.1999999999999998E-9</v>
          </cell>
        </row>
        <row r="330">
          <cell r="B330">
            <v>2411.438531695384</v>
          </cell>
        </row>
        <row r="333">
          <cell r="B333">
            <v>178700</v>
          </cell>
        </row>
        <row r="334">
          <cell r="B334">
            <v>44675</v>
          </cell>
        </row>
        <row r="335">
          <cell r="B335">
            <v>44200</v>
          </cell>
        </row>
        <row r="348">
          <cell r="B348">
            <v>25</v>
          </cell>
        </row>
        <row r="350">
          <cell r="B350">
            <v>4.0000000000000001E-3</v>
          </cell>
        </row>
        <row r="351">
          <cell r="B351">
            <v>20</v>
          </cell>
        </row>
        <row r="354">
          <cell r="B354">
            <v>7.5</v>
          </cell>
        </row>
        <row r="356">
          <cell r="B356">
            <v>1.5</v>
          </cell>
        </row>
        <row r="357">
          <cell r="B357">
            <v>1</v>
          </cell>
        </row>
        <row r="359">
          <cell r="B359">
            <v>1.5</v>
          </cell>
        </row>
        <row r="360">
          <cell r="B360">
            <v>1</v>
          </cell>
        </row>
        <row r="362">
          <cell r="B362">
            <v>4.9999999999999998E-8</v>
          </cell>
        </row>
        <row r="364">
          <cell r="B364">
            <v>3.0000000000000001E-3</v>
          </cell>
        </row>
        <row r="367">
          <cell r="B367">
            <v>3.5000000000000001E-3</v>
          </cell>
          <cell r="D367">
            <v>3.5000000000000001E-3</v>
          </cell>
        </row>
        <row r="368">
          <cell r="B368">
            <v>4.0000000000000001E-3</v>
          </cell>
        </row>
        <row r="369">
          <cell r="B369">
            <v>6.7000000000000004E-8</v>
          </cell>
          <cell r="D369">
            <v>6.7000000000000004E-8</v>
          </cell>
        </row>
        <row r="370">
          <cell r="B370">
            <v>1.0310000000000001E-8</v>
          </cell>
        </row>
        <row r="371">
          <cell r="B371">
            <v>1.125E-8</v>
          </cell>
        </row>
        <row r="372">
          <cell r="B372">
            <v>0.63</v>
          </cell>
          <cell r="D372">
            <v>0.63</v>
          </cell>
        </row>
        <row r="373">
          <cell r="B373">
            <v>117</v>
          </cell>
          <cell r="D373">
            <v>117</v>
          </cell>
        </row>
        <row r="374">
          <cell r="B374">
            <v>2</v>
          </cell>
          <cell r="D374">
            <v>2</v>
          </cell>
        </row>
        <row r="375">
          <cell r="B375">
            <v>2.0854700854700856</v>
          </cell>
        </row>
        <row r="377">
          <cell r="B377">
            <v>0.75</v>
          </cell>
          <cell r="D377">
            <v>0.75</v>
          </cell>
        </row>
        <row r="378">
          <cell r="D378">
            <v>4.4999999999999999E-8</v>
          </cell>
        </row>
        <row r="379">
          <cell r="D379">
            <v>4.0000000000000001E-8</v>
          </cell>
        </row>
        <row r="380">
          <cell r="B380">
            <v>65</v>
          </cell>
          <cell r="D380">
            <v>65</v>
          </cell>
        </row>
        <row r="384">
          <cell r="B384">
            <v>3.5000000000000001E-3</v>
          </cell>
          <cell r="D384">
            <v>3.5000000000000001E-3</v>
          </cell>
        </row>
        <row r="385">
          <cell r="B385">
            <v>4.0000000000000001E-3</v>
          </cell>
        </row>
        <row r="386">
          <cell r="B386">
            <v>6.7000000000000004E-8</v>
          </cell>
          <cell r="D386">
            <v>6.7000000000000004E-8</v>
          </cell>
        </row>
        <row r="387">
          <cell r="D387">
            <v>1.0310000000000001E-8</v>
          </cell>
        </row>
        <row r="388">
          <cell r="D388">
            <v>1.125E-8</v>
          </cell>
        </row>
        <row r="389">
          <cell r="D389">
            <v>1</v>
          </cell>
        </row>
        <row r="390">
          <cell r="B390">
            <v>117</v>
          </cell>
          <cell r="D390">
            <v>117</v>
          </cell>
        </row>
        <row r="391">
          <cell r="B391">
            <v>2</v>
          </cell>
          <cell r="D391">
            <v>2</v>
          </cell>
        </row>
        <row r="392">
          <cell r="D392">
            <v>2.0102236944342207</v>
          </cell>
        </row>
        <row r="394">
          <cell r="B394">
            <v>0.75</v>
          </cell>
          <cell r="D394">
            <v>0.75</v>
          </cell>
        </row>
        <row r="395">
          <cell r="B395">
            <v>5.5999999999999999E-8</v>
          </cell>
        </row>
        <row r="397">
          <cell r="B397">
            <v>65</v>
          </cell>
          <cell r="D397">
            <v>65</v>
          </cell>
        </row>
        <row r="400">
          <cell r="B400">
            <v>0</v>
          </cell>
          <cell r="D400">
            <v>0</v>
          </cell>
        </row>
        <row r="401">
          <cell r="B401">
            <v>0</v>
          </cell>
          <cell r="D401">
            <v>0</v>
          </cell>
        </row>
        <row r="402">
          <cell r="B402">
            <v>0</v>
          </cell>
        </row>
        <row r="405">
          <cell r="B405">
            <v>30.5</v>
          </cell>
        </row>
        <row r="408">
          <cell r="B408">
            <v>6.2686051302288858E-9</v>
          </cell>
          <cell r="D408">
            <v>7.2566709065378439E-9</v>
          </cell>
        </row>
        <row r="409">
          <cell r="B409">
            <v>1.2454769877049178E-8</v>
          </cell>
          <cell r="D409">
            <v>1.5853956994059729E-8</v>
          </cell>
        </row>
      </sheetData>
      <sheetData sheetId="5">
        <row r="2">
          <cell r="B2">
            <v>2E-8</v>
          </cell>
        </row>
        <row r="4">
          <cell r="B4">
            <v>1</v>
          </cell>
        </row>
        <row r="5">
          <cell r="B5">
            <v>0</v>
          </cell>
        </row>
        <row r="6">
          <cell r="B6">
            <v>1</v>
          </cell>
        </row>
        <row r="8">
          <cell r="B8">
            <v>9.9999999999999995E-7</v>
          </cell>
        </row>
        <row r="9">
          <cell r="B9">
            <v>9.9999999999999995E-7</v>
          </cell>
        </row>
        <row r="10">
          <cell r="B10">
            <v>7.4999999999999997E-8</v>
          </cell>
        </row>
        <row r="11">
          <cell r="B11">
            <v>7.4999999999999997E-8</v>
          </cell>
        </row>
        <row r="12">
          <cell r="B12">
            <v>1.0000000000000002E-6</v>
          </cell>
        </row>
        <row r="13">
          <cell r="B13">
            <v>1.0000000000000002E-6</v>
          </cell>
        </row>
        <row r="14">
          <cell r="B14">
            <v>2</v>
          </cell>
        </row>
        <row r="15">
          <cell r="B15">
            <v>0.91666800000000004</v>
          </cell>
        </row>
        <row r="17">
          <cell r="B17">
            <v>4.4999999999999998E-7</v>
          </cell>
        </row>
        <row r="18">
          <cell r="B18">
            <v>2.8958229999999996E-7</v>
          </cell>
        </row>
        <row r="20">
          <cell r="B20">
            <v>1.6666666666666665E-7</v>
          </cell>
        </row>
        <row r="21">
          <cell r="B21">
            <v>2.5899372993446077E-7</v>
          </cell>
        </row>
        <row r="22">
          <cell r="B22">
            <v>2.5899372993446077E-7</v>
          </cell>
        </row>
        <row r="25">
          <cell r="B25">
            <v>3.3333333333333334E-8</v>
          </cell>
        </row>
        <row r="26">
          <cell r="B26">
            <v>3.3333333333333334E-8</v>
          </cell>
        </row>
        <row r="28">
          <cell r="B28">
            <v>2.3899372993446075E-7</v>
          </cell>
        </row>
        <row r="29">
          <cell r="B29">
            <v>2.7899372993446079E-7</v>
          </cell>
        </row>
        <row r="30">
          <cell r="B30">
            <v>1.9432284922877611E-6</v>
          </cell>
        </row>
        <row r="32">
          <cell r="B32">
            <v>2.3899372993446075E-7</v>
          </cell>
        </row>
        <row r="33">
          <cell r="B33">
            <v>1.8666666666666664E-7</v>
          </cell>
        </row>
        <row r="34">
          <cell r="B34">
            <v>2.0355555555555556E-6</v>
          </cell>
        </row>
        <row r="35">
          <cell r="B35">
            <v>1.8666666666666643E-7</v>
          </cell>
        </row>
        <row r="36">
          <cell r="B36">
            <v>1.3333333333333334E-8</v>
          </cell>
        </row>
        <row r="37">
          <cell r="B37">
            <v>3.3333333333333334E-8</v>
          </cell>
        </row>
        <row r="39">
          <cell r="B39">
            <v>4.2566039660112745E-7</v>
          </cell>
        </row>
        <row r="40">
          <cell r="B40">
            <v>1.7965618256210947E-6</v>
          </cell>
        </row>
        <row r="41">
          <cell r="B41">
            <v>3.7232706326779411E-7</v>
          </cell>
        </row>
      </sheetData>
      <sheetData sheetId="6"/>
      <sheetData sheetId="7">
        <row r="2">
          <cell r="A2" t="str">
            <v>SCH_RCS</v>
          </cell>
        </row>
      </sheetData>
      <sheetData sheetId="8">
        <row r="2">
          <cell r="A2" t="str">
            <v>EFF_VIN</v>
          </cell>
        </row>
      </sheetData>
      <sheetData sheetId="9"/>
      <sheetData sheetId="10"/>
      <sheetData sheetId="11">
        <row r="3">
          <cell r="K3">
            <v>994718.39432434586</v>
          </cell>
          <cell r="N3">
            <v>225000</v>
          </cell>
          <cell r="Q3">
            <v>34548.220888889366</v>
          </cell>
        </row>
        <row r="4">
          <cell r="C4">
            <v>2411.438531695384</v>
          </cell>
          <cell r="K4">
            <v>1591.5494309189535</v>
          </cell>
          <cell r="N4">
            <v>30892.675013436681</v>
          </cell>
        </row>
        <row r="5">
          <cell r="C5">
            <v>0.48219126808545959</v>
          </cell>
          <cell r="K5">
            <v>10000000</v>
          </cell>
          <cell r="N5">
            <v>50625000000.010002</v>
          </cell>
        </row>
        <row r="6">
          <cell r="Q6">
            <v>57.295779513082323</v>
          </cell>
        </row>
        <row r="7">
          <cell r="C7">
            <v>36071.212385318155</v>
          </cell>
        </row>
      </sheetData>
      <sheetData sheetId="12">
        <row r="21">
          <cell r="O21">
            <v>4.99</v>
          </cell>
        </row>
      </sheetData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 bwMode="auto">
        <a:noFill/>
        <a:ln w="9525">
          <a:noFill/>
          <a:miter lim="800000"/>
          <a:headEnd/>
          <a:tailEnd/>
        </a:ln>
      </a:spPr>
      <a:bodyPr vertOverflow="clip" wrap="square" lIns="27432" tIns="27432" rIns="0" bIns="0" anchor="t" upright="1"/>
      <a:lstStyle>
        <a:defPPr algn="l" rtl="0">
          <a:defRPr sz="1100" b="0" i="0" strike="noStrike">
            <a:solidFill>
              <a:srgbClr val="000000"/>
            </a:solidFill>
            <a:latin typeface="Calibri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13" Type="http://schemas.openxmlformats.org/officeDocument/2006/relationships/ctrlProp" Target="../ctrlProps/ctrlProp7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1.xml"/><Relationship Id="rId12" Type="http://schemas.openxmlformats.org/officeDocument/2006/relationships/ctrlProp" Target="../ctrlProps/ctrlProp6.xml"/><Relationship Id="rId2" Type="http://schemas.openxmlformats.org/officeDocument/2006/relationships/hyperlink" Target="http://www.ti.com/product/lm5176" TargetMode="External"/><Relationship Id="rId16" Type="http://schemas.openxmlformats.org/officeDocument/2006/relationships/comments" Target="../comments1.xml"/><Relationship Id="rId1" Type="http://schemas.openxmlformats.org/officeDocument/2006/relationships/hyperlink" Target="http://www.ti.com/pol" TargetMode="External"/><Relationship Id="rId6" Type="http://schemas.openxmlformats.org/officeDocument/2006/relationships/vmlDrawing" Target="../drawings/vmlDrawing2.vml"/><Relationship Id="rId11" Type="http://schemas.openxmlformats.org/officeDocument/2006/relationships/ctrlProp" Target="../ctrlProps/ctrlProp5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9.xml"/><Relationship Id="rId10" Type="http://schemas.openxmlformats.org/officeDocument/2006/relationships/ctrlProp" Target="../ctrlProps/ctrlProp4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3.xml"/><Relationship Id="rId14" Type="http://schemas.openxmlformats.org/officeDocument/2006/relationships/ctrlProp" Target="../ctrlProps/ctrlProp8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ti.com/nexfet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AI462"/>
  <sheetViews>
    <sheetView tabSelected="1" topLeftCell="A36" zoomScaleNormal="100" zoomScaleSheetLayoutView="100" workbookViewId="0">
      <selection activeCell="E113" sqref="E113"/>
    </sheetView>
  </sheetViews>
  <sheetFormatPr defaultColWidth="9.140625" defaultRowHeight="12.75" x14ac:dyDescent="0.2"/>
  <cols>
    <col min="1" max="1" width="8.28515625" style="199" customWidth="1"/>
    <col min="2" max="2" width="8.28515625" style="82" customWidth="1"/>
    <col min="3" max="3" width="13.5703125" style="82" customWidth="1"/>
    <col min="4" max="4" width="8.28515625" style="82" customWidth="1"/>
    <col min="5" max="5" width="6.85546875" style="82" customWidth="1"/>
    <col min="6" max="6" width="7.5703125" style="82" customWidth="1"/>
    <col min="7" max="8" width="11.85546875" style="82" customWidth="1"/>
    <col min="9" max="9" width="9.140625" style="82"/>
    <col min="10" max="10" width="12.42578125" style="82" bestFit="1" customWidth="1"/>
    <col min="11" max="11" width="9.140625" style="82"/>
    <col min="12" max="12" width="12.42578125" style="82" bestFit="1" customWidth="1"/>
    <col min="13" max="15" width="9.140625" style="82"/>
    <col min="16" max="16" width="10.140625" style="82" customWidth="1"/>
    <col min="17" max="17" width="37.28515625" style="82" customWidth="1"/>
    <col min="18" max="18" width="3.140625" style="82" customWidth="1"/>
    <col min="19" max="19" width="10" style="82" bestFit="1" customWidth="1"/>
    <col min="20" max="16384" width="9.140625" style="82"/>
  </cols>
  <sheetData>
    <row r="1" spans="1:18" ht="47.25" customHeight="1" x14ac:dyDescent="0.2">
      <c r="A1" s="643" t="s">
        <v>956</v>
      </c>
      <c r="B1" s="644"/>
      <c r="C1" s="644"/>
      <c r="D1" s="644"/>
      <c r="E1" s="644"/>
      <c r="F1" s="644"/>
      <c r="G1" s="644"/>
      <c r="H1" s="644"/>
      <c r="I1" s="644"/>
      <c r="J1" s="644"/>
      <c r="K1" s="644"/>
      <c r="L1" s="644"/>
      <c r="M1" s="644"/>
      <c r="N1" s="644"/>
      <c r="O1" s="644"/>
      <c r="P1" s="644"/>
      <c r="Q1" s="644"/>
      <c r="R1" s="552"/>
    </row>
    <row r="2" spans="1:18" ht="14.1" customHeight="1" x14ac:dyDescent="0.45">
      <c r="A2" s="555"/>
      <c r="B2" s="556"/>
      <c r="C2" s="556"/>
      <c r="D2" s="556"/>
      <c r="E2" s="556"/>
      <c r="F2" s="556"/>
      <c r="G2" s="556"/>
      <c r="H2" s="556"/>
      <c r="I2" s="556"/>
      <c r="J2" s="556"/>
      <c r="K2" s="556"/>
      <c r="L2" s="556"/>
      <c r="M2" s="556"/>
      <c r="N2" s="556"/>
      <c r="O2" s="637" t="s">
        <v>959</v>
      </c>
      <c r="P2" s="556"/>
      <c r="Q2" s="556"/>
      <c r="R2" s="552"/>
    </row>
    <row r="3" spans="1:18" ht="15.95" customHeight="1" x14ac:dyDescent="0.45">
      <c r="A3" s="557" t="s">
        <v>299</v>
      </c>
      <c r="B3" s="558"/>
      <c r="C3" s="569" t="s">
        <v>300</v>
      </c>
      <c r="D3" s="559"/>
      <c r="E3" s="124"/>
      <c r="F3" s="563" t="s">
        <v>177</v>
      </c>
      <c r="G3" s="564"/>
      <c r="H3" s="556"/>
      <c r="I3" s="556"/>
      <c r="J3" s="564"/>
      <c r="K3" s="565"/>
      <c r="L3" s="566"/>
      <c r="M3" s="552"/>
      <c r="N3" s="552"/>
      <c r="O3" s="642" t="s">
        <v>55</v>
      </c>
      <c r="P3" s="642"/>
      <c r="Q3" s="552" t="s">
        <v>201</v>
      </c>
      <c r="R3" s="552"/>
    </row>
    <row r="4" spans="1:18" ht="13.5" customHeight="1" thickBot="1" x14ac:dyDescent="0.35">
      <c r="A4" s="560"/>
      <c r="B4" s="561"/>
      <c r="C4" s="562"/>
      <c r="D4" s="562"/>
      <c r="E4" s="562"/>
      <c r="F4" s="562"/>
      <c r="G4" s="562"/>
      <c r="H4" s="562"/>
      <c r="I4" s="562"/>
      <c r="J4" s="562"/>
      <c r="K4" s="562"/>
      <c r="L4" s="562"/>
      <c r="M4" s="567"/>
      <c r="N4" s="567"/>
      <c r="O4" s="567"/>
      <c r="P4" s="567"/>
      <c r="Q4" s="568"/>
      <c r="R4" s="552"/>
    </row>
    <row r="5" spans="1:18" ht="20.100000000000001" customHeight="1" thickBot="1" x14ac:dyDescent="0.35">
      <c r="A5" s="194" t="s">
        <v>281</v>
      </c>
      <c r="B5" s="123"/>
      <c r="C5" s="83"/>
      <c r="D5" s="83"/>
      <c r="E5" s="85"/>
      <c r="F5" s="83"/>
      <c r="G5" s="112"/>
      <c r="H5" s="86"/>
      <c r="I5" s="86"/>
      <c r="J5" s="86"/>
      <c r="K5" s="86"/>
      <c r="L5" s="639" t="s">
        <v>975</v>
      </c>
      <c r="M5" s="638" t="s">
        <v>979</v>
      </c>
      <c r="N5" s="86"/>
      <c r="O5" s="86"/>
      <c r="P5" s="86"/>
      <c r="Q5" s="111"/>
      <c r="R5" s="552"/>
    </row>
    <row r="6" spans="1:18" ht="13.5" customHeight="1" x14ac:dyDescent="0.2">
      <c r="A6" s="282"/>
      <c r="B6" s="283"/>
      <c r="C6" s="284"/>
      <c r="D6" s="285" t="s">
        <v>727</v>
      </c>
      <c r="E6" s="286">
        <v>9</v>
      </c>
      <c r="F6" s="287" t="s">
        <v>0</v>
      </c>
      <c r="G6" s="134"/>
      <c r="H6" s="132"/>
      <c r="I6" s="86"/>
      <c r="J6" s="86"/>
      <c r="K6" s="86"/>
      <c r="L6" s="86"/>
      <c r="M6" s="86"/>
      <c r="N6" s="86"/>
      <c r="O6" s="86"/>
      <c r="P6" s="86"/>
      <c r="Q6" s="111"/>
      <c r="R6" s="552"/>
    </row>
    <row r="7" spans="1:18" ht="13.5" customHeight="1" x14ac:dyDescent="0.2">
      <c r="A7" s="272"/>
      <c r="B7" s="271"/>
      <c r="C7" s="273"/>
      <c r="D7" s="288" t="s">
        <v>728</v>
      </c>
      <c r="E7" s="289">
        <v>12</v>
      </c>
      <c r="F7" s="305" t="s">
        <v>0</v>
      </c>
      <c r="G7" s="134"/>
      <c r="H7" s="132"/>
      <c r="I7" s="86"/>
      <c r="J7" s="86"/>
      <c r="K7" s="86"/>
      <c r="L7" s="86"/>
      <c r="M7" s="86"/>
      <c r="N7" s="86"/>
      <c r="O7" s="86"/>
      <c r="P7" s="86"/>
      <c r="Q7" s="111"/>
      <c r="R7" s="552"/>
    </row>
    <row r="8" spans="1:18" ht="13.5" customHeight="1" x14ac:dyDescent="0.2">
      <c r="A8" s="272"/>
      <c r="B8" s="271"/>
      <c r="C8" s="273"/>
      <c r="D8" s="288" t="s">
        <v>729</v>
      </c>
      <c r="E8" s="289">
        <v>48</v>
      </c>
      <c r="F8" s="290" t="s">
        <v>0</v>
      </c>
      <c r="G8" s="134"/>
      <c r="H8" s="132"/>
      <c r="I8" s="86"/>
      <c r="J8" s="86"/>
      <c r="K8" s="86"/>
      <c r="L8" s="86"/>
      <c r="M8" s="86"/>
      <c r="N8" s="86"/>
      <c r="O8" s="86"/>
      <c r="P8" s="86"/>
      <c r="Q8" s="111"/>
      <c r="R8" s="552"/>
    </row>
    <row r="9" spans="1:18" ht="13.5" customHeight="1" x14ac:dyDescent="0.2">
      <c r="A9" s="272"/>
      <c r="B9" s="271"/>
      <c r="C9" s="273"/>
      <c r="D9" s="288" t="s">
        <v>360</v>
      </c>
      <c r="E9" s="289">
        <v>12.8</v>
      </c>
      <c r="F9" s="290" t="s">
        <v>0</v>
      </c>
      <c r="G9" s="134"/>
      <c r="H9" s="132"/>
      <c r="I9" s="86"/>
      <c r="J9" s="86"/>
      <c r="K9" s="86"/>
      <c r="L9" s="86"/>
      <c r="M9" s="86"/>
      <c r="N9" s="86"/>
      <c r="O9" s="86"/>
      <c r="P9" s="86"/>
      <c r="Q9" s="111"/>
      <c r="R9" s="552"/>
    </row>
    <row r="10" spans="1:18" ht="13.5" customHeight="1" x14ac:dyDescent="0.2">
      <c r="A10" s="272"/>
      <c r="B10" s="271"/>
      <c r="C10" s="273"/>
      <c r="D10" s="288" t="s">
        <v>887</v>
      </c>
      <c r="E10" s="289">
        <v>20</v>
      </c>
      <c r="F10" s="290" t="s">
        <v>2</v>
      </c>
      <c r="G10" s="134"/>
      <c r="H10" s="132"/>
      <c r="I10" s="86"/>
      <c r="J10" s="86"/>
      <c r="K10" s="86"/>
      <c r="L10" s="86"/>
      <c r="M10" s="86"/>
      <c r="N10" s="86"/>
      <c r="O10" s="86"/>
      <c r="P10" s="86"/>
      <c r="Q10" s="111"/>
      <c r="R10" s="552"/>
    </row>
    <row r="11" spans="1:18" ht="13.5" customHeight="1" x14ac:dyDescent="0.2">
      <c r="A11" s="272"/>
      <c r="B11" s="271"/>
      <c r="C11" s="273"/>
      <c r="D11" s="288" t="s">
        <v>98</v>
      </c>
      <c r="E11" s="291">
        <v>250</v>
      </c>
      <c r="F11" s="290" t="s">
        <v>3</v>
      </c>
      <c r="G11" s="134"/>
      <c r="H11" s="132"/>
      <c r="I11" s="86"/>
      <c r="J11" s="86"/>
      <c r="K11" s="86"/>
      <c r="L11" s="86"/>
      <c r="M11" s="86"/>
      <c r="N11" s="86"/>
      <c r="O11" s="86"/>
      <c r="P11" s="86"/>
      <c r="Q11" s="111"/>
      <c r="R11" s="552"/>
    </row>
    <row r="12" spans="1:18" ht="17.25" customHeight="1" thickBot="1" x14ac:dyDescent="0.25">
      <c r="A12" s="277"/>
      <c r="B12" s="278"/>
      <c r="C12" s="279"/>
      <c r="D12" s="279" t="s">
        <v>362</v>
      </c>
      <c r="E12" s="279">
        <f>IF('Standard Value Calculator'!O4/1000&gt;288, "N/A",'Standard Value Calculator'!O4/1000)</f>
        <v>33.200000000000003</v>
      </c>
      <c r="F12" s="281" t="s">
        <v>54</v>
      </c>
      <c r="G12" s="134"/>
      <c r="H12" s="132"/>
      <c r="I12" s="86"/>
      <c r="J12" s="86"/>
      <c r="K12" s="86"/>
      <c r="L12" s="86"/>
      <c r="M12" s="86"/>
      <c r="N12" s="86"/>
      <c r="O12" s="86"/>
      <c r="P12" s="86"/>
      <c r="Q12" s="111"/>
      <c r="R12" s="552"/>
    </row>
    <row r="13" spans="1:18" ht="14.1" customHeight="1" x14ac:dyDescent="0.2">
      <c r="A13" s="131"/>
      <c r="B13" s="132"/>
      <c r="C13" s="132"/>
      <c r="D13" s="137"/>
      <c r="E13" s="138"/>
      <c r="F13" s="132"/>
      <c r="G13" s="134"/>
      <c r="H13" s="132"/>
      <c r="I13" s="86"/>
      <c r="J13" s="86"/>
      <c r="K13" s="86"/>
      <c r="L13" s="86"/>
      <c r="M13" s="86"/>
      <c r="N13" s="86"/>
      <c r="O13" s="86"/>
      <c r="P13" s="86"/>
      <c r="Q13" s="111"/>
      <c r="R13" s="552"/>
    </row>
    <row r="14" spans="1:18" ht="19.5" customHeight="1" thickBot="1" x14ac:dyDescent="0.35">
      <c r="A14" s="194" t="s">
        <v>280</v>
      </c>
      <c r="B14" s="139"/>
      <c r="C14" s="140"/>
      <c r="D14" s="140"/>
      <c r="E14" s="141"/>
      <c r="F14" s="140"/>
      <c r="G14" s="134"/>
      <c r="H14" s="132"/>
      <c r="I14" s="86"/>
      <c r="J14" s="86"/>
      <c r="K14" s="86"/>
      <c r="L14" s="86"/>
      <c r="M14" s="86"/>
      <c r="N14" s="86"/>
      <c r="O14" s="86"/>
      <c r="P14" s="86"/>
      <c r="Q14" s="111"/>
      <c r="R14" s="552"/>
    </row>
    <row r="15" spans="1:18" ht="13.5" customHeight="1" x14ac:dyDescent="0.2">
      <c r="A15" s="195"/>
      <c r="B15" s="161"/>
      <c r="C15" s="162"/>
      <c r="D15" s="162" t="s">
        <v>294</v>
      </c>
      <c r="E15" s="450">
        <f>Lopt*1000000</f>
        <v>1.7369319661458331</v>
      </c>
      <c r="F15" s="169" t="s">
        <v>270</v>
      </c>
      <c r="G15" s="134"/>
      <c r="H15" s="132"/>
      <c r="I15" s="86"/>
      <c r="J15" s="86"/>
      <c r="K15" s="86"/>
      <c r="L15" s="86"/>
      <c r="M15" s="86"/>
      <c r="N15" s="86"/>
      <c r="O15" s="86"/>
      <c r="P15" s="86"/>
      <c r="Q15" s="111"/>
      <c r="R15" s="552"/>
    </row>
    <row r="16" spans="1:18" ht="13.5" customHeight="1" x14ac:dyDescent="0.25">
      <c r="A16" s="131"/>
      <c r="B16" s="132"/>
      <c r="C16" s="129"/>
      <c r="D16" s="160" t="s">
        <v>361</v>
      </c>
      <c r="E16" s="133">
        <v>2</v>
      </c>
      <c r="F16" s="165" t="s">
        <v>270</v>
      </c>
      <c r="G16" s="134"/>
      <c r="H16" s="132"/>
      <c r="I16" s="86"/>
      <c r="J16" s="86"/>
      <c r="K16" s="86"/>
      <c r="L16" s="86"/>
      <c r="M16" s="86"/>
      <c r="N16" s="86"/>
      <c r="O16" s="86"/>
      <c r="P16" s="86"/>
      <c r="Q16" s="111"/>
      <c r="R16" s="552"/>
    </row>
    <row r="17" spans="1:18" ht="13.5" customHeight="1" x14ac:dyDescent="0.2">
      <c r="A17" s="131"/>
      <c r="B17" s="132"/>
      <c r="C17" s="129"/>
      <c r="D17" s="160" t="s">
        <v>295</v>
      </c>
      <c r="E17" s="133">
        <v>2.29</v>
      </c>
      <c r="F17" s="165" t="s">
        <v>53</v>
      </c>
      <c r="G17" s="134"/>
      <c r="H17" s="132"/>
      <c r="I17" s="86"/>
      <c r="J17" s="86"/>
      <c r="K17" s="86"/>
      <c r="L17" s="86"/>
      <c r="M17" s="86"/>
      <c r="N17" s="86"/>
      <c r="O17" s="86"/>
      <c r="P17" s="86"/>
      <c r="Q17" s="111"/>
      <c r="R17" s="552"/>
    </row>
    <row r="18" spans="1:18" ht="13.5" customHeight="1" x14ac:dyDescent="0.2">
      <c r="A18" s="272"/>
      <c r="B18" s="271"/>
      <c r="C18" s="273"/>
      <c r="D18" s="273" t="s">
        <v>730</v>
      </c>
      <c r="E18" s="274">
        <f>'Variable Management'!B78</f>
        <v>5.4861660447761196</v>
      </c>
      <c r="F18" s="275" t="s">
        <v>286</v>
      </c>
      <c r="G18" s="134"/>
      <c r="H18" s="132"/>
      <c r="I18" s="86"/>
      <c r="J18" s="86"/>
      <c r="K18" s="86"/>
      <c r="L18" s="86"/>
      <c r="M18" s="86"/>
      <c r="N18" s="86"/>
      <c r="O18" s="86"/>
      <c r="P18" s="86"/>
      <c r="Q18" s="111"/>
      <c r="R18" s="552"/>
    </row>
    <row r="19" spans="1:18" ht="13.5" customHeight="1" x14ac:dyDescent="0.2">
      <c r="A19" s="272"/>
      <c r="B19" s="271"/>
      <c r="C19" s="273"/>
      <c r="D19" s="273" t="s">
        <v>731</v>
      </c>
      <c r="E19" s="274">
        <f>'Variable Management'!B79</f>
        <v>1.6107262569832415</v>
      </c>
      <c r="F19" s="275" t="s">
        <v>286</v>
      </c>
      <c r="G19" s="134"/>
      <c r="H19" s="132"/>
      <c r="I19" s="86"/>
      <c r="J19" s="86"/>
      <c r="K19" s="86"/>
      <c r="L19" s="86"/>
      <c r="M19" s="86"/>
      <c r="N19" s="86"/>
      <c r="O19" s="86"/>
      <c r="P19" s="86"/>
      <c r="Q19" s="111"/>
      <c r="R19" s="552"/>
    </row>
    <row r="20" spans="1:18" ht="13.5" customHeight="1" x14ac:dyDescent="0.2">
      <c r="A20" s="272"/>
      <c r="B20" s="271"/>
      <c r="C20" s="273"/>
      <c r="D20" s="273" t="s">
        <v>732</v>
      </c>
      <c r="E20" s="274">
        <f>'Variable Management'!B80</f>
        <v>18.904875572201416</v>
      </c>
      <c r="F20" s="275" t="s">
        <v>286</v>
      </c>
      <c r="G20" s="134"/>
      <c r="H20" s="132"/>
      <c r="I20" s="86"/>
      <c r="J20" s="86"/>
      <c r="K20" s="86"/>
      <c r="L20" s="86"/>
      <c r="M20" s="86"/>
      <c r="N20" s="86"/>
      <c r="O20" s="86"/>
      <c r="P20" s="86"/>
      <c r="Q20" s="111"/>
      <c r="R20" s="552"/>
    </row>
    <row r="21" spans="1:18" ht="15" customHeight="1" x14ac:dyDescent="0.2">
      <c r="A21" s="272"/>
      <c r="B21" s="271"/>
      <c r="C21" s="273"/>
      <c r="D21" s="273" t="s">
        <v>413</v>
      </c>
      <c r="E21" s="276">
        <f>'Variable Management'!B90*100</f>
        <v>17.358572251049438</v>
      </c>
      <c r="F21" s="275" t="s">
        <v>187</v>
      </c>
      <c r="G21" s="134"/>
      <c r="H21" s="132"/>
      <c r="I21" s="86"/>
      <c r="J21" s="86"/>
      <c r="K21" s="86"/>
      <c r="L21" s="86"/>
      <c r="M21" s="86"/>
      <c r="N21" s="86"/>
      <c r="O21" s="86"/>
      <c r="P21" s="86"/>
      <c r="Q21" s="111"/>
      <c r="R21" s="552"/>
    </row>
    <row r="22" spans="1:18" ht="15" customHeight="1" x14ac:dyDescent="0.2">
      <c r="A22" s="272"/>
      <c r="B22" s="271"/>
      <c r="C22" s="273"/>
      <c r="D22" s="273" t="s">
        <v>414</v>
      </c>
      <c r="E22" s="276">
        <f>'Variable Management'!B91*100</f>
        <v>6.7952513966480499</v>
      </c>
      <c r="F22" s="275" t="s">
        <v>187</v>
      </c>
      <c r="G22" s="134"/>
      <c r="H22" s="132"/>
      <c r="I22" s="86"/>
      <c r="J22" s="86"/>
      <c r="K22" s="86"/>
      <c r="L22" s="86"/>
      <c r="M22" s="86"/>
      <c r="N22" s="86"/>
      <c r="O22" s="86"/>
      <c r="P22" s="86"/>
      <c r="Q22" s="111"/>
      <c r="R22" s="552"/>
    </row>
    <row r="23" spans="1:18" ht="15.75" customHeight="1" thickBot="1" x14ac:dyDescent="0.25">
      <c r="A23" s="277"/>
      <c r="B23" s="278"/>
      <c r="C23" s="279"/>
      <c r="D23" s="279" t="s">
        <v>415</v>
      </c>
      <c r="E23" s="280">
        <f>'Variable Management'!B92*100</f>
        <v>94.524377861007082</v>
      </c>
      <c r="F23" s="281" t="s">
        <v>187</v>
      </c>
      <c r="G23" s="134"/>
      <c r="H23" s="132"/>
      <c r="I23" s="86"/>
      <c r="J23" s="86"/>
      <c r="K23" s="86"/>
      <c r="L23" s="86"/>
      <c r="M23" s="86"/>
      <c r="N23" s="86"/>
      <c r="O23" s="86"/>
      <c r="P23" s="86"/>
      <c r="Q23" s="111"/>
      <c r="R23" s="552"/>
    </row>
    <row r="24" spans="1:18" ht="14.1" customHeight="1" x14ac:dyDescent="0.2">
      <c r="A24" s="131"/>
      <c r="B24" s="132"/>
      <c r="C24" s="132"/>
      <c r="D24" s="132"/>
      <c r="E24" s="132"/>
      <c r="F24" s="132"/>
      <c r="G24" s="134"/>
      <c r="H24" s="132"/>
      <c r="I24" s="86"/>
      <c r="J24" s="86"/>
      <c r="K24" s="86"/>
      <c r="L24" s="86"/>
      <c r="M24" s="86"/>
      <c r="N24" s="86"/>
      <c r="O24" s="86"/>
      <c r="P24" s="86"/>
      <c r="Q24" s="111"/>
      <c r="R24" s="552"/>
    </row>
    <row r="25" spans="1:18" ht="20.100000000000001" customHeight="1" thickBot="1" x14ac:dyDescent="0.35">
      <c r="A25" s="194" t="s">
        <v>671</v>
      </c>
      <c r="B25" s="139"/>
      <c r="C25" s="132"/>
      <c r="D25" s="132"/>
      <c r="E25" s="132"/>
      <c r="F25" s="132"/>
      <c r="G25" s="134"/>
      <c r="H25" s="132"/>
      <c r="I25" s="86"/>
      <c r="J25" s="86"/>
      <c r="K25" s="86"/>
      <c r="L25" s="86"/>
      <c r="M25" s="86"/>
      <c r="N25" s="86"/>
      <c r="O25" s="86"/>
      <c r="P25" s="86"/>
      <c r="Q25" s="111"/>
      <c r="R25" s="552"/>
    </row>
    <row r="26" spans="1:18" ht="15" customHeight="1" x14ac:dyDescent="0.25">
      <c r="A26" s="282"/>
      <c r="B26" s="161"/>
      <c r="C26" s="161"/>
      <c r="D26" s="163" t="s">
        <v>740</v>
      </c>
      <c r="E26" s="323">
        <v>24</v>
      </c>
      <c r="F26" s="164" t="s">
        <v>2</v>
      </c>
      <c r="G26" s="134"/>
      <c r="H26" s="132"/>
      <c r="I26" s="86"/>
      <c r="J26" s="86"/>
      <c r="K26" s="86"/>
      <c r="L26" s="86"/>
      <c r="M26" s="86"/>
      <c r="N26" s="86"/>
      <c r="O26" s="86"/>
      <c r="P26" s="86"/>
      <c r="Q26" s="111"/>
      <c r="R26" s="552"/>
    </row>
    <row r="27" spans="1:18" ht="15" customHeight="1" x14ac:dyDescent="0.2">
      <c r="A27" s="272"/>
      <c r="B27" s="132"/>
      <c r="C27" s="132"/>
      <c r="D27" s="129" t="s">
        <v>419</v>
      </c>
      <c r="E27" s="325">
        <f>Rs_ideal*1000</f>
        <v>2.9506497232943962</v>
      </c>
      <c r="F27" s="170" t="s">
        <v>53</v>
      </c>
      <c r="G27" s="134"/>
      <c r="H27" s="132"/>
      <c r="I27" s="86"/>
      <c r="J27" s="86"/>
      <c r="K27" s="86"/>
      <c r="L27" s="86"/>
      <c r="M27" s="86"/>
      <c r="N27" s="86"/>
      <c r="O27" s="86"/>
      <c r="P27" s="86"/>
      <c r="Q27" s="111"/>
      <c r="R27" s="552"/>
    </row>
    <row r="28" spans="1:18" ht="13.7" customHeight="1" x14ac:dyDescent="0.25">
      <c r="A28" s="272"/>
      <c r="B28" s="132"/>
      <c r="C28" s="132"/>
      <c r="D28" s="160" t="s">
        <v>417</v>
      </c>
      <c r="E28" s="133">
        <v>3</v>
      </c>
      <c r="F28" s="165" t="s">
        <v>53</v>
      </c>
      <c r="G28" s="134"/>
      <c r="H28" s="132"/>
      <c r="I28" s="86"/>
      <c r="J28" s="86"/>
      <c r="K28" s="86"/>
      <c r="L28" s="86"/>
      <c r="M28" s="86"/>
      <c r="N28" s="86"/>
      <c r="O28" s="86"/>
      <c r="P28" s="86"/>
      <c r="Q28" s="111"/>
      <c r="R28" s="552"/>
    </row>
    <row r="29" spans="1:18" ht="13.5" customHeight="1" x14ac:dyDescent="0.3">
      <c r="A29" s="272"/>
      <c r="B29" s="132"/>
      <c r="C29" s="132"/>
      <c r="D29" s="591" t="s">
        <v>940</v>
      </c>
      <c r="E29" s="617">
        <f>'Variable Management'!B135</f>
        <v>45.571542238868084</v>
      </c>
      <c r="F29" s="170" t="s">
        <v>2</v>
      </c>
      <c r="G29" s="134"/>
      <c r="H29" s="132"/>
      <c r="I29" s="86"/>
      <c r="J29" s="86"/>
      <c r="K29" s="86"/>
      <c r="L29" s="86"/>
      <c r="M29" s="86"/>
      <c r="N29" s="86"/>
      <c r="O29" s="86"/>
      <c r="P29" s="86"/>
      <c r="Q29" s="111"/>
      <c r="R29" s="552"/>
    </row>
    <row r="30" spans="1:18" ht="13.7" customHeight="1" x14ac:dyDescent="0.2">
      <c r="A30" s="272"/>
      <c r="B30" s="132"/>
      <c r="C30" s="132"/>
      <c r="D30" s="591" t="str">
        <f>IF('Variable Management'!B85&gt;'Variable Management'!B83, "Power Loss in Rs at Full Load (Max VIN)", "Power Loss in Rs at Full Load (Min VIN)")</f>
        <v>Power Loss in Rs at Full Load (Max VIN)</v>
      </c>
      <c r="E30" s="592">
        <f>'Variable Management'!B86</f>
        <v>0.94311314720256123</v>
      </c>
      <c r="F30" s="170" t="s">
        <v>120</v>
      </c>
      <c r="G30" s="134"/>
      <c r="H30" s="132"/>
      <c r="I30" s="86"/>
      <c r="J30" s="86"/>
      <c r="K30" s="86"/>
      <c r="L30" s="86"/>
      <c r="M30" s="86"/>
      <c r="N30" s="86"/>
      <c r="O30" s="86"/>
      <c r="P30" s="86"/>
      <c r="Q30" s="111"/>
      <c r="R30" s="552"/>
    </row>
    <row r="31" spans="1:18" ht="13.7" customHeight="1" x14ac:dyDescent="0.2">
      <c r="A31" s="272"/>
      <c r="B31" s="132"/>
      <c r="C31" s="129"/>
      <c r="D31" s="129" t="s">
        <v>416</v>
      </c>
      <c r="E31" s="159">
        <f>'Standard Value Calculator'!O14</f>
        <v>270</v>
      </c>
      <c r="F31" s="170" t="s">
        <v>32</v>
      </c>
      <c r="G31" s="134"/>
      <c r="H31" s="132"/>
      <c r="I31" s="86"/>
      <c r="J31" s="86"/>
      <c r="K31" s="86"/>
      <c r="L31" s="86"/>
      <c r="M31" s="86"/>
      <c r="N31" s="86"/>
      <c r="O31" s="86"/>
      <c r="P31" s="86"/>
      <c r="Q31" s="111"/>
      <c r="R31" s="552"/>
    </row>
    <row r="32" spans="1:18" ht="13.7" customHeight="1" x14ac:dyDescent="0.25">
      <c r="A32" s="272"/>
      <c r="B32" s="132"/>
      <c r="C32" s="132"/>
      <c r="D32" s="160" t="s">
        <v>420</v>
      </c>
      <c r="E32" s="133">
        <v>220</v>
      </c>
      <c r="F32" s="165" t="s">
        <v>32</v>
      </c>
      <c r="G32" s="134"/>
      <c r="H32" s="132"/>
      <c r="I32" s="86"/>
      <c r="J32" s="86"/>
      <c r="K32" s="86"/>
      <c r="L32" s="86"/>
      <c r="M32" s="86"/>
      <c r="N32" s="86"/>
      <c r="O32" s="86"/>
      <c r="P32" s="86"/>
      <c r="Q32" s="111"/>
      <c r="R32" s="552"/>
    </row>
    <row r="33" spans="1:18" ht="13.5" customHeight="1" x14ac:dyDescent="0.3">
      <c r="A33" s="272"/>
      <c r="B33" s="132"/>
      <c r="C33" s="117"/>
      <c r="D33" s="324" t="s">
        <v>369</v>
      </c>
      <c r="E33" s="274">
        <f>'Variable Management'!B127</f>
        <v>25.90149293007763</v>
      </c>
      <c r="F33" s="275" t="s">
        <v>2</v>
      </c>
      <c r="G33" s="134"/>
      <c r="H33" s="132"/>
      <c r="I33" s="86"/>
      <c r="J33" s="86"/>
      <c r="K33" s="86"/>
      <c r="L33" s="86"/>
      <c r="M33" s="86"/>
      <c r="N33" s="86"/>
      <c r="O33" s="86"/>
      <c r="P33" s="86"/>
      <c r="Q33" s="111"/>
      <c r="R33" s="552"/>
    </row>
    <row r="34" spans="1:18" ht="15" customHeight="1" x14ac:dyDescent="0.3">
      <c r="A34" s="272"/>
      <c r="B34" s="132"/>
      <c r="C34" s="129" t="s">
        <v>737</v>
      </c>
      <c r="D34" s="324" t="s">
        <v>370</v>
      </c>
      <c r="E34" s="274">
        <f>'Variable Management'!B128</f>
        <v>24.125658511143708</v>
      </c>
      <c r="F34" s="275" t="s">
        <v>2</v>
      </c>
      <c r="G34" s="134"/>
      <c r="H34" s="132"/>
      <c r="I34" s="86"/>
      <c r="J34" s="86"/>
      <c r="K34" s="86"/>
      <c r="L34" s="86"/>
      <c r="M34" s="86"/>
      <c r="N34" s="86"/>
      <c r="O34" s="86"/>
      <c r="P34" s="86"/>
      <c r="Q34" s="111"/>
      <c r="R34" s="552"/>
    </row>
    <row r="35" spans="1:18" ht="15.75" customHeight="1" x14ac:dyDescent="0.3">
      <c r="A35" s="272"/>
      <c r="B35" s="132"/>
      <c r="C35" s="132"/>
      <c r="D35" s="324" t="s">
        <v>371</v>
      </c>
      <c r="E35" s="274">
        <f>'Variable Management'!B129</f>
        <v>36.119104452767374</v>
      </c>
      <c r="F35" s="275" t="s">
        <v>2</v>
      </c>
      <c r="G35" s="134"/>
      <c r="H35" s="132"/>
      <c r="I35" s="86"/>
      <c r="J35" s="86"/>
      <c r="K35" s="86"/>
      <c r="L35" s="86"/>
      <c r="M35" s="86"/>
      <c r="N35" s="86"/>
      <c r="O35" s="86"/>
      <c r="P35" s="86"/>
      <c r="Q35" s="111"/>
      <c r="R35" s="552"/>
    </row>
    <row r="36" spans="1:18" ht="13.7" customHeight="1" x14ac:dyDescent="0.2">
      <c r="A36" s="272"/>
      <c r="B36" s="132"/>
      <c r="C36" s="132"/>
      <c r="D36" s="160" t="s">
        <v>963</v>
      </c>
      <c r="E36" s="297" t="s">
        <v>980</v>
      </c>
      <c r="F36" s="165" t="s">
        <v>2</v>
      </c>
      <c r="G36" s="134"/>
      <c r="H36" s="132"/>
      <c r="I36" s="86"/>
      <c r="J36" s="86"/>
      <c r="K36" s="86"/>
      <c r="L36" s="86"/>
      <c r="M36" s="86"/>
      <c r="N36" s="86"/>
      <c r="O36" s="86"/>
      <c r="P36" s="86"/>
      <c r="Q36" s="111"/>
      <c r="R36" s="552"/>
    </row>
    <row r="37" spans="1:18" ht="16.5" customHeight="1" thickBot="1" x14ac:dyDescent="0.35">
      <c r="A37" s="277"/>
      <c r="B37" s="167"/>
      <c r="C37" s="167"/>
      <c r="D37" s="130" t="s">
        <v>790</v>
      </c>
      <c r="E37" s="538" t="e">
        <f>Rshunt</f>
        <v>#VALUE!</v>
      </c>
      <c r="F37" s="168" t="s">
        <v>53</v>
      </c>
      <c r="G37" s="136"/>
      <c r="H37" s="132"/>
      <c r="I37" s="86"/>
      <c r="J37" s="86"/>
      <c r="K37" s="86"/>
      <c r="L37" s="86"/>
      <c r="M37" s="86"/>
      <c r="N37" s="86"/>
      <c r="O37" s="86"/>
      <c r="P37" s="86"/>
      <c r="Q37" s="111"/>
      <c r="R37" s="552"/>
    </row>
    <row r="38" spans="1:18" ht="14.1" customHeight="1" x14ac:dyDescent="0.2">
      <c r="A38" s="131"/>
      <c r="B38" s="132"/>
      <c r="C38" s="142"/>
      <c r="D38" s="142"/>
      <c r="E38" s="142"/>
      <c r="F38" s="142"/>
      <c r="G38" s="132"/>
      <c r="H38" s="132"/>
      <c r="I38" s="86"/>
      <c r="J38" s="86"/>
      <c r="K38" s="86"/>
      <c r="L38" s="86"/>
      <c r="M38" s="86"/>
      <c r="N38" s="86"/>
      <c r="O38" s="86"/>
      <c r="P38" s="86"/>
      <c r="Q38" s="111"/>
      <c r="R38" s="552"/>
    </row>
    <row r="39" spans="1:18" ht="19.5" thickBot="1" x14ac:dyDescent="0.35">
      <c r="A39" s="194" t="s">
        <v>170</v>
      </c>
      <c r="B39" s="139"/>
      <c r="C39" s="140"/>
      <c r="D39" s="140"/>
      <c r="E39" s="141"/>
      <c r="F39" s="140"/>
      <c r="G39" s="132"/>
      <c r="H39" s="132"/>
      <c r="I39" s="86"/>
      <c r="J39" s="86"/>
      <c r="K39" s="86"/>
      <c r="L39" s="86"/>
      <c r="M39" s="86"/>
      <c r="N39" s="86"/>
      <c r="O39" s="86"/>
      <c r="P39" s="86"/>
      <c r="Q39" s="111"/>
      <c r="R39" s="552"/>
    </row>
    <row r="40" spans="1:18" ht="15.75" customHeight="1" x14ac:dyDescent="0.25">
      <c r="A40" s="181"/>
      <c r="B40" s="172"/>
      <c r="C40" s="162"/>
      <c r="D40" s="173" t="s">
        <v>846</v>
      </c>
      <c r="E40" s="174">
        <v>200</v>
      </c>
      <c r="F40" s="164" t="s">
        <v>287</v>
      </c>
      <c r="G40" s="132"/>
      <c r="H40" s="132"/>
      <c r="I40" s="86"/>
      <c r="J40" s="86"/>
      <c r="K40" s="86"/>
      <c r="L40" s="86"/>
      <c r="M40" s="86"/>
      <c r="N40" s="86"/>
      <c r="O40" s="86"/>
      <c r="P40" s="86"/>
      <c r="Q40" s="111"/>
      <c r="R40" s="552"/>
    </row>
    <row r="41" spans="1:18" ht="14.1" customHeight="1" x14ac:dyDescent="0.2">
      <c r="A41" s="131"/>
      <c r="B41" s="132"/>
      <c r="C41" s="129"/>
      <c r="D41" s="129" t="s">
        <v>605</v>
      </c>
      <c r="E41" s="582">
        <f>'Variable Management'!B168</f>
        <v>121.91480099502488</v>
      </c>
      <c r="F41" s="170" t="s">
        <v>271</v>
      </c>
      <c r="G41" s="132"/>
      <c r="H41" s="132"/>
      <c r="I41" s="86"/>
      <c r="J41" s="86"/>
      <c r="K41" s="86"/>
      <c r="L41" s="86"/>
      <c r="M41" s="86"/>
      <c r="N41" s="86"/>
      <c r="O41" s="86"/>
      <c r="P41" s="86"/>
      <c r="Q41" s="111"/>
      <c r="R41" s="552"/>
    </row>
    <row r="42" spans="1:18" ht="14.1" customHeight="1" x14ac:dyDescent="0.25">
      <c r="A42" s="131"/>
      <c r="B42" s="132"/>
      <c r="C42" s="129"/>
      <c r="D42" s="128" t="s">
        <v>363</v>
      </c>
      <c r="E42" s="135">
        <v>990</v>
      </c>
      <c r="F42" s="165" t="s">
        <v>271</v>
      </c>
      <c r="G42" s="134"/>
      <c r="H42" s="132"/>
      <c r="I42" s="86"/>
      <c r="J42" s="86"/>
      <c r="K42" s="86"/>
      <c r="L42" s="86"/>
      <c r="M42" s="86"/>
      <c r="N42" s="86"/>
      <c r="O42" s="86"/>
      <c r="P42" s="86"/>
      <c r="Q42" s="111"/>
      <c r="R42" s="552"/>
    </row>
    <row r="43" spans="1:18" ht="14.1" customHeight="1" x14ac:dyDescent="0.2">
      <c r="A43" s="131"/>
      <c r="B43" s="132"/>
      <c r="C43" s="129"/>
      <c r="D43" s="129" t="s">
        <v>296</v>
      </c>
      <c r="E43" s="581">
        <f>'Variable Management'!B172</f>
        <v>8.7685373636866188</v>
      </c>
      <c r="F43" s="170" t="s">
        <v>53</v>
      </c>
      <c r="G43" s="134"/>
      <c r="H43" s="132"/>
      <c r="I43" s="86"/>
      <c r="J43" s="86"/>
      <c r="K43" s="86"/>
      <c r="L43" s="86"/>
      <c r="M43" s="86"/>
      <c r="N43" s="86"/>
      <c r="O43" s="86"/>
      <c r="P43" s="86"/>
      <c r="Q43" s="111"/>
      <c r="R43" s="552"/>
    </row>
    <row r="44" spans="1:18" ht="14.1" customHeight="1" x14ac:dyDescent="0.2">
      <c r="A44" s="131"/>
      <c r="B44" s="132"/>
      <c r="C44" s="129"/>
      <c r="D44" s="128" t="s">
        <v>297</v>
      </c>
      <c r="E44" s="135">
        <v>2</v>
      </c>
      <c r="F44" s="165" t="s">
        <v>53</v>
      </c>
      <c r="G44" s="134"/>
      <c r="H44" s="132"/>
      <c r="I44" s="86"/>
      <c r="J44" s="86"/>
      <c r="K44" s="86"/>
      <c r="L44" s="86"/>
      <c r="M44" s="86"/>
      <c r="N44" s="86"/>
      <c r="O44" s="86"/>
      <c r="P44" s="86"/>
      <c r="Q44" s="111"/>
      <c r="R44" s="552"/>
    </row>
    <row r="45" spans="1:18" ht="14.1" customHeight="1" x14ac:dyDescent="0.3">
      <c r="A45" s="131"/>
      <c r="B45" s="132"/>
      <c r="C45" s="132"/>
      <c r="D45" s="129" t="s">
        <v>840</v>
      </c>
      <c r="E45" s="159">
        <f>Vripple2*1000</f>
        <v>64.629252726267651</v>
      </c>
      <c r="F45" s="170" t="s">
        <v>290</v>
      </c>
      <c r="G45" s="134"/>
      <c r="H45" s="132"/>
      <c r="I45" s="86"/>
      <c r="J45" s="86"/>
      <c r="K45" s="86"/>
      <c r="L45" s="86"/>
      <c r="M45" s="86"/>
      <c r="N45" s="86"/>
      <c r="O45" s="86"/>
      <c r="P45" s="86"/>
      <c r="Q45" s="111"/>
      <c r="R45" s="552"/>
    </row>
    <row r="46" spans="1:18" ht="14.1" customHeight="1" thickBot="1" x14ac:dyDescent="0.25">
      <c r="A46" s="166"/>
      <c r="B46" s="167"/>
      <c r="C46" s="167"/>
      <c r="D46" s="130" t="s">
        <v>841</v>
      </c>
      <c r="E46" s="171">
        <f>'Variable Management'!B163</f>
        <v>12.995725793078618</v>
      </c>
      <c r="F46" s="168" t="s">
        <v>176</v>
      </c>
      <c r="G46" s="136"/>
      <c r="H46" s="132"/>
      <c r="I46" s="86"/>
      <c r="J46" s="86"/>
      <c r="K46" s="86"/>
      <c r="L46" s="86"/>
      <c r="M46" s="86"/>
      <c r="N46" s="86"/>
      <c r="O46" s="86"/>
      <c r="P46" s="86"/>
      <c r="Q46" s="111"/>
      <c r="R46" s="552"/>
    </row>
    <row r="47" spans="1:18" ht="17.100000000000001" customHeight="1" x14ac:dyDescent="0.2">
      <c r="A47" s="196"/>
      <c r="B47" s="142"/>
      <c r="C47" s="142"/>
      <c r="D47" s="142"/>
      <c r="E47" s="142"/>
      <c r="F47" s="142"/>
      <c r="G47" s="132"/>
      <c r="H47" s="132"/>
      <c r="I47" s="86"/>
      <c r="J47" s="86"/>
      <c r="K47" s="86"/>
      <c r="L47" s="86"/>
      <c r="M47" s="288" t="s">
        <v>941</v>
      </c>
      <c r="N47" s="619" t="str">
        <f>VIN_nom&amp;"V"</f>
        <v>12V</v>
      </c>
      <c r="O47" s="86"/>
      <c r="P47" s="86"/>
      <c r="Q47" s="111"/>
      <c r="R47" s="552"/>
    </row>
    <row r="48" spans="1:18" ht="19.5" thickBot="1" x14ac:dyDescent="0.35">
      <c r="A48" s="194" t="s">
        <v>171</v>
      </c>
      <c r="B48" s="139"/>
      <c r="C48" s="140"/>
      <c r="D48" s="140"/>
      <c r="E48" s="132"/>
      <c r="F48" s="132"/>
      <c r="G48" s="132"/>
      <c r="H48" s="132"/>
      <c r="I48" s="86"/>
      <c r="J48" s="86"/>
      <c r="K48" s="86"/>
      <c r="L48" s="113"/>
      <c r="M48" s="117"/>
      <c r="N48" s="117"/>
      <c r="O48" s="86"/>
      <c r="P48" s="86"/>
      <c r="Q48" s="111"/>
      <c r="R48" s="552"/>
    </row>
    <row r="49" spans="1:18" ht="14.1" customHeight="1" x14ac:dyDescent="0.25">
      <c r="A49" s="181"/>
      <c r="B49" s="172"/>
      <c r="C49" s="161"/>
      <c r="D49" s="163" t="s">
        <v>847</v>
      </c>
      <c r="E49" s="174">
        <v>200</v>
      </c>
      <c r="F49" s="164" t="s">
        <v>287</v>
      </c>
      <c r="G49" s="132"/>
      <c r="H49" s="132"/>
      <c r="I49" s="86"/>
      <c r="J49" s="114"/>
      <c r="K49" s="86"/>
      <c r="L49" s="86"/>
      <c r="M49" s="86"/>
      <c r="N49" s="86"/>
      <c r="O49" s="86"/>
      <c r="P49" s="86"/>
      <c r="Q49" s="111"/>
      <c r="R49" s="552"/>
    </row>
    <row r="50" spans="1:18" ht="14.1" customHeight="1" x14ac:dyDescent="0.2">
      <c r="A50" s="143"/>
      <c r="B50" s="140"/>
      <c r="C50" s="132"/>
      <c r="D50" s="129" t="s">
        <v>848</v>
      </c>
      <c r="E50" s="581">
        <f>'Variable Management'!B188</f>
        <v>100</v>
      </c>
      <c r="F50" s="170" t="s">
        <v>271</v>
      </c>
      <c r="G50" s="132"/>
      <c r="H50" s="132"/>
      <c r="I50" s="86"/>
      <c r="J50" s="114"/>
      <c r="K50" s="86"/>
      <c r="L50" s="86"/>
      <c r="M50" s="86"/>
      <c r="N50" s="86"/>
      <c r="O50" s="86"/>
      <c r="P50" s="86"/>
      <c r="Q50" s="111"/>
      <c r="R50" s="552"/>
    </row>
    <row r="51" spans="1:18" ht="14.1" customHeight="1" x14ac:dyDescent="0.25">
      <c r="A51" s="131"/>
      <c r="B51" s="132"/>
      <c r="C51" s="140"/>
      <c r="D51" s="160" t="s">
        <v>364</v>
      </c>
      <c r="E51" s="133">
        <v>290</v>
      </c>
      <c r="F51" s="165" t="s">
        <v>271</v>
      </c>
      <c r="G51" s="132"/>
      <c r="H51" s="132"/>
      <c r="I51" s="86"/>
      <c r="J51" s="114"/>
      <c r="K51" s="86"/>
      <c r="L51" s="86"/>
      <c r="M51" s="86"/>
      <c r="N51" s="86"/>
      <c r="O51" s="86"/>
      <c r="P51" s="86"/>
      <c r="Q51" s="111"/>
      <c r="R51" s="552"/>
    </row>
    <row r="52" spans="1:18" ht="14.1" customHeight="1" x14ac:dyDescent="0.2">
      <c r="A52" s="131"/>
      <c r="B52" s="132"/>
      <c r="C52" s="140"/>
      <c r="D52" s="129" t="s">
        <v>296</v>
      </c>
      <c r="E52" s="581">
        <f>'Variable Management'!B193</f>
        <v>4.4490199320770287</v>
      </c>
      <c r="F52" s="170" t="s">
        <v>53</v>
      </c>
      <c r="G52" s="132"/>
      <c r="H52" s="132"/>
      <c r="I52" s="86"/>
      <c r="J52" s="115"/>
      <c r="K52" s="86"/>
      <c r="L52" s="86"/>
      <c r="M52" s="86"/>
      <c r="N52" s="86"/>
      <c r="O52" s="86"/>
      <c r="P52" s="86"/>
      <c r="Q52" s="111" t="s">
        <v>214</v>
      </c>
      <c r="R52" s="552"/>
    </row>
    <row r="53" spans="1:18" ht="14.1" customHeight="1" x14ac:dyDescent="0.2">
      <c r="A53" s="131"/>
      <c r="B53" s="132"/>
      <c r="C53" s="140"/>
      <c r="D53" s="160" t="s">
        <v>298</v>
      </c>
      <c r="E53" s="133">
        <v>2</v>
      </c>
      <c r="F53" s="165" t="s">
        <v>53</v>
      </c>
      <c r="G53" s="132"/>
      <c r="H53" s="132"/>
      <c r="I53" s="86"/>
      <c r="J53" s="115"/>
      <c r="K53" s="86"/>
      <c r="L53" s="86"/>
      <c r="M53" s="86"/>
      <c r="N53" s="86"/>
      <c r="O53" s="86"/>
      <c r="P53" s="86"/>
      <c r="Q53" s="111"/>
      <c r="R53" s="552"/>
    </row>
    <row r="54" spans="1:18" ht="14.1" customHeight="1" x14ac:dyDescent="0.3">
      <c r="A54" s="131"/>
      <c r="B54" s="132"/>
      <c r="C54" s="140"/>
      <c r="D54" s="129" t="s">
        <v>839</v>
      </c>
      <c r="E54" s="159">
        <f>Vinripple2*1000</f>
        <v>127.87039281358074</v>
      </c>
      <c r="F54" s="170" t="s">
        <v>290</v>
      </c>
      <c r="G54" s="132"/>
      <c r="H54" s="132"/>
      <c r="I54" s="86"/>
      <c r="J54" s="115"/>
      <c r="K54" s="86"/>
      <c r="L54" s="86"/>
      <c r="M54" s="86"/>
      <c r="N54" s="86"/>
      <c r="O54" s="86"/>
      <c r="P54" s="86"/>
      <c r="Q54" s="111"/>
      <c r="R54" s="552"/>
    </row>
    <row r="55" spans="1:18" ht="14.1" customHeight="1" thickBot="1" x14ac:dyDescent="0.25">
      <c r="A55" s="166"/>
      <c r="B55" s="167"/>
      <c r="C55" s="167"/>
      <c r="D55" s="130" t="s">
        <v>842</v>
      </c>
      <c r="E55" s="171">
        <f>'Variable Management'!B181</f>
        <v>8.8639501323149634</v>
      </c>
      <c r="F55" s="168" t="s">
        <v>176</v>
      </c>
      <c r="G55" s="132"/>
      <c r="H55" s="132"/>
      <c r="I55" s="86"/>
      <c r="J55" s="86"/>
      <c r="K55" s="86"/>
      <c r="L55" s="86"/>
      <c r="M55" s="86"/>
      <c r="N55" s="86"/>
      <c r="O55" s="86"/>
      <c r="P55" s="86"/>
      <c r="Q55" s="111"/>
      <c r="R55" s="552"/>
    </row>
    <row r="56" spans="1:18" ht="14.1" customHeight="1" x14ac:dyDescent="0.2">
      <c r="A56" s="131"/>
      <c r="B56" s="132"/>
      <c r="C56" s="132"/>
      <c r="D56" s="129"/>
      <c r="E56" s="132"/>
      <c r="F56" s="132"/>
      <c r="G56" s="132"/>
      <c r="H56" s="132"/>
      <c r="I56" s="86"/>
      <c r="J56" s="86"/>
      <c r="K56" s="86"/>
      <c r="L56" s="86"/>
      <c r="M56" s="86"/>
      <c r="N56" s="86"/>
      <c r="O56" s="86"/>
      <c r="P56" s="86"/>
      <c r="Q56" s="111"/>
      <c r="R56" s="552"/>
    </row>
    <row r="57" spans="1:18" ht="19.5" thickBot="1" x14ac:dyDescent="0.35">
      <c r="A57" s="194" t="s">
        <v>418</v>
      </c>
      <c r="B57" s="139"/>
      <c r="C57" s="132"/>
      <c r="D57" s="129"/>
      <c r="E57" s="132"/>
      <c r="F57" s="132"/>
      <c r="G57" s="132"/>
      <c r="H57" s="144"/>
      <c r="I57" s="117"/>
      <c r="J57" s="117"/>
      <c r="K57" s="117"/>
      <c r="L57" s="117"/>
      <c r="M57" s="117"/>
      <c r="N57" s="86"/>
      <c r="O57" s="86"/>
      <c r="P57" s="86"/>
      <c r="Q57" s="111"/>
      <c r="R57" s="552"/>
    </row>
    <row r="58" spans="1:18" ht="13.7" customHeight="1" x14ac:dyDescent="0.2">
      <c r="A58" s="282"/>
      <c r="B58" s="283"/>
      <c r="C58" s="283"/>
      <c r="D58" s="292" t="s">
        <v>366</v>
      </c>
      <c r="E58" s="286">
        <v>35</v>
      </c>
      <c r="F58" s="287" t="s">
        <v>180</v>
      </c>
      <c r="G58" s="132"/>
      <c r="H58" s="142"/>
      <c r="I58" s="117"/>
      <c r="J58" s="117"/>
      <c r="K58" s="117"/>
      <c r="L58" s="117"/>
      <c r="M58" s="117"/>
      <c r="N58" s="86"/>
      <c r="O58" s="86"/>
      <c r="P58" s="86"/>
      <c r="Q58" s="111"/>
      <c r="R58" s="552"/>
    </row>
    <row r="59" spans="1:18" ht="13.7" customHeight="1" x14ac:dyDescent="0.2">
      <c r="A59" s="272"/>
      <c r="B59" s="271"/>
      <c r="C59" s="271"/>
      <c r="D59" s="273" t="s">
        <v>365</v>
      </c>
      <c r="E59" s="293">
        <f>IF(Tss&gt;1.28/1000,Css_u*1000000000,"N/A")</f>
        <v>220</v>
      </c>
      <c r="F59" s="275" t="s">
        <v>172</v>
      </c>
      <c r="G59" s="132"/>
      <c r="H59" s="142"/>
      <c r="I59" s="117"/>
      <c r="J59" s="117"/>
      <c r="K59" s="117"/>
      <c r="L59" s="117"/>
      <c r="M59" s="117"/>
      <c r="N59" s="86"/>
      <c r="O59" s="86"/>
      <c r="P59" s="86"/>
      <c r="Q59" s="111"/>
      <c r="R59" s="552"/>
    </row>
    <row r="60" spans="1:18" ht="13.7" customHeight="1" x14ac:dyDescent="0.2">
      <c r="A60" s="272"/>
      <c r="B60" s="271"/>
      <c r="C60" s="271"/>
      <c r="D60" s="294" t="s">
        <v>938</v>
      </c>
      <c r="E60" s="297">
        <v>1</v>
      </c>
      <c r="F60" s="290" t="str">
        <f>IF(DITHER=1, "kHz", "")</f>
        <v/>
      </c>
      <c r="G60" s="132"/>
      <c r="H60" s="132"/>
      <c r="I60" s="86"/>
      <c r="J60" s="84"/>
      <c r="K60" s="127"/>
      <c r="L60" s="86"/>
      <c r="M60" s="117"/>
      <c r="N60" s="86"/>
      <c r="O60" s="86"/>
      <c r="P60" s="86"/>
      <c r="Q60" s="111"/>
      <c r="R60" s="552"/>
    </row>
    <row r="61" spans="1:18" ht="13.7" customHeight="1" x14ac:dyDescent="0.2">
      <c r="A61" s="272"/>
      <c r="B61" s="271"/>
      <c r="C61" s="271"/>
      <c r="D61" s="273" t="str">
        <f>IF(DITHER=1, "DITH Capacitance, Cd", "*Short DITH pin to GND")</f>
        <v>*Short DITH pin to GND</v>
      </c>
      <c r="E61" s="273" t="str">
        <f>IF(DITHER=1,IF(E60&gt;0,'Standard Value Calculator'!O19*1000000000,"N/A"),"")</f>
        <v/>
      </c>
      <c r="F61" s="275" t="str">
        <f>IF(DITHER=1, "nF", "")</f>
        <v/>
      </c>
      <c r="G61" s="132"/>
      <c r="H61" s="132"/>
      <c r="I61" s="86"/>
      <c r="J61" s="84"/>
      <c r="K61" s="127"/>
      <c r="L61" s="86"/>
      <c r="M61" s="117"/>
      <c r="N61" s="86"/>
      <c r="O61" s="86"/>
      <c r="P61" s="86"/>
      <c r="Q61" s="111"/>
      <c r="R61" s="552"/>
    </row>
    <row r="62" spans="1:18" ht="13.7" customHeight="1" x14ac:dyDescent="0.2">
      <c r="A62" s="272"/>
      <c r="B62" s="271"/>
      <c r="C62" s="295"/>
      <c r="D62" s="296" t="s">
        <v>384</v>
      </c>
      <c r="E62" s="297">
        <v>9</v>
      </c>
      <c r="F62" s="290" t="s">
        <v>0</v>
      </c>
      <c r="G62" s="132"/>
      <c r="H62" s="132"/>
      <c r="I62" s="86"/>
      <c r="J62" s="84"/>
      <c r="K62" s="127"/>
      <c r="L62" s="86"/>
      <c r="M62" s="117"/>
      <c r="N62" s="86"/>
      <c r="O62" s="86"/>
      <c r="P62" s="86"/>
      <c r="Q62" s="111"/>
      <c r="R62" s="552"/>
    </row>
    <row r="63" spans="1:18" ht="13.7" customHeight="1" x14ac:dyDescent="0.2">
      <c r="A63" s="272"/>
      <c r="B63" s="271"/>
      <c r="C63" s="271"/>
      <c r="D63" s="273" t="s">
        <v>346</v>
      </c>
      <c r="E63" s="299">
        <f>'Variable Management'!B216</f>
        <v>8.3101897260273976</v>
      </c>
      <c r="F63" s="275" t="s">
        <v>0</v>
      </c>
      <c r="G63" s="132"/>
      <c r="H63" s="132"/>
      <c r="I63" s="86"/>
      <c r="J63" s="84"/>
      <c r="K63" s="127"/>
      <c r="L63" s="86"/>
      <c r="M63" s="117"/>
      <c r="N63" s="86"/>
      <c r="O63" s="86"/>
      <c r="P63" s="86"/>
      <c r="Q63" s="111"/>
      <c r="R63" s="552"/>
    </row>
    <row r="64" spans="1:18" ht="13.7" customHeight="1" x14ac:dyDescent="0.2">
      <c r="A64" s="272"/>
      <c r="B64" s="271"/>
      <c r="C64" s="295"/>
      <c r="D64" s="296" t="s">
        <v>383</v>
      </c>
      <c r="E64" s="297">
        <v>249</v>
      </c>
      <c r="F64" s="275" t="s">
        <v>54</v>
      </c>
      <c r="G64" s="132"/>
      <c r="H64" s="132"/>
      <c r="I64" s="86"/>
      <c r="J64" s="84"/>
      <c r="K64" s="127"/>
      <c r="L64" s="86"/>
      <c r="M64" s="117"/>
      <c r="N64" s="86"/>
      <c r="O64" s="86"/>
      <c r="P64" s="86"/>
      <c r="Q64" s="111"/>
      <c r="R64" s="552"/>
    </row>
    <row r="65" spans="1:35" ht="15" customHeight="1" thickBot="1" x14ac:dyDescent="0.25">
      <c r="A65" s="300"/>
      <c r="B65" s="301"/>
      <c r="C65" s="301"/>
      <c r="D65" s="298" t="s">
        <v>382</v>
      </c>
      <c r="E65" s="298">
        <f>'Variable Management'!E213</f>
        <v>36.5</v>
      </c>
      <c r="F65" s="302" t="s">
        <v>54</v>
      </c>
      <c r="G65" s="132"/>
      <c r="H65" s="132"/>
      <c r="I65" s="86"/>
      <c r="J65" s="84"/>
      <c r="K65" s="127"/>
      <c r="L65" s="86"/>
      <c r="M65" s="117"/>
      <c r="N65" s="86"/>
      <c r="O65" s="86"/>
      <c r="P65" s="86"/>
      <c r="Q65" s="111"/>
      <c r="R65" s="552"/>
    </row>
    <row r="66" spans="1:35" ht="14.1" customHeight="1" x14ac:dyDescent="0.2">
      <c r="A66" s="131"/>
      <c r="B66" s="132"/>
      <c r="C66" s="132"/>
      <c r="D66" s="129"/>
      <c r="E66" s="145"/>
      <c r="F66" s="132"/>
      <c r="G66" s="132"/>
      <c r="H66" s="132"/>
      <c r="I66" s="86"/>
      <c r="J66" s="84"/>
      <c r="K66" s="127"/>
      <c r="L66" s="86"/>
      <c r="M66" s="117"/>
      <c r="N66" s="86"/>
      <c r="O66" s="86"/>
      <c r="P66" s="86"/>
      <c r="Q66" s="111"/>
      <c r="R66" s="552"/>
    </row>
    <row r="67" spans="1:35" ht="19.5" customHeight="1" thickBot="1" x14ac:dyDescent="0.25">
      <c r="A67" s="194" t="s">
        <v>292</v>
      </c>
      <c r="B67" s="147"/>
      <c r="C67" s="140"/>
      <c r="D67" s="618"/>
      <c r="E67" s="141"/>
      <c r="F67" s="140"/>
      <c r="G67" s="132"/>
      <c r="H67" s="132"/>
      <c r="I67" s="86"/>
      <c r="J67" s="86"/>
      <c r="K67" s="86"/>
      <c r="L67" s="86"/>
      <c r="M67" s="86"/>
      <c r="N67" s="86"/>
      <c r="O67" s="86"/>
      <c r="P67" s="86"/>
      <c r="Q67" s="111"/>
      <c r="R67" s="551"/>
      <c r="S67" s="54"/>
      <c r="T67" s="54"/>
      <c r="W67" s="54"/>
      <c r="X67" s="54"/>
      <c r="Y67" s="54"/>
      <c r="AB67" s="54"/>
      <c r="AC67" s="54"/>
      <c r="AD67" s="54"/>
      <c r="AG67" s="54"/>
      <c r="AH67" s="54"/>
      <c r="AI67" s="54"/>
    </row>
    <row r="68" spans="1:35" ht="15" customHeight="1" x14ac:dyDescent="0.2">
      <c r="A68" s="282"/>
      <c r="B68" s="283"/>
      <c r="C68" s="284"/>
      <c r="D68" s="284" t="s">
        <v>386</v>
      </c>
      <c r="E68" s="395">
        <f>Fp_dominant</f>
        <v>710.29730474096323</v>
      </c>
      <c r="F68" s="303" t="s">
        <v>10</v>
      </c>
      <c r="G68" s="132"/>
      <c r="H68" s="132"/>
      <c r="I68" s="86"/>
      <c r="J68" s="86"/>
      <c r="K68" s="86"/>
      <c r="L68" s="86"/>
      <c r="M68" s="86"/>
      <c r="N68" s="86"/>
      <c r="O68" s="86"/>
      <c r="P68" s="86"/>
      <c r="Q68" s="111"/>
      <c r="R68" s="551"/>
      <c r="S68" s="54"/>
      <c r="T68" s="54"/>
      <c r="W68" s="54"/>
      <c r="X68" s="54"/>
      <c r="Y68" s="54"/>
      <c r="AB68" s="54"/>
      <c r="AC68" s="54"/>
      <c r="AD68" s="54"/>
      <c r="AG68" s="54"/>
      <c r="AH68" s="54"/>
      <c r="AI68" s="54"/>
    </row>
    <row r="69" spans="1:35" ht="15" customHeight="1" x14ac:dyDescent="0.2">
      <c r="A69" s="272"/>
      <c r="B69" s="271"/>
      <c r="C69" s="273"/>
      <c r="D69" s="273" t="s">
        <v>385</v>
      </c>
      <c r="E69" s="276">
        <f>Fesr/1000</f>
        <v>80.381284481695147</v>
      </c>
      <c r="F69" s="275" t="s">
        <v>3</v>
      </c>
      <c r="G69" s="132"/>
      <c r="H69" s="132"/>
      <c r="I69" s="86"/>
      <c r="J69" s="86"/>
      <c r="K69" s="86"/>
      <c r="L69" s="86"/>
      <c r="M69" s="86"/>
      <c r="N69" s="86"/>
      <c r="O69" s="86"/>
      <c r="P69" s="86"/>
      <c r="Q69" s="111"/>
      <c r="R69" s="551"/>
      <c r="S69" s="54"/>
      <c r="T69" s="54"/>
      <c r="W69" s="54"/>
      <c r="X69" s="54"/>
      <c r="Y69" s="54"/>
      <c r="AB69" s="54"/>
      <c r="AC69" s="54"/>
      <c r="AD69" s="54"/>
      <c r="AG69" s="54"/>
      <c r="AH69" s="54"/>
      <c r="AI69" s="54"/>
    </row>
    <row r="70" spans="1:35" ht="15" customHeight="1" x14ac:dyDescent="0.2">
      <c r="A70" s="272"/>
      <c r="B70" s="271"/>
      <c r="C70" s="273"/>
      <c r="D70" s="273" t="s">
        <v>468</v>
      </c>
      <c r="E70" s="276">
        <f>Frhp/1000</f>
        <v>44.322846065897657</v>
      </c>
      <c r="F70" s="275" t="s">
        <v>3</v>
      </c>
      <c r="G70" s="132"/>
      <c r="H70" s="132"/>
      <c r="I70" s="86"/>
      <c r="J70" s="86"/>
      <c r="K70" s="86"/>
      <c r="L70" s="86"/>
      <c r="M70" s="86"/>
      <c r="N70" s="86"/>
      <c r="O70" s="86"/>
      <c r="P70" s="86"/>
      <c r="Q70" s="111"/>
      <c r="R70" s="551"/>
      <c r="S70" s="54"/>
      <c r="T70" s="54"/>
      <c r="W70" s="54"/>
      <c r="X70" s="54"/>
      <c r="Y70" s="54"/>
      <c r="AB70" s="54"/>
      <c r="AC70" s="54"/>
      <c r="AD70" s="54"/>
      <c r="AG70" s="54"/>
      <c r="AH70" s="54"/>
      <c r="AI70" s="54"/>
    </row>
    <row r="71" spans="1:35" ht="15" customHeight="1" x14ac:dyDescent="0.2">
      <c r="A71" s="272"/>
      <c r="B71" s="271"/>
      <c r="C71" s="273"/>
      <c r="D71" s="296" t="s">
        <v>304</v>
      </c>
      <c r="E71" s="304">
        <v>5</v>
      </c>
      <c r="F71" s="305" t="str">
        <f>"     kHz "</f>
        <v xml:space="preserve">     kHz </v>
      </c>
      <c r="G71" s="132"/>
      <c r="H71" s="132"/>
      <c r="I71" s="86"/>
      <c r="J71" s="86"/>
      <c r="K71" s="86"/>
      <c r="L71" s="86"/>
      <c r="M71" s="86"/>
      <c r="N71" s="86"/>
      <c r="O71" s="86"/>
      <c r="P71" s="86"/>
      <c r="Q71" s="111"/>
      <c r="R71" s="551"/>
      <c r="S71" s="54"/>
      <c r="T71" s="54"/>
      <c r="W71" s="54"/>
      <c r="X71" s="54"/>
      <c r="Y71" s="54"/>
      <c r="AB71" s="54"/>
      <c r="AC71" s="54"/>
      <c r="AD71" s="54"/>
      <c r="AG71" s="54"/>
      <c r="AH71" s="54"/>
      <c r="AI71" s="54"/>
    </row>
    <row r="72" spans="1:35" ht="15" customHeight="1" x14ac:dyDescent="0.2">
      <c r="A72" s="272"/>
      <c r="B72" s="271"/>
      <c r="C72" s="273"/>
      <c r="D72" s="273" t="s">
        <v>524</v>
      </c>
      <c r="E72" s="276">
        <f>Fp1_u</f>
        <v>0.24107104998798903</v>
      </c>
      <c r="F72" s="275" t="s">
        <v>10</v>
      </c>
      <c r="G72" s="132"/>
      <c r="H72" s="132"/>
      <c r="I72" s="86"/>
      <c r="J72" s="86"/>
      <c r="K72" s="86"/>
      <c r="L72" s="86"/>
      <c r="M72" s="86"/>
      <c r="N72" s="86"/>
      <c r="O72" s="86"/>
      <c r="P72" s="86"/>
      <c r="Q72" s="111"/>
      <c r="R72" s="551"/>
      <c r="S72" s="54"/>
      <c r="T72" s="54"/>
      <c r="W72" s="54"/>
      <c r="X72" s="54"/>
      <c r="Y72" s="54"/>
      <c r="AB72" s="54"/>
      <c r="AC72" s="54"/>
      <c r="AD72" s="54"/>
      <c r="AG72" s="54"/>
      <c r="AH72" s="54"/>
      <c r="AI72" s="54"/>
    </row>
    <row r="73" spans="1:35" ht="15" customHeight="1" x14ac:dyDescent="0.2">
      <c r="A73" s="272"/>
      <c r="B73" s="271"/>
      <c r="C73" s="273"/>
      <c r="D73" s="296" t="s">
        <v>367</v>
      </c>
      <c r="E73" s="306">
        <v>310</v>
      </c>
      <c r="F73" s="290" t="s">
        <v>54</v>
      </c>
      <c r="G73" s="132"/>
      <c r="H73" s="132"/>
      <c r="I73" s="86"/>
      <c r="J73" s="86"/>
      <c r="K73" s="86"/>
      <c r="L73" s="86"/>
      <c r="M73" s="86"/>
      <c r="N73" s="86"/>
      <c r="O73" s="86"/>
      <c r="P73" s="86"/>
      <c r="Q73" s="111"/>
      <c r="R73" s="551"/>
      <c r="S73" s="54"/>
      <c r="T73" s="54"/>
      <c r="W73" s="54"/>
      <c r="X73" s="54"/>
      <c r="Y73" s="54"/>
      <c r="AB73" s="54"/>
      <c r="AC73" s="54"/>
      <c r="AD73" s="54"/>
      <c r="AG73" s="54"/>
      <c r="AH73" s="54"/>
      <c r="AI73" s="54"/>
    </row>
    <row r="74" spans="1:35" ht="17.25" customHeight="1" thickBot="1" x14ac:dyDescent="0.25">
      <c r="A74" s="277"/>
      <c r="B74" s="278"/>
      <c r="C74" s="279"/>
      <c r="D74" s="279" t="s">
        <v>368</v>
      </c>
      <c r="E74" s="279">
        <f>IF(Vout=Vref,"OPEN",Rfb2_u/1000)</f>
        <v>20.5</v>
      </c>
      <c r="F74" s="281" t="str">
        <f>IF(Vout=Vref,"","kΩ")</f>
        <v>kΩ</v>
      </c>
      <c r="G74" s="132"/>
      <c r="H74" s="132"/>
      <c r="I74" s="86"/>
      <c r="J74" s="86"/>
      <c r="K74" s="86"/>
      <c r="L74" s="86"/>
      <c r="M74" s="86"/>
      <c r="N74" s="86"/>
      <c r="O74" s="86"/>
      <c r="P74" s="86"/>
      <c r="Q74" s="111"/>
      <c r="R74" s="551"/>
      <c r="S74" s="54"/>
      <c r="T74" s="54"/>
      <c r="W74" s="54"/>
      <c r="X74" s="54"/>
      <c r="Y74" s="54"/>
      <c r="AB74" s="54"/>
      <c r="AC74" s="54"/>
      <c r="AD74" s="54"/>
      <c r="AG74" s="54"/>
      <c r="AH74" s="54"/>
      <c r="AI74" s="54"/>
    </row>
    <row r="75" spans="1:35" ht="13.5" customHeight="1" x14ac:dyDescent="0.2">
      <c r="A75" s="197"/>
      <c r="B75" s="612"/>
      <c r="C75" s="153"/>
      <c r="D75" s="142"/>
      <c r="E75" s="142"/>
      <c r="F75" s="142"/>
      <c r="G75" s="152"/>
      <c r="H75" s="151"/>
      <c r="I75" s="86"/>
      <c r="J75" s="86"/>
      <c r="K75" s="86"/>
      <c r="L75" s="86"/>
      <c r="M75" s="86"/>
      <c r="N75" s="86"/>
      <c r="O75" s="86"/>
      <c r="P75" s="86"/>
      <c r="Q75" s="111"/>
      <c r="R75" s="551"/>
      <c r="S75" s="54"/>
      <c r="T75" s="54"/>
      <c r="W75" s="54"/>
      <c r="X75" s="54"/>
      <c r="Y75" s="54"/>
      <c r="AB75" s="54"/>
      <c r="AC75" s="54"/>
      <c r="AD75" s="54"/>
      <c r="AG75" s="54"/>
      <c r="AH75" s="54"/>
      <c r="AI75" s="54"/>
    </row>
    <row r="76" spans="1:35" ht="15.75" customHeight="1" x14ac:dyDescent="0.25">
      <c r="A76" s="518" t="s">
        <v>284</v>
      </c>
      <c r="B76" s="154"/>
      <c r="C76" s="129"/>
      <c r="D76" s="148"/>
      <c r="E76" s="149"/>
      <c r="F76" s="150"/>
      <c r="G76" s="155"/>
      <c r="H76" s="132"/>
      <c r="I76" s="86"/>
      <c r="J76" s="86"/>
      <c r="K76" s="86"/>
      <c r="L76" s="86"/>
      <c r="M76" s="86"/>
      <c r="N76" s="86"/>
      <c r="O76" s="86"/>
      <c r="P76" s="86"/>
      <c r="Q76" s="111"/>
      <c r="R76" s="551"/>
      <c r="S76" s="200"/>
      <c r="T76" s="200"/>
      <c r="U76" s="201"/>
      <c r="V76" s="201"/>
      <c r="W76" s="200"/>
      <c r="X76" s="200"/>
      <c r="Y76" s="200"/>
      <c r="Z76" s="201"/>
      <c r="AA76" s="201"/>
      <c r="AB76" s="200"/>
      <c r="AC76" s="200"/>
      <c r="AD76" s="200"/>
      <c r="AE76" s="201"/>
      <c r="AF76" s="201"/>
      <c r="AG76" s="54"/>
      <c r="AH76" s="54"/>
      <c r="AI76" s="54"/>
    </row>
    <row r="77" spans="1:35" s="213" customFormat="1" ht="13.5" customHeight="1" thickBot="1" x14ac:dyDescent="0.25">
      <c r="A77" s="218"/>
      <c r="B77" s="219" t="s">
        <v>293</v>
      </c>
      <c r="C77" s="221" t="s">
        <v>283</v>
      </c>
      <c r="D77" s="220" t="str">
        <f>"    Selected"</f>
        <v xml:space="preserve">    Selected</v>
      </c>
      <c r="E77" s="618"/>
      <c r="F77" s="641" t="s">
        <v>285</v>
      </c>
      <c r="G77" s="641"/>
      <c r="H77" s="641"/>
      <c r="I77" s="208"/>
      <c r="J77" s="208"/>
      <c r="K77" s="208"/>
      <c r="L77" s="208"/>
      <c r="M77" s="208"/>
      <c r="N77" s="208"/>
      <c r="O77" s="208"/>
      <c r="P77" s="208"/>
      <c r="Q77" s="209"/>
      <c r="R77" s="553"/>
      <c r="S77" s="210"/>
      <c r="T77" s="210"/>
      <c r="U77" s="211"/>
      <c r="V77" s="211"/>
      <c r="W77" s="210"/>
      <c r="X77" s="210"/>
      <c r="Y77" s="210"/>
      <c r="Z77" s="211"/>
      <c r="AA77" s="211"/>
      <c r="AB77" s="210"/>
      <c r="AC77" s="210"/>
      <c r="AD77" s="210"/>
      <c r="AE77" s="211"/>
      <c r="AF77" s="211"/>
      <c r="AG77" s="212"/>
      <c r="AH77" s="212"/>
      <c r="AI77" s="212"/>
    </row>
    <row r="78" spans="1:35" ht="15.75" x14ac:dyDescent="0.3">
      <c r="A78" s="179" t="s">
        <v>467</v>
      </c>
      <c r="B78" s="192">
        <f>Rcea1/1000</f>
        <v>6.2606278411362934</v>
      </c>
      <c r="C78" s="175">
        <f>'Standard Value Calculator'!O27</f>
        <v>6.19</v>
      </c>
      <c r="D78" s="176">
        <v>6.04</v>
      </c>
      <c r="E78" s="177" t="s">
        <v>54</v>
      </c>
      <c r="F78" s="571">
        <f>Fp1_u</f>
        <v>0.24107104998798903</v>
      </c>
      <c r="G78" s="468" t="s">
        <v>629</v>
      </c>
      <c r="H78" s="142"/>
      <c r="I78" s="129" t="s">
        <v>799</v>
      </c>
      <c r="J78" s="545" t="str">
        <f>ROUND('Variable Management'!B269,2)&amp;"V"</f>
        <v>0.47V</v>
      </c>
      <c r="K78" s="132"/>
      <c r="L78" s="86"/>
      <c r="M78" s="86"/>
      <c r="N78" s="86"/>
      <c r="O78" s="86"/>
      <c r="P78" s="86"/>
      <c r="Q78" s="111"/>
      <c r="R78" s="551"/>
      <c r="S78" s="200"/>
      <c r="T78" s="200"/>
      <c r="U78" s="201"/>
      <c r="V78" s="201"/>
      <c r="W78" s="200"/>
      <c r="X78" s="200"/>
      <c r="Y78" s="200"/>
      <c r="Z78" s="201"/>
      <c r="AA78" s="201"/>
      <c r="AB78" s="200"/>
      <c r="AC78" s="200"/>
      <c r="AD78" s="200"/>
      <c r="AE78" s="201"/>
      <c r="AF78" s="201"/>
      <c r="AG78" s="54"/>
      <c r="AH78" s="54"/>
      <c r="AI78" s="54"/>
    </row>
    <row r="79" spans="1:35" ht="15.75" x14ac:dyDescent="0.3">
      <c r="A79" s="180" t="s">
        <v>288</v>
      </c>
      <c r="B79" s="529">
        <f>Cc1ea*1000000000</f>
        <v>23.860020812255343</v>
      </c>
      <c r="C79" s="151">
        <f>'Standard Value Calculator'!O28</f>
        <v>22</v>
      </c>
      <c r="D79" s="156">
        <v>33</v>
      </c>
      <c r="E79" s="178" t="s">
        <v>172</v>
      </c>
      <c r="F79" s="469">
        <f>Fz1_u/1000</f>
        <v>0.79848958094399136</v>
      </c>
      <c r="G79" s="470" t="s">
        <v>722</v>
      </c>
      <c r="H79" s="142"/>
      <c r="I79" s="129" t="s">
        <v>798</v>
      </c>
      <c r="J79" s="545" t="str">
        <f>ROUND('Variable Management'!B270,2)&amp;"V"</f>
        <v>2.18V</v>
      </c>
      <c r="K79" s="132"/>
      <c r="L79" s="86"/>
      <c r="M79" s="86"/>
      <c r="N79" s="86"/>
      <c r="O79" s="86"/>
      <c r="P79" s="86"/>
      <c r="Q79" s="111"/>
      <c r="R79" s="551"/>
      <c r="S79" s="200"/>
      <c r="T79" s="200"/>
      <c r="U79" s="201"/>
      <c r="V79" s="201"/>
      <c r="W79" s="200"/>
      <c r="X79" s="200"/>
      <c r="Y79" s="200"/>
      <c r="Z79" s="201"/>
      <c r="AA79" s="201"/>
      <c r="AB79" s="200"/>
      <c r="AC79" s="200"/>
      <c r="AD79" s="200"/>
      <c r="AE79" s="201"/>
      <c r="AF79" s="201"/>
      <c r="AG79" s="54"/>
      <c r="AH79" s="54"/>
      <c r="AI79" s="54"/>
    </row>
    <row r="80" spans="1:35" ht="16.5" thickBot="1" x14ac:dyDescent="0.35">
      <c r="A80" s="396" t="s">
        <v>289</v>
      </c>
      <c r="B80" s="193">
        <f>IF(Cc2ea*1000000000000&lt;0, 0, Cc2ea*1000000000000)</f>
        <v>701.06451592707356</v>
      </c>
      <c r="C80" s="189">
        <f>'Standard Value Calculator'!O29</f>
        <v>680</v>
      </c>
      <c r="D80" s="190">
        <v>1200</v>
      </c>
      <c r="E80" s="191" t="s">
        <v>32</v>
      </c>
      <c r="F80" s="476">
        <f>Fp2_u/1000</f>
        <v>21.505664448581573</v>
      </c>
      <c r="G80" s="471" t="s">
        <v>723</v>
      </c>
      <c r="H80" s="142"/>
      <c r="I80" s="86"/>
      <c r="J80" s="86"/>
      <c r="K80" s="86"/>
      <c r="L80" s="86"/>
      <c r="M80" s="86"/>
      <c r="N80" s="86"/>
      <c r="O80" s="86"/>
      <c r="P80" s="86"/>
      <c r="Q80" s="111"/>
      <c r="R80" s="551"/>
      <c r="S80" s="200"/>
      <c r="T80" s="200"/>
      <c r="U80" s="201"/>
      <c r="V80" s="201"/>
      <c r="W80" s="200"/>
      <c r="X80" s="200"/>
      <c r="Y80" s="200"/>
      <c r="Z80" s="201"/>
      <c r="AA80" s="201"/>
      <c r="AB80" s="200"/>
      <c r="AC80" s="200"/>
      <c r="AD80" s="200"/>
      <c r="AE80" s="201"/>
      <c r="AF80" s="201"/>
      <c r="AG80" s="54"/>
      <c r="AH80" s="54"/>
      <c r="AI80" s="54"/>
    </row>
    <row r="81" spans="1:35" ht="13.5" thickBot="1" x14ac:dyDescent="0.25">
      <c r="A81" s="131"/>
      <c r="B81" s="129"/>
      <c r="C81" s="129"/>
      <c r="D81" s="640"/>
      <c r="E81" s="132"/>
      <c r="F81" s="132"/>
      <c r="G81" s="132"/>
      <c r="H81" s="132"/>
      <c r="I81" s="86"/>
      <c r="J81" s="86"/>
      <c r="K81" s="86"/>
      <c r="L81" s="86"/>
      <c r="M81" s="86"/>
      <c r="N81" s="86"/>
      <c r="O81" s="86"/>
      <c r="P81" s="86"/>
      <c r="Q81" s="111"/>
      <c r="R81" s="551"/>
      <c r="S81" s="200"/>
      <c r="T81" s="200"/>
      <c r="U81" s="201"/>
      <c r="V81" s="201"/>
      <c r="W81" s="200"/>
      <c r="X81" s="200"/>
      <c r="Y81" s="200"/>
      <c r="Z81" s="201"/>
      <c r="AA81" s="201"/>
      <c r="AB81" s="200"/>
      <c r="AC81" s="200"/>
      <c r="AD81" s="200"/>
      <c r="AE81" s="201"/>
      <c r="AF81" s="201"/>
      <c r="AG81" s="54"/>
      <c r="AH81" s="54"/>
      <c r="AI81" s="54"/>
    </row>
    <row r="82" spans="1:35" s="89" customFormat="1" ht="18.75" thickBot="1" x14ac:dyDescent="0.3">
      <c r="A82" s="198" t="s">
        <v>291</v>
      </c>
      <c r="B82" s="146"/>
      <c r="C82" s="157"/>
      <c r="D82" s="157"/>
      <c r="E82" s="157"/>
      <c r="F82" s="157"/>
      <c r="G82" s="157"/>
      <c r="H82" s="157"/>
      <c r="I82" s="87"/>
      <c r="J82" s="87"/>
      <c r="K82" s="87"/>
      <c r="L82" s="87"/>
      <c r="M82" s="87"/>
      <c r="N82" s="87"/>
      <c r="O82" s="87"/>
      <c r="P82" s="87"/>
      <c r="Q82" s="88"/>
      <c r="R82" s="554"/>
      <c r="S82" s="202"/>
      <c r="T82" s="202"/>
      <c r="U82" s="203"/>
      <c r="V82" s="203"/>
      <c r="W82" s="202"/>
      <c r="X82" s="202"/>
      <c r="Y82" s="202"/>
      <c r="Z82" s="203"/>
      <c r="AA82" s="203"/>
      <c r="AB82" s="202"/>
      <c r="AC82" s="202"/>
      <c r="AD82" s="202"/>
      <c r="AE82" s="203"/>
      <c r="AF82" s="203"/>
      <c r="AG82" s="55"/>
      <c r="AH82" s="55"/>
      <c r="AI82" s="55"/>
    </row>
    <row r="83" spans="1:35" x14ac:dyDescent="0.2">
      <c r="A83" s="196"/>
      <c r="B83" s="142"/>
      <c r="C83" s="132"/>
      <c r="D83" s="132"/>
      <c r="E83" s="132"/>
      <c r="F83" s="132"/>
      <c r="G83" s="132"/>
      <c r="H83" s="132"/>
      <c r="I83" s="86"/>
      <c r="J83" s="86"/>
      <c r="K83" s="86"/>
      <c r="L83" s="86"/>
      <c r="M83" s="86"/>
      <c r="N83" s="86"/>
      <c r="O83" s="86"/>
      <c r="P83" s="86"/>
      <c r="Q83" s="111"/>
      <c r="R83" s="551"/>
      <c r="S83" s="200"/>
      <c r="T83" s="200"/>
      <c r="U83" s="201"/>
      <c r="V83" s="201"/>
      <c r="W83" s="200"/>
      <c r="X83" s="200"/>
      <c r="Y83" s="200"/>
      <c r="Z83" s="201"/>
      <c r="AA83" s="201"/>
      <c r="AB83" s="200"/>
      <c r="AC83" s="200"/>
      <c r="AD83" s="200"/>
      <c r="AE83" s="201"/>
      <c r="AF83" s="201"/>
      <c r="AG83" s="54"/>
      <c r="AH83" s="54"/>
      <c r="AI83" s="54"/>
    </row>
    <row r="84" spans="1:35" ht="19.5" thickBot="1" x14ac:dyDescent="0.35">
      <c r="A84" s="158" t="s">
        <v>229</v>
      </c>
      <c r="B84" s="139"/>
      <c r="C84" s="132"/>
      <c r="D84" s="132"/>
      <c r="E84" s="132"/>
      <c r="F84" s="132"/>
      <c r="G84" s="132"/>
      <c r="H84" s="132"/>
      <c r="I84" s="86"/>
      <c r="J84" s="86"/>
      <c r="K84" s="86"/>
      <c r="L84" s="86"/>
      <c r="M84" s="635" t="s">
        <v>941</v>
      </c>
      <c r="N84" s="636" t="str">
        <f>VIN_nom&amp;"V"</f>
        <v>12V</v>
      </c>
      <c r="O84" s="86"/>
      <c r="P84" s="86"/>
      <c r="Q84" s="111"/>
      <c r="R84" s="551"/>
      <c r="S84" s="200"/>
      <c r="T84" s="200"/>
      <c r="U84" s="201"/>
      <c r="V84" s="201"/>
      <c r="W84" s="200"/>
      <c r="X84" s="200"/>
      <c r="Y84" s="200"/>
      <c r="Z84" s="201"/>
      <c r="AA84" s="201"/>
      <c r="AB84" s="200"/>
      <c r="AC84" s="200"/>
      <c r="AD84" s="200"/>
      <c r="AE84" s="201"/>
      <c r="AF84" s="201"/>
      <c r="AG84" s="54"/>
      <c r="AH84" s="54"/>
      <c r="AI84" s="54"/>
    </row>
    <row r="85" spans="1:35" ht="18" customHeight="1" x14ac:dyDescent="0.25">
      <c r="A85" s="181"/>
      <c r="B85" s="182"/>
      <c r="C85" s="183"/>
      <c r="D85" s="214" t="s">
        <v>793</v>
      </c>
      <c r="E85" s="269" t="s">
        <v>981</v>
      </c>
      <c r="F85" s="183"/>
      <c r="G85" s="184"/>
      <c r="H85" s="132"/>
      <c r="I85" s="86"/>
      <c r="J85" s="86"/>
      <c r="K85" s="86"/>
      <c r="L85" s="86"/>
      <c r="M85" s="86"/>
      <c r="N85" s="86"/>
      <c r="O85" s="86"/>
      <c r="P85" s="86"/>
      <c r="Q85" s="111"/>
      <c r="R85" s="551"/>
      <c r="S85" s="200"/>
      <c r="T85" s="125"/>
      <c r="U85" s="125"/>
      <c r="V85" s="201"/>
      <c r="W85" s="200"/>
      <c r="X85" s="200"/>
      <c r="Y85" s="200"/>
      <c r="Z85" s="201"/>
      <c r="AA85" s="201"/>
      <c r="AB85" s="200"/>
      <c r="AC85" s="200"/>
      <c r="AD85" s="200"/>
      <c r="AE85" s="201"/>
      <c r="AF85" s="201"/>
      <c r="AG85" s="54"/>
      <c r="AH85" s="54"/>
      <c r="AI85" s="54"/>
    </row>
    <row r="86" spans="1:35" ht="14.45" customHeight="1" x14ac:dyDescent="0.2">
      <c r="A86" s="527"/>
      <c r="B86" s="117"/>
      <c r="C86" s="117"/>
      <c r="D86" s="117"/>
      <c r="E86" s="528" t="s">
        <v>765</v>
      </c>
      <c r="F86" s="645" t="s">
        <v>794</v>
      </c>
      <c r="G86" s="646"/>
      <c r="H86" s="132"/>
      <c r="I86" s="86"/>
      <c r="J86" s="86"/>
      <c r="K86" s="86"/>
      <c r="L86" s="86"/>
      <c r="M86" s="86"/>
      <c r="N86" s="86"/>
      <c r="O86" s="86"/>
      <c r="P86" s="86"/>
      <c r="Q86" s="111"/>
      <c r="R86" s="551"/>
      <c r="S86" s="200"/>
      <c r="T86" s="125"/>
      <c r="U86" s="125"/>
      <c r="V86" s="201"/>
      <c r="W86" s="200"/>
      <c r="X86" s="200"/>
      <c r="Y86" s="200"/>
      <c r="Z86" s="201"/>
      <c r="AA86" s="201"/>
      <c r="AB86" s="200"/>
      <c r="AC86" s="200"/>
      <c r="AD86" s="200"/>
      <c r="AE86" s="201"/>
      <c r="AF86" s="201"/>
      <c r="AG86" s="54"/>
      <c r="AH86" s="54"/>
      <c r="AI86" s="54"/>
    </row>
    <row r="87" spans="1:35" ht="14.45" customHeight="1" x14ac:dyDescent="0.25">
      <c r="A87" s="131"/>
      <c r="B87" s="132"/>
      <c r="C87" s="140"/>
      <c r="D87" s="128" t="s">
        <v>351</v>
      </c>
      <c r="E87" s="267">
        <v>1.9</v>
      </c>
      <c r="F87" s="267">
        <v>1.9</v>
      </c>
      <c r="G87" s="170" t="s">
        <v>53</v>
      </c>
      <c r="H87" s="132"/>
      <c r="I87" s="86"/>
      <c r="J87" s="86"/>
      <c r="K87" s="86"/>
      <c r="L87" s="86"/>
      <c r="M87" s="86"/>
      <c r="N87" s="86"/>
      <c r="O87" s="86"/>
      <c r="P87" s="86"/>
      <c r="Q87" s="111"/>
      <c r="R87" s="551"/>
      <c r="S87" s="200"/>
      <c r="T87" s="125"/>
      <c r="U87" s="125"/>
      <c r="V87" s="201"/>
      <c r="W87" s="200"/>
      <c r="X87" s="200"/>
      <c r="Y87" s="200"/>
      <c r="Z87" s="201"/>
      <c r="AA87" s="201"/>
      <c r="AB87" s="200"/>
      <c r="AC87" s="200"/>
      <c r="AD87" s="200"/>
      <c r="AE87" s="201"/>
      <c r="AF87" s="201"/>
      <c r="AG87" s="54"/>
      <c r="AH87" s="54"/>
      <c r="AI87" s="54"/>
    </row>
    <row r="88" spans="1:35" ht="14.45" customHeight="1" x14ac:dyDescent="0.25">
      <c r="A88" s="131"/>
      <c r="B88" s="132"/>
      <c r="C88" s="140"/>
      <c r="D88" s="128" t="s">
        <v>352</v>
      </c>
      <c r="E88" s="133">
        <v>96</v>
      </c>
      <c r="F88" s="133">
        <v>96</v>
      </c>
      <c r="G88" s="170" t="s">
        <v>69</v>
      </c>
      <c r="H88" s="132"/>
      <c r="I88" s="86"/>
      <c r="J88" s="86"/>
      <c r="K88" s="86"/>
      <c r="L88" s="86"/>
      <c r="M88" s="86"/>
      <c r="N88" s="86"/>
      <c r="O88" s="86"/>
      <c r="P88" s="86"/>
      <c r="Q88" s="111"/>
      <c r="R88" s="551"/>
      <c r="S88" s="200"/>
      <c r="T88" s="125"/>
      <c r="U88" s="125"/>
      <c r="V88" s="201"/>
      <c r="W88" s="200"/>
      <c r="X88" s="200"/>
      <c r="Y88" s="200"/>
      <c r="Z88" s="201"/>
      <c r="AA88" s="201"/>
      <c r="AB88" s="200"/>
      <c r="AC88" s="200"/>
      <c r="AD88" s="200"/>
      <c r="AE88" s="201"/>
      <c r="AF88" s="201"/>
      <c r="AG88" s="54"/>
      <c r="AH88" s="54"/>
      <c r="AI88" s="54"/>
    </row>
    <row r="89" spans="1:35" ht="14.45" customHeight="1" x14ac:dyDescent="0.25">
      <c r="A89" s="131"/>
      <c r="B89" s="132"/>
      <c r="C89" s="140"/>
      <c r="D89" s="128" t="s">
        <v>353</v>
      </c>
      <c r="E89" s="133">
        <v>17.2</v>
      </c>
      <c r="F89" s="133">
        <v>17.2</v>
      </c>
      <c r="G89" s="170" t="s">
        <v>69</v>
      </c>
      <c r="H89" s="132"/>
      <c r="I89" s="86"/>
      <c r="J89" s="86"/>
      <c r="K89" s="86"/>
      <c r="L89" s="86"/>
      <c r="M89" s="86"/>
      <c r="N89" s="86"/>
      <c r="O89" s="86"/>
      <c r="P89" s="86"/>
      <c r="Q89" s="111"/>
      <c r="R89" s="551"/>
      <c r="S89" s="200"/>
      <c r="T89" s="125"/>
      <c r="U89" s="125"/>
      <c r="V89" s="201"/>
      <c r="W89" s="200"/>
      <c r="X89" s="200"/>
      <c r="Y89" s="200"/>
      <c r="Z89" s="201"/>
      <c r="AA89" s="201"/>
      <c r="AB89" s="200"/>
      <c r="AC89" s="200"/>
      <c r="AD89" s="200"/>
      <c r="AE89" s="201"/>
      <c r="AF89" s="201"/>
      <c r="AG89" s="54"/>
      <c r="AH89" s="54"/>
      <c r="AI89" s="54"/>
    </row>
    <row r="90" spans="1:35" ht="14.45" customHeight="1" x14ac:dyDescent="0.25">
      <c r="A90" s="131"/>
      <c r="B90" s="132"/>
      <c r="C90" s="140"/>
      <c r="D90" s="128" t="s">
        <v>354</v>
      </c>
      <c r="E90" s="133">
        <v>24</v>
      </c>
      <c r="F90" s="133">
        <v>24</v>
      </c>
      <c r="G90" s="170" t="s">
        <v>69</v>
      </c>
      <c r="H90" s="132"/>
      <c r="I90" s="86"/>
      <c r="J90" s="86"/>
      <c r="K90" s="86"/>
      <c r="L90" s="86"/>
      <c r="M90" s="86"/>
      <c r="N90" s="86"/>
      <c r="O90" s="86"/>
      <c r="P90" s="86"/>
      <c r="Q90" s="111"/>
      <c r="R90" s="551"/>
      <c r="S90" s="200"/>
      <c r="T90" s="125"/>
      <c r="U90" s="125"/>
      <c r="V90" s="201"/>
      <c r="W90" s="200"/>
      <c r="X90" s="200"/>
      <c r="Y90" s="200"/>
      <c r="Z90" s="201"/>
      <c r="AA90" s="201"/>
      <c r="AB90" s="200"/>
      <c r="AC90" s="200"/>
      <c r="AD90" s="200"/>
      <c r="AE90" s="201"/>
      <c r="AF90" s="201"/>
      <c r="AG90" s="54"/>
      <c r="AH90" s="54"/>
      <c r="AI90" s="54"/>
    </row>
    <row r="91" spans="1:35" ht="14.45" customHeight="1" x14ac:dyDescent="0.25">
      <c r="A91" s="131"/>
      <c r="B91" s="132"/>
      <c r="C91" s="140"/>
      <c r="D91" s="128" t="s">
        <v>355</v>
      </c>
      <c r="E91" s="133">
        <v>0.5</v>
      </c>
      <c r="F91" s="133">
        <v>0.5</v>
      </c>
      <c r="G91" s="170" t="s">
        <v>169</v>
      </c>
      <c r="H91" s="132"/>
      <c r="I91" s="86"/>
      <c r="J91" s="86"/>
      <c r="K91" s="86"/>
      <c r="L91" s="86"/>
      <c r="M91" s="86"/>
      <c r="N91" s="86"/>
      <c r="O91" s="86"/>
      <c r="P91" s="86"/>
      <c r="Q91" s="111"/>
      <c r="R91" s="551"/>
      <c r="S91" s="200"/>
      <c r="T91" s="125"/>
      <c r="U91" s="125"/>
      <c r="V91" s="201"/>
      <c r="W91" s="200"/>
      <c r="X91" s="200"/>
      <c r="Y91" s="200"/>
      <c r="Z91" s="201"/>
      <c r="AA91" s="201"/>
      <c r="AB91" s="200"/>
      <c r="AC91" s="200"/>
      <c r="AD91" s="200"/>
      <c r="AE91" s="201"/>
      <c r="AF91" s="201"/>
      <c r="AG91" s="54"/>
      <c r="AH91" s="54"/>
      <c r="AI91" s="54"/>
    </row>
    <row r="92" spans="1:35" ht="14.45" customHeight="1" x14ac:dyDescent="0.25">
      <c r="A92" s="131"/>
      <c r="B92" s="132"/>
      <c r="C92" s="140"/>
      <c r="D92" s="128" t="s">
        <v>356</v>
      </c>
      <c r="E92" s="133">
        <v>88</v>
      </c>
      <c r="F92" s="133">
        <v>88</v>
      </c>
      <c r="G92" s="170" t="s">
        <v>70</v>
      </c>
      <c r="H92" s="132"/>
      <c r="I92" s="86"/>
      <c r="J92" s="86"/>
      <c r="K92" s="86"/>
      <c r="L92" s="86"/>
      <c r="M92" s="86"/>
      <c r="N92" s="86"/>
      <c r="O92" s="86"/>
      <c r="P92" s="86"/>
      <c r="Q92" s="111"/>
      <c r="R92" s="551"/>
      <c r="S92" s="200"/>
      <c r="T92" s="125"/>
      <c r="U92" s="125"/>
      <c r="V92" s="201"/>
      <c r="W92" s="200"/>
      <c r="X92" s="200"/>
      <c r="Y92" s="200"/>
      <c r="Z92" s="201"/>
      <c r="AA92" s="201"/>
      <c r="AB92" s="200"/>
      <c r="AC92" s="200"/>
      <c r="AD92" s="200"/>
      <c r="AE92" s="201"/>
      <c r="AF92" s="201"/>
      <c r="AG92" s="54"/>
      <c r="AH92" s="54"/>
      <c r="AI92" s="54"/>
    </row>
    <row r="93" spans="1:35" ht="14.45" customHeight="1" x14ac:dyDescent="0.25">
      <c r="A93" s="131"/>
      <c r="B93" s="132"/>
      <c r="C93" s="140"/>
      <c r="D93" s="128" t="s">
        <v>788</v>
      </c>
      <c r="E93" s="133">
        <v>2.7</v>
      </c>
      <c r="F93" s="133">
        <v>2.7</v>
      </c>
      <c r="G93" s="170" t="s">
        <v>0</v>
      </c>
      <c r="H93" s="132"/>
      <c r="I93" s="86"/>
      <c r="J93" s="86"/>
      <c r="K93" s="86"/>
      <c r="L93" s="86"/>
      <c r="M93" s="86"/>
      <c r="N93" s="86"/>
      <c r="O93" s="86"/>
      <c r="P93" s="86"/>
      <c r="Q93" s="111"/>
      <c r="R93" s="551"/>
      <c r="S93" s="200"/>
      <c r="T93" s="125"/>
      <c r="U93" s="125"/>
      <c r="V93" s="201"/>
      <c r="W93" s="200"/>
      <c r="X93" s="200"/>
      <c r="Y93" s="200"/>
      <c r="Z93" s="201"/>
      <c r="AA93" s="201"/>
      <c r="AB93" s="200"/>
      <c r="AC93" s="200"/>
      <c r="AD93" s="200"/>
      <c r="AE93" s="201"/>
      <c r="AF93" s="201"/>
      <c r="AG93" s="54"/>
      <c r="AH93" s="54"/>
      <c r="AI93" s="54"/>
    </row>
    <row r="94" spans="1:35" ht="14.45" customHeight="1" x14ac:dyDescent="0.25">
      <c r="A94" s="131"/>
      <c r="B94" s="132"/>
      <c r="C94" s="140"/>
      <c r="D94" s="128" t="s">
        <v>785</v>
      </c>
      <c r="E94" s="133">
        <v>0.8</v>
      </c>
      <c r="F94" s="133">
        <v>0.8</v>
      </c>
      <c r="G94" s="170" t="s">
        <v>0</v>
      </c>
      <c r="H94" s="132"/>
      <c r="I94" s="86"/>
      <c r="J94" s="86"/>
      <c r="K94" s="86"/>
      <c r="L94" s="86"/>
      <c r="M94" s="86"/>
      <c r="N94" s="86"/>
      <c r="O94" s="86"/>
      <c r="P94" s="86"/>
      <c r="Q94" s="111"/>
      <c r="R94" s="551"/>
      <c r="S94" s="200"/>
      <c r="T94" s="125"/>
      <c r="U94" s="125"/>
      <c r="V94" s="201"/>
      <c r="W94" s="200"/>
      <c r="X94" s="200"/>
      <c r="Y94" s="200"/>
      <c r="Z94" s="201"/>
      <c r="AA94" s="201"/>
      <c r="AB94" s="200"/>
      <c r="AC94" s="200"/>
      <c r="AD94" s="200"/>
      <c r="AE94" s="201"/>
      <c r="AF94" s="201"/>
      <c r="AG94" s="54"/>
      <c r="AH94" s="54"/>
      <c r="AI94" s="54"/>
    </row>
    <row r="95" spans="1:35" ht="14.45" customHeight="1" x14ac:dyDescent="0.25">
      <c r="A95" s="131"/>
      <c r="B95" s="132"/>
      <c r="C95" s="132"/>
      <c r="D95" s="128" t="s">
        <v>787</v>
      </c>
      <c r="E95" s="2"/>
      <c r="F95" s="133">
        <v>275</v>
      </c>
      <c r="G95" s="170" t="s">
        <v>69</v>
      </c>
      <c r="H95" s="132"/>
      <c r="I95" s="86"/>
      <c r="J95" s="86"/>
      <c r="K95" s="86"/>
      <c r="L95" s="86"/>
      <c r="M95" s="86"/>
      <c r="N95" s="86"/>
      <c r="O95" s="86"/>
      <c r="P95" s="86"/>
      <c r="Q95" s="111"/>
      <c r="R95" s="551"/>
      <c r="S95" s="200"/>
      <c r="T95" s="125"/>
      <c r="U95" s="125"/>
      <c r="V95" s="201"/>
      <c r="W95" s="200"/>
      <c r="X95" s="200"/>
      <c r="Y95" s="200"/>
      <c r="Z95" s="201"/>
      <c r="AA95" s="201"/>
      <c r="AB95" s="200"/>
      <c r="AC95" s="200"/>
      <c r="AD95" s="200"/>
      <c r="AE95" s="201"/>
      <c r="AF95" s="201"/>
      <c r="AG95" s="54"/>
      <c r="AH95" s="54"/>
      <c r="AI95" s="54"/>
    </row>
    <row r="96" spans="1:35" ht="14.45" customHeight="1" thickBot="1" x14ac:dyDescent="0.3">
      <c r="A96" s="205"/>
      <c r="B96" s="186"/>
      <c r="C96" s="206"/>
      <c r="D96" s="187" t="s">
        <v>357</v>
      </c>
      <c r="E96" s="263">
        <v>50</v>
      </c>
      <c r="F96" s="263">
        <v>50</v>
      </c>
      <c r="G96" s="188" t="s">
        <v>241</v>
      </c>
      <c r="H96" s="132"/>
      <c r="I96" s="86"/>
      <c r="J96" s="86"/>
      <c r="K96" s="86"/>
      <c r="L96" s="86"/>
      <c r="M96" s="86"/>
      <c r="N96" s="86"/>
      <c r="O96" s="86"/>
      <c r="P96" s="86"/>
      <c r="Q96" s="111"/>
      <c r="R96" s="551"/>
      <c r="S96" s="200"/>
      <c r="T96" s="125"/>
      <c r="U96" s="125"/>
      <c r="V96" s="201"/>
      <c r="W96" s="200"/>
      <c r="X96" s="200"/>
      <c r="Y96" s="200"/>
      <c r="Z96" s="201"/>
      <c r="AA96" s="201"/>
      <c r="AB96" s="200"/>
      <c r="AC96" s="200"/>
      <c r="AD96" s="200"/>
      <c r="AE96" s="201"/>
      <c r="AF96" s="201"/>
      <c r="AG96" s="54"/>
      <c r="AH96" s="54"/>
      <c r="AI96" s="54"/>
    </row>
    <row r="97" spans="1:35" ht="18" customHeight="1" thickBot="1" x14ac:dyDescent="0.25">
      <c r="A97" s="131"/>
      <c r="B97" s="132"/>
      <c r="C97" s="140"/>
      <c r="D97" s="128"/>
      <c r="E97" s="204"/>
      <c r="F97" s="207"/>
      <c r="G97" s="132"/>
      <c r="H97" s="132"/>
      <c r="I97" s="86"/>
      <c r="J97" s="86"/>
      <c r="K97" s="86"/>
      <c r="L97" s="86"/>
      <c r="M97" s="86"/>
      <c r="N97" s="86"/>
      <c r="O97" s="86"/>
      <c r="P97" s="86"/>
      <c r="Q97" s="111"/>
      <c r="R97" s="551"/>
      <c r="S97" s="200"/>
      <c r="T97" s="125"/>
      <c r="U97" s="125"/>
      <c r="V97" s="201"/>
      <c r="W97" s="200"/>
      <c r="X97" s="200"/>
      <c r="Y97" s="200"/>
      <c r="Z97" s="201"/>
      <c r="AA97" s="201"/>
      <c r="AB97" s="200"/>
      <c r="AC97" s="200"/>
      <c r="AD97" s="200"/>
      <c r="AE97" s="201"/>
      <c r="AF97" s="201"/>
      <c r="AG97" s="54"/>
      <c r="AH97" s="54"/>
      <c r="AI97" s="54"/>
    </row>
    <row r="98" spans="1:35" ht="14.45" customHeight="1" x14ac:dyDescent="0.25">
      <c r="A98" s="181"/>
      <c r="B98" s="182"/>
      <c r="C98" s="185"/>
      <c r="D98" s="214" t="s">
        <v>792</v>
      </c>
      <c r="E98" s="269" t="s">
        <v>982</v>
      </c>
      <c r="F98" s="183"/>
      <c r="G98" s="184"/>
      <c r="H98" s="132"/>
      <c r="I98" s="86"/>
      <c r="J98" s="86"/>
      <c r="K98" s="86"/>
      <c r="L98" s="86"/>
      <c r="M98" s="86"/>
      <c r="N98" s="86"/>
      <c r="O98" s="86"/>
      <c r="P98" s="86"/>
      <c r="Q98" s="111"/>
      <c r="R98" s="551"/>
      <c r="S98" s="200"/>
      <c r="T98" s="125"/>
      <c r="U98" s="125"/>
      <c r="V98" s="201"/>
      <c r="W98" s="200"/>
      <c r="X98" s="200"/>
      <c r="Y98" s="200"/>
      <c r="Z98" s="201"/>
      <c r="AA98" s="201"/>
      <c r="AB98" s="200"/>
      <c r="AC98" s="200"/>
      <c r="AD98" s="200"/>
      <c r="AE98" s="201"/>
      <c r="AF98" s="201"/>
      <c r="AG98" s="54"/>
      <c r="AH98" s="54"/>
      <c r="AI98" s="54"/>
    </row>
    <row r="99" spans="1:35" ht="14.45" customHeight="1" x14ac:dyDescent="0.2">
      <c r="A99" s="527"/>
      <c r="B99" s="117"/>
      <c r="C99" s="117"/>
      <c r="D99" s="117"/>
      <c r="E99" s="539" t="s">
        <v>765</v>
      </c>
      <c r="F99" s="537" t="s">
        <v>794</v>
      </c>
      <c r="G99" s="275"/>
      <c r="H99" s="132"/>
      <c r="I99" s="86"/>
      <c r="J99" s="86"/>
      <c r="K99" s="86"/>
      <c r="L99" s="86"/>
      <c r="M99" s="86"/>
      <c r="N99" s="86"/>
      <c r="O99" s="86"/>
      <c r="P99" s="86"/>
      <c r="Q99" s="111"/>
      <c r="R99" s="551"/>
      <c r="S99" s="200"/>
      <c r="T99" s="125"/>
      <c r="U99" s="125"/>
      <c r="V99" s="201"/>
      <c r="W99" s="200"/>
      <c r="X99" s="200"/>
      <c r="Y99" s="200"/>
      <c r="Z99" s="201"/>
      <c r="AA99" s="201"/>
      <c r="AB99" s="200"/>
      <c r="AC99" s="200"/>
      <c r="AD99" s="200"/>
      <c r="AE99" s="201"/>
      <c r="AF99" s="201"/>
      <c r="AG99" s="54"/>
      <c r="AH99" s="54"/>
      <c r="AI99" s="54"/>
    </row>
    <row r="100" spans="1:35" ht="14.45" customHeight="1" x14ac:dyDescent="0.25">
      <c r="A100" s="131"/>
      <c r="B100" s="132"/>
      <c r="C100" s="132"/>
      <c r="D100" s="128" t="s">
        <v>351</v>
      </c>
      <c r="E100" s="133">
        <v>0.5</v>
      </c>
      <c r="F100" s="133">
        <v>0.5</v>
      </c>
      <c r="G100" s="170" t="s">
        <v>53</v>
      </c>
      <c r="H100" s="132"/>
      <c r="I100" s="86"/>
      <c r="J100" s="86"/>
      <c r="K100" s="86"/>
      <c r="L100" s="86"/>
      <c r="M100" s="86"/>
      <c r="N100" s="86"/>
      <c r="O100" s="86"/>
      <c r="P100" s="86"/>
      <c r="Q100" s="111"/>
      <c r="R100" s="551"/>
      <c r="S100" s="200"/>
      <c r="T100" s="125"/>
      <c r="U100" s="125"/>
      <c r="V100" s="201"/>
      <c r="W100" s="200"/>
      <c r="X100" s="200"/>
      <c r="Y100" s="200"/>
      <c r="Z100" s="201"/>
      <c r="AA100" s="201"/>
      <c r="AB100" s="200"/>
      <c r="AC100" s="200"/>
      <c r="AD100" s="200"/>
      <c r="AE100" s="201"/>
      <c r="AF100" s="201"/>
      <c r="AG100" s="54"/>
      <c r="AH100" s="54"/>
      <c r="AI100" s="54"/>
    </row>
    <row r="101" spans="1:35" ht="14.45" customHeight="1" x14ac:dyDescent="0.25">
      <c r="A101" s="131"/>
      <c r="B101" s="132"/>
      <c r="C101" s="132"/>
      <c r="D101" s="128" t="s">
        <v>352</v>
      </c>
      <c r="E101" s="133">
        <v>98</v>
      </c>
      <c r="F101" s="133">
        <v>98</v>
      </c>
      <c r="G101" s="170" t="s">
        <v>69</v>
      </c>
      <c r="H101" s="132"/>
      <c r="I101" s="86"/>
      <c r="J101" s="86"/>
      <c r="K101" s="86"/>
      <c r="L101" s="86"/>
      <c r="M101" s="86"/>
      <c r="N101" s="86"/>
      <c r="O101" s="86"/>
      <c r="P101" s="86"/>
      <c r="Q101" s="111"/>
      <c r="R101" s="551"/>
      <c r="S101" s="200"/>
      <c r="T101" s="125"/>
      <c r="U101" s="125"/>
      <c r="V101" s="201"/>
      <c r="W101" s="200"/>
      <c r="X101" s="200"/>
      <c r="Y101" s="200"/>
      <c r="Z101" s="201"/>
      <c r="AA101" s="201"/>
      <c r="AB101" s="200"/>
      <c r="AC101" s="200"/>
      <c r="AD101" s="200"/>
      <c r="AE101" s="201"/>
      <c r="AF101" s="201"/>
      <c r="AG101" s="54"/>
      <c r="AH101" s="54"/>
      <c r="AI101" s="54"/>
    </row>
    <row r="102" spans="1:35" ht="14.45" customHeight="1" x14ac:dyDescent="0.25">
      <c r="A102" s="131"/>
      <c r="B102" s="132"/>
      <c r="C102" s="140"/>
      <c r="D102" s="128" t="s">
        <v>353</v>
      </c>
      <c r="E102" s="133">
        <v>23.8</v>
      </c>
      <c r="F102" s="133">
        <v>23.8</v>
      </c>
      <c r="G102" s="170" t="s">
        <v>69</v>
      </c>
      <c r="H102" s="132"/>
      <c r="I102" s="86"/>
      <c r="J102" s="86"/>
      <c r="K102" s="86"/>
      <c r="L102" s="86"/>
      <c r="M102" s="86"/>
      <c r="N102" s="86"/>
      <c r="O102" s="86"/>
      <c r="P102" s="86"/>
      <c r="Q102" s="111"/>
      <c r="R102" s="551"/>
      <c r="S102" s="200"/>
      <c r="T102" s="125"/>
      <c r="U102" s="125"/>
      <c r="V102" s="201"/>
      <c r="W102" s="200"/>
      <c r="X102" s="200"/>
      <c r="Y102" s="200"/>
      <c r="Z102" s="201"/>
      <c r="AA102" s="201"/>
      <c r="AB102" s="200"/>
      <c r="AC102" s="200"/>
      <c r="AD102" s="200"/>
      <c r="AE102" s="201"/>
      <c r="AF102" s="201"/>
      <c r="AG102" s="54"/>
      <c r="AH102" s="54"/>
      <c r="AI102" s="54"/>
    </row>
    <row r="103" spans="1:35" ht="14.45" customHeight="1" x14ac:dyDescent="0.25">
      <c r="A103" s="131"/>
      <c r="B103" s="132"/>
      <c r="C103" s="140"/>
      <c r="D103" s="128" t="s">
        <v>354</v>
      </c>
      <c r="E103" s="133">
        <v>34</v>
      </c>
      <c r="F103" s="133">
        <v>34</v>
      </c>
      <c r="G103" s="170" t="s">
        <v>69</v>
      </c>
      <c r="H103" s="132"/>
      <c r="I103" s="86"/>
      <c r="J103" s="86"/>
      <c r="K103" s="86"/>
      <c r="L103" s="86"/>
      <c r="M103" s="86"/>
      <c r="N103" s="86"/>
      <c r="O103" s="86"/>
      <c r="P103" s="86"/>
      <c r="Q103" s="111"/>
      <c r="R103" s="551"/>
      <c r="S103" s="200"/>
      <c r="T103" s="125"/>
      <c r="U103" s="125"/>
      <c r="V103" s="201"/>
      <c r="W103" s="200"/>
      <c r="X103" s="200"/>
      <c r="Y103" s="200"/>
      <c r="Z103" s="201"/>
      <c r="AA103" s="201"/>
      <c r="AB103" s="200"/>
      <c r="AC103" s="200"/>
      <c r="AD103" s="200"/>
      <c r="AE103" s="201"/>
      <c r="AF103" s="201"/>
      <c r="AG103" s="54"/>
      <c r="AH103" s="54"/>
      <c r="AI103" s="54"/>
    </row>
    <row r="104" spans="1:35" ht="14.45" customHeight="1" x14ac:dyDescent="0.25">
      <c r="A104" s="131"/>
      <c r="B104" s="132"/>
      <c r="C104" s="140"/>
      <c r="D104" s="128" t="s">
        <v>355</v>
      </c>
      <c r="E104" s="133">
        <v>0.45</v>
      </c>
      <c r="F104" s="133">
        <v>0.45</v>
      </c>
      <c r="G104" s="170" t="s">
        <v>169</v>
      </c>
      <c r="H104" s="132"/>
      <c r="I104" s="86"/>
      <c r="J104" s="86"/>
      <c r="K104" s="86"/>
      <c r="L104" s="86"/>
      <c r="M104" s="86"/>
      <c r="N104" s="86"/>
      <c r="O104" s="86"/>
      <c r="P104" s="86"/>
      <c r="Q104" s="111"/>
      <c r="R104" s="551"/>
      <c r="S104" s="200"/>
      <c r="T104" s="125"/>
      <c r="U104" s="125"/>
      <c r="V104" s="201"/>
      <c r="W104" s="200"/>
      <c r="X104" s="200"/>
      <c r="Y104" s="200"/>
      <c r="Z104" s="201"/>
      <c r="AA104" s="201"/>
      <c r="AB104" s="200"/>
      <c r="AC104" s="200"/>
      <c r="AD104" s="200"/>
      <c r="AE104" s="201"/>
      <c r="AF104" s="201"/>
      <c r="AG104" s="54"/>
      <c r="AH104" s="54"/>
      <c r="AI104" s="54"/>
    </row>
    <row r="105" spans="1:35" ht="14.45" customHeight="1" x14ac:dyDescent="0.25">
      <c r="A105" s="131"/>
      <c r="B105" s="132"/>
      <c r="C105" s="140"/>
      <c r="D105" s="128" t="s">
        <v>356</v>
      </c>
      <c r="E105" s="133">
        <v>181</v>
      </c>
      <c r="F105" s="133">
        <v>181</v>
      </c>
      <c r="G105" s="170" t="s">
        <v>70</v>
      </c>
      <c r="H105" s="132"/>
      <c r="I105" s="86"/>
      <c r="J105" s="86"/>
      <c r="K105" s="86"/>
      <c r="L105" s="86"/>
      <c r="M105" s="86"/>
      <c r="N105" s="86"/>
      <c r="O105" s="86"/>
      <c r="P105" s="86"/>
      <c r="Q105" s="111"/>
      <c r="R105" s="551"/>
      <c r="S105" s="54"/>
      <c r="T105" s="6"/>
      <c r="U105" s="6"/>
      <c r="W105" s="54"/>
      <c r="X105" s="54"/>
      <c r="Y105" s="54"/>
      <c r="AB105" s="54"/>
      <c r="AC105" s="54"/>
      <c r="AD105" s="54"/>
      <c r="AG105" s="54"/>
      <c r="AH105" s="54"/>
      <c r="AI105" s="54"/>
    </row>
    <row r="106" spans="1:35" ht="14.45" customHeight="1" x14ac:dyDescent="0.25">
      <c r="A106" s="131"/>
      <c r="B106" s="132"/>
      <c r="C106" s="140"/>
      <c r="D106" s="128" t="s">
        <v>788</v>
      </c>
      <c r="E106" s="133">
        <v>1.4</v>
      </c>
      <c r="F106" s="133">
        <v>1.4</v>
      </c>
      <c r="G106" s="170" t="s">
        <v>0</v>
      </c>
      <c r="H106" s="132"/>
      <c r="I106" s="86"/>
      <c r="J106" s="86"/>
      <c r="K106" s="86"/>
      <c r="L106" s="86"/>
      <c r="M106" s="86"/>
      <c r="N106" s="86"/>
      <c r="O106" s="86"/>
      <c r="P106" s="86"/>
      <c r="Q106" s="111"/>
      <c r="R106" s="551"/>
      <c r="S106" s="54"/>
      <c r="T106" s="54"/>
      <c r="W106" s="54"/>
      <c r="X106" s="54"/>
      <c r="Y106" s="54"/>
      <c r="AB106" s="54"/>
      <c r="AC106" s="54"/>
      <c r="AD106" s="54"/>
      <c r="AG106" s="54"/>
      <c r="AH106" s="54"/>
      <c r="AI106" s="54"/>
    </row>
    <row r="107" spans="1:35" ht="14.45" customHeight="1" x14ac:dyDescent="0.25">
      <c r="A107" s="131"/>
      <c r="B107" s="132"/>
      <c r="C107" s="132"/>
      <c r="D107" s="128" t="s">
        <v>785</v>
      </c>
      <c r="E107" s="133">
        <v>0.8</v>
      </c>
      <c r="F107" s="133">
        <v>0.8</v>
      </c>
      <c r="G107" s="170" t="s">
        <v>0</v>
      </c>
      <c r="H107" s="132"/>
      <c r="I107" s="86"/>
      <c r="J107" s="86"/>
      <c r="K107" s="86"/>
      <c r="L107" s="86"/>
      <c r="M107" s="86"/>
      <c r="N107" s="86"/>
      <c r="O107" s="86"/>
      <c r="P107" s="86"/>
      <c r="Q107" s="111"/>
      <c r="R107" s="551"/>
      <c r="S107" s="54"/>
      <c r="T107" s="54"/>
      <c r="W107" s="54"/>
      <c r="X107" s="54"/>
      <c r="Y107" s="54"/>
      <c r="AB107" s="54"/>
      <c r="AC107" s="54"/>
      <c r="AD107" s="54"/>
      <c r="AG107" s="54"/>
      <c r="AH107" s="54"/>
      <c r="AI107" s="54"/>
    </row>
    <row r="108" spans="1:35" ht="14.45" customHeight="1" x14ac:dyDescent="0.25">
      <c r="A108" s="131"/>
      <c r="B108" s="132"/>
      <c r="C108" s="132"/>
      <c r="D108" s="128" t="s">
        <v>787</v>
      </c>
      <c r="E108" s="133">
        <v>58</v>
      </c>
      <c r="F108" s="2"/>
      <c r="G108" s="170" t="s">
        <v>69</v>
      </c>
      <c r="H108" s="132"/>
      <c r="I108" s="86"/>
      <c r="J108" s="86"/>
      <c r="K108" s="86"/>
      <c r="L108" s="86"/>
      <c r="M108" s="86"/>
      <c r="N108" s="86"/>
      <c r="O108" s="86"/>
      <c r="P108" s="86"/>
      <c r="Q108" s="111"/>
      <c r="R108" s="551"/>
      <c r="S108" s="54"/>
      <c r="T108" s="54"/>
      <c r="W108" s="54"/>
      <c r="X108" s="54"/>
      <c r="Y108" s="54"/>
      <c r="AB108" s="54"/>
      <c r="AC108" s="54"/>
      <c r="AD108" s="54"/>
      <c r="AG108" s="54"/>
      <c r="AH108" s="54"/>
      <c r="AI108" s="54"/>
    </row>
    <row r="109" spans="1:35" ht="14.25" customHeight="1" thickBot="1" x14ac:dyDescent="0.3">
      <c r="A109" s="205"/>
      <c r="B109" s="186"/>
      <c r="C109" s="186"/>
      <c r="D109" s="187" t="s">
        <v>357</v>
      </c>
      <c r="E109" s="263">
        <v>50</v>
      </c>
      <c r="F109" s="263">
        <v>50</v>
      </c>
      <c r="G109" s="188" t="s">
        <v>241</v>
      </c>
      <c r="H109" s="132"/>
      <c r="I109" s="86"/>
      <c r="J109" s="86"/>
      <c r="K109" s="86"/>
      <c r="L109" s="86"/>
      <c r="M109" s="86"/>
      <c r="N109" s="86"/>
      <c r="O109" s="86"/>
      <c r="P109" s="86"/>
      <c r="Q109" s="111"/>
      <c r="R109" s="551"/>
      <c r="S109" s="54"/>
      <c r="T109" s="54"/>
      <c r="W109" s="54"/>
      <c r="X109" s="54"/>
      <c r="Y109" s="54"/>
      <c r="AB109" s="54"/>
      <c r="AC109" s="54"/>
      <c r="AD109" s="54"/>
      <c r="AG109" s="54"/>
      <c r="AH109" s="54"/>
      <c r="AI109" s="54"/>
    </row>
    <row r="110" spans="1:35" ht="14.45" customHeight="1" thickBot="1" x14ac:dyDescent="0.25">
      <c r="A110" s="131"/>
      <c r="B110" s="132"/>
      <c r="C110" s="132"/>
      <c r="D110" s="128"/>
      <c r="E110" s="514"/>
      <c r="F110" s="207"/>
      <c r="G110" s="132"/>
      <c r="H110" s="132"/>
      <c r="I110" s="90"/>
      <c r="J110" s="91"/>
      <c r="K110" s="86"/>
      <c r="L110" s="86"/>
      <c r="M110" s="86"/>
      <c r="N110" s="86"/>
      <c r="O110" s="86"/>
      <c r="P110" s="86"/>
      <c r="Q110" s="111"/>
      <c r="R110" s="551"/>
      <c r="S110" s="54"/>
      <c r="T110" s="54"/>
      <c r="W110" s="54"/>
      <c r="X110" s="54"/>
      <c r="Y110" s="54"/>
      <c r="AB110" s="54"/>
      <c r="AC110" s="54"/>
      <c r="AD110" s="54"/>
      <c r="AG110" s="54"/>
      <c r="AH110" s="54"/>
      <c r="AI110" s="54"/>
    </row>
    <row r="111" spans="1:35" ht="14.45" customHeight="1" x14ac:dyDescent="0.2">
      <c r="A111" s="530" t="s">
        <v>721</v>
      </c>
      <c r="B111" s="515"/>
      <c r="C111" s="516"/>
      <c r="D111" s="530"/>
      <c r="E111" s="535" t="s">
        <v>784</v>
      </c>
      <c r="F111" s="536" t="s">
        <v>795</v>
      </c>
      <c r="G111" s="517"/>
      <c r="H111" s="132"/>
      <c r="I111" s="86"/>
      <c r="J111" s="86"/>
      <c r="K111" s="86"/>
      <c r="L111" s="86"/>
      <c r="M111" s="86"/>
      <c r="N111" s="86"/>
      <c r="O111" s="86"/>
      <c r="P111" s="86"/>
      <c r="Q111" s="111"/>
      <c r="R111" s="551"/>
      <c r="S111" s="54"/>
      <c r="T111" s="54"/>
      <c r="W111" s="54"/>
      <c r="X111" s="54"/>
      <c r="Y111" s="54"/>
      <c r="AB111" s="54"/>
      <c r="AC111" s="54"/>
      <c r="AD111" s="54"/>
      <c r="AG111" s="54"/>
      <c r="AH111" s="54"/>
      <c r="AI111" s="54"/>
    </row>
    <row r="112" spans="1:35" ht="14.45" customHeight="1" x14ac:dyDescent="0.25">
      <c r="A112" s="131"/>
      <c r="B112" s="132"/>
      <c r="C112" s="132"/>
      <c r="D112" s="128" t="s">
        <v>789</v>
      </c>
      <c r="E112" s="264">
        <v>0.55000000000000004</v>
      </c>
      <c r="F112" s="264">
        <v>0.39</v>
      </c>
      <c r="G112" s="170" t="s">
        <v>0</v>
      </c>
      <c r="H112" s="132"/>
      <c r="I112" s="86"/>
      <c r="J112" s="86"/>
      <c r="K112" s="86"/>
      <c r="L112" s="86"/>
      <c r="M112" s="86"/>
      <c r="N112" s="86"/>
      <c r="O112" s="86"/>
      <c r="P112" s="86"/>
      <c r="Q112" s="111"/>
      <c r="R112" s="551"/>
      <c r="S112" s="54"/>
      <c r="T112" s="54"/>
      <c r="W112" s="54"/>
      <c r="X112" s="54"/>
      <c r="Y112" s="54"/>
      <c r="AB112" s="54"/>
      <c r="AC112" s="54"/>
      <c r="AD112" s="54"/>
      <c r="AG112" s="54"/>
      <c r="AH112" s="54"/>
      <c r="AI112" s="54"/>
    </row>
    <row r="113" spans="1:35" ht="14.45" customHeight="1" thickBot="1" x14ac:dyDescent="0.3">
      <c r="A113" s="205"/>
      <c r="B113" s="186"/>
      <c r="C113" s="186"/>
      <c r="D113" s="187" t="s">
        <v>786</v>
      </c>
      <c r="E113" s="265">
        <v>0</v>
      </c>
      <c r="F113" s="265">
        <v>0</v>
      </c>
      <c r="G113" s="188" t="s">
        <v>69</v>
      </c>
      <c r="H113" s="132"/>
      <c r="I113" s="86"/>
      <c r="J113" s="86"/>
      <c r="K113" s="86"/>
      <c r="L113" s="86"/>
      <c r="M113" s="86"/>
      <c r="N113" s="86"/>
      <c r="O113" s="86"/>
      <c r="P113" s="86"/>
      <c r="Q113" s="111"/>
      <c r="R113" s="551"/>
      <c r="S113" s="54"/>
      <c r="T113" s="54"/>
      <c r="W113" s="54"/>
      <c r="X113" s="54"/>
      <c r="Y113" s="54"/>
      <c r="AB113" s="54"/>
      <c r="AC113" s="54"/>
      <c r="AD113" s="54"/>
      <c r="AG113" s="54"/>
      <c r="AH113" s="54"/>
      <c r="AI113" s="54"/>
    </row>
    <row r="114" spans="1:35" ht="13.5" thickBot="1" x14ac:dyDescent="0.25">
      <c r="A114" s="166"/>
      <c r="B114" s="167"/>
      <c r="C114" s="167"/>
      <c r="D114" s="167"/>
      <c r="E114" s="215"/>
      <c r="F114" s="167"/>
      <c r="G114" s="167"/>
      <c r="H114" s="167"/>
      <c r="I114" s="216"/>
      <c r="J114" s="216"/>
      <c r="K114" s="216"/>
      <c r="L114" s="216"/>
      <c r="M114" s="216"/>
      <c r="N114" s="216"/>
      <c r="O114" s="216"/>
      <c r="P114" s="216"/>
      <c r="Q114" s="217"/>
      <c r="R114" s="551"/>
      <c r="S114" s="54"/>
      <c r="T114" s="54"/>
      <c r="W114" s="54"/>
      <c r="X114" s="54"/>
      <c r="Y114" s="54"/>
      <c r="AB114" s="54"/>
      <c r="AC114" s="54"/>
      <c r="AD114" s="54"/>
      <c r="AG114" s="54"/>
      <c r="AH114" s="54"/>
      <c r="AI114" s="54"/>
    </row>
    <row r="115" spans="1:35" x14ac:dyDescent="0.2">
      <c r="A115" s="548"/>
      <c r="B115" s="549"/>
      <c r="C115" s="550"/>
      <c r="D115" s="550"/>
      <c r="E115" s="550"/>
      <c r="F115" s="550"/>
      <c r="G115" s="550"/>
      <c r="H115" s="550"/>
      <c r="I115" s="550"/>
      <c r="J115" s="550"/>
      <c r="K115" s="550"/>
      <c r="L115" s="550"/>
      <c r="M115" s="550"/>
      <c r="N115" s="550"/>
      <c r="O115" s="550"/>
      <c r="P115" s="550"/>
      <c r="Q115" s="550"/>
      <c r="R115" s="551"/>
      <c r="S115" s="54"/>
      <c r="T115" s="54"/>
      <c r="W115" s="54"/>
      <c r="X115" s="54"/>
      <c r="Y115" s="54"/>
      <c r="AB115" s="54"/>
      <c r="AC115" s="54"/>
      <c r="AD115" s="54"/>
      <c r="AG115" s="54"/>
      <c r="AH115" s="54"/>
      <c r="AI115" s="54"/>
    </row>
    <row r="116" spans="1:35" x14ac:dyDescent="0.2">
      <c r="A116" s="82"/>
      <c r="R116" s="54"/>
      <c r="S116" s="54"/>
      <c r="T116" s="54"/>
      <c r="W116" s="54"/>
      <c r="X116" s="54"/>
      <c r="Y116" s="54"/>
      <c r="AB116" s="54"/>
      <c r="AC116" s="54"/>
      <c r="AD116" s="54"/>
      <c r="AG116" s="54"/>
      <c r="AH116" s="54"/>
      <c r="AI116" s="54"/>
    </row>
    <row r="117" spans="1:35" x14ac:dyDescent="0.2">
      <c r="R117" s="54"/>
      <c r="S117" s="54"/>
      <c r="T117" s="54"/>
      <c r="W117" s="54"/>
      <c r="X117" s="54"/>
      <c r="Y117" s="54"/>
      <c r="AB117" s="54"/>
      <c r="AC117" s="54"/>
      <c r="AD117" s="54"/>
      <c r="AG117" s="54"/>
      <c r="AH117" s="54"/>
      <c r="AI117" s="54"/>
    </row>
    <row r="118" spans="1:35" x14ac:dyDescent="0.2">
      <c r="R118" s="54"/>
      <c r="S118" s="54"/>
      <c r="T118" s="54"/>
      <c r="W118" s="54"/>
      <c r="X118" s="54"/>
      <c r="Y118" s="54"/>
      <c r="AB118" s="54"/>
      <c r="AC118" s="54"/>
      <c r="AD118" s="54"/>
      <c r="AG118" s="54"/>
      <c r="AH118" s="54"/>
      <c r="AI118" s="54"/>
    </row>
    <row r="119" spans="1:35" x14ac:dyDescent="0.2">
      <c r="R119" s="54"/>
      <c r="S119" s="54"/>
      <c r="T119" s="54"/>
      <c r="W119" s="54"/>
      <c r="X119" s="54"/>
      <c r="Y119" s="54"/>
      <c r="AB119" s="54"/>
      <c r="AC119" s="54"/>
      <c r="AD119" s="54"/>
      <c r="AG119" s="54"/>
      <c r="AH119" s="54"/>
      <c r="AI119" s="54"/>
    </row>
    <row r="120" spans="1:35" x14ac:dyDescent="0.2">
      <c r="R120" s="54"/>
      <c r="S120" s="54"/>
      <c r="T120" s="54"/>
      <c r="W120" s="54"/>
      <c r="X120" s="54"/>
      <c r="Y120" s="54"/>
      <c r="AB120" s="54"/>
      <c r="AC120" s="54"/>
      <c r="AD120" s="54"/>
      <c r="AG120" s="54"/>
      <c r="AH120" s="54"/>
      <c r="AI120" s="54"/>
    </row>
    <row r="121" spans="1:35" x14ac:dyDescent="0.2">
      <c r="R121" s="54"/>
      <c r="S121" s="54"/>
      <c r="T121" s="54"/>
      <c r="W121" s="54"/>
      <c r="X121" s="54"/>
      <c r="Y121" s="54"/>
      <c r="AB121" s="54"/>
      <c r="AC121" s="54"/>
      <c r="AD121" s="54"/>
      <c r="AG121" s="54"/>
      <c r="AH121" s="54"/>
      <c r="AI121" s="54"/>
    </row>
    <row r="122" spans="1:35" x14ac:dyDescent="0.2">
      <c r="R122" s="54"/>
      <c r="S122" s="54"/>
      <c r="T122" s="54"/>
      <c r="W122" s="54"/>
      <c r="X122" s="54"/>
      <c r="Y122" s="54"/>
      <c r="AB122" s="54"/>
      <c r="AC122" s="54"/>
      <c r="AD122" s="54"/>
      <c r="AG122" s="54"/>
      <c r="AH122" s="54"/>
      <c r="AI122" s="54"/>
    </row>
    <row r="123" spans="1:35" x14ac:dyDescent="0.2">
      <c r="R123" s="54"/>
      <c r="S123" s="54"/>
      <c r="T123" s="54"/>
      <c r="W123" s="54"/>
      <c r="X123" s="54"/>
      <c r="Y123" s="54"/>
      <c r="AB123" s="54"/>
      <c r="AC123" s="54"/>
      <c r="AD123" s="54"/>
      <c r="AG123" s="54"/>
      <c r="AH123" s="54"/>
      <c r="AI123" s="54"/>
    </row>
    <row r="124" spans="1:35" x14ac:dyDescent="0.2">
      <c r="R124" s="54"/>
      <c r="S124" s="54"/>
      <c r="T124" s="54"/>
      <c r="W124" s="54"/>
      <c r="X124" s="54"/>
      <c r="Y124" s="54"/>
      <c r="AB124" s="54"/>
      <c r="AC124" s="54"/>
      <c r="AD124" s="54"/>
      <c r="AG124" s="54"/>
      <c r="AH124" s="54"/>
      <c r="AI124" s="54"/>
    </row>
    <row r="125" spans="1:35" x14ac:dyDescent="0.2">
      <c r="R125" s="54"/>
      <c r="S125" s="54"/>
      <c r="T125" s="54"/>
      <c r="W125" s="54"/>
      <c r="X125" s="54"/>
      <c r="Y125" s="54"/>
      <c r="AB125" s="54"/>
      <c r="AC125" s="54"/>
      <c r="AD125" s="54"/>
      <c r="AG125" s="54"/>
      <c r="AH125" s="54"/>
      <c r="AI125" s="54"/>
    </row>
    <row r="126" spans="1:35" x14ac:dyDescent="0.2">
      <c r="R126" s="54"/>
      <c r="S126" s="54"/>
      <c r="T126" s="54"/>
      <c r="W126" s="54"/>
      <c r="X126" s="54"/>
      <c r="Y126" s="54"/>
      <c r="AB126" s="54"/>
      <c r="AC126" s="54"/>
      <c r="AD126" s="54"/>
      <c r="AG126" s="54"/>
      <c r="AH126" s="54"/>
      <c r="AI126" s="54"/>
    </row>
    <row r="127" spans="1:35" x14ac:dyDescent="0.2">
      <c r="R127" s="54"/>
      <c r="S127" s="54"/>
      <c r="T127" s="54"/>
      <c r="W127" s="54"/>
      <c r="X127" s="54"/>
      <c r="Y127" s="54"/>
      <c r="AB127" s="54"/>
      <c r="AC127" s="54"/>
      <c r="AD127" s="54"/>
      <c r="AG127" s="54"/>
      <c r="AH127" s="54"/>
      <c r="AI127" s="54"/>
    </row>
    <row r="128" spans="1:35" x14ac:dyDescent="0.2">
      <c r="R128" s="54"/>
      <c r="S128" s="54"/>
      <c r="T128" s="54"/>
      <c r="W128" s="54"/>
      <c r="X128" s="54"/>
      <c r="Y128" s="54"/>
      <c r="AB128" s="54"/>
      <c r="AC128" s="54"/>
      <c r="AD128" s="54"/>
      <c r="AG128" s="54"/>
      <c r="AH128" s="54"/>
      <c r="AI128" s="54"/>
    </row>
    <row r="129" spans="18:35" x14ac:dyDescent="0.2">
      <c r="R129" s="54"/>
      <c r="S129" s="54"/>
      <c r="T129" s="54"/>
      <c r="W129" s="54"/>
      <c r="X129" s="54"/>
      <c r="Y129" s="54"/>
      <c r="AB129" s="54"/>
      <c r="AC129" s="54"/>
      <c r="AD129" s="54"/>
      <c r="AG129" s="54"/>
      <c r="AH129" s="54"/>
      <c r="AI129" s="54"/>
    </row>
    <row r="130" spans="18:35" x14ac:dyDescent="0.2">
      <c r="R130" s="54"/>
      <c r="S130" s="54"/>
      <c r="T130" s="54"/>
      <c r="W130" s="54"/>
      <c r="X130" s="54"/>
      <c r="Y130" s="54"/>
      <c r="AB130" s="54"/>
      <c r="AC130" s="54"/>
      <c r="AD130" s="54"/>
      <c r="AG130" s="54"/>
      <c r="AH130" s="54"/>
      <c r="AI130" s="54"/>
    </row>
    <row r="131" spans="18:35" x14ac:dyDescent="0.2">
      <c r="R131" s="54"/>
      <c r="S131" s="54"/>
      <c r="T131" s="54"/>
      <c r="W131" s="54"/>
      <c r="X131" s="54"/>
      <c r="Y131" s="54"/>
      <c r="AB131" s="54"/>
      <c r="AC131" s="54"/>
      <c r="AD131" s="54"/>
      <c r="AG131" s="54"/>
      <c r="AH131" s="54"/>
      <c r="AI131" s="54"/>
    </row>
    <row r="132" spans="18:35" x14ac:dyDescent="0.2">
      <c r="R132" s="54"/>
      <c r="S132" s="54"/>
      <c r="T132" s="54"/>
      <c r="W132" s="54"/>
      <c r="X132" s="54"/>
      <c r="Y132" s="54"/>
      <c r="AB132" s="54"/>
      <c r="AC132" s="54"/>
      <c r="AD132" s="54"/>
      <c r="AG132" s="54"/>
      <c r="AH132" s="54"/>
      <c r="AI132" s="54"/>
    </row>
    <row r="133" spans="18:35" x14ac:dyDescent="0.2">
      <c r="R133" s="54"/>
      <c r="S133" s="54"/>
      <c r="T133" s="54"/>
      <c r="W133" s="54"/>
      <c r="X133" s="54"/>
      <c r="Y133" s="54"/>
      <c r="AB133" s="54"/>
      <c r="AC133" s="54"/>
      <c r="AD133" s="54"/>
      <c r="AG133" s="54"/>
      <c r="AH133" s="54"/>
      <c r="AI133" s="54"/>
    </row>
    <row r="134" spans="18:35" x14ac:dyDescent="0.2">
      <c r="R134" s="54"/>
      <c r="S134" s="54"/>
      <c r="T134" s="54"/>
      <c r="W134" s="54"/>
      <c r="X134" s="54"/>
      <c r="Y134" s="54"/>
      <c r="AB134" s="54"/>
      <c r="AC134" s="54"/>
      <c r="AD134" s="54"/>
      <c r="AG134" s="54"/>
      <c r="AH134" s="54"/>
      <c r="AI134" s="54"/>
    </row>
    <row r="135" spans="18:35" x14ac:dyDescent="0.2">
      <c r="R135" s="54"/>
      <c r="S135" s="54"/>
      <c r="T135" s="54"/>
      <c r="W135" s="54"/>
      <c r="X135" s="54"/>
      <c r="Y135" s="54"/>
      <c r="AB135" s="54"/>
      <c r="AC135" s="54"/>
      <c r="AD135" s="54"/>
      <c r="AG135" s="54"/>
      <c r="AH135" s="54"/>
      <c r="AI135" s="54"/>
    </row>
    <row r="136" spans="18:35" x14ac:dyDescent="0.2">
      <c r="R136" s="54"/>
      <c r="S136" s="54"/>
      <c r="T136" s="54"/>
      <c r="W136" s="54"/>
      <c r="X136" s="54"/>
      <c r="Y136" s="54"/>
      <c r="AB136" s="54"/>
      <c r="AC136" s="54"/>
      <c r="AD136" s="54"/>
      <c r="AG136" s="54"/>
      <c r="AH136" s="54"/>
      <c r="AI136" s="54"/>
    </row>
    <row r="137" spans="18:35" x14ac:dyDescent="0.2">
      <c r="R137" s="54"/>
      <c r="S137" s="54"/>
      <c r="T137" s="54"/>
      <c r="W137" s="54"/>
      <c r="X137" s="54"/>
      <c r="Y137" s="54"/>
      <c r="AB137" s="54"/>
      <c r="AC137" s="54"/>
      <c r="AD137" s="54"/>
      <c r="AG137" s="54"/>
      <c r="AH137" s="54"/>
      <c r="AI137" s="54"/>
    </row>
    <row r="138" spans="18:35" x14ac:dyDescent="0.2">
      <c r="R138" s="54"/>
      <c r="S138" s="54"/>
      <c r="T138" s="54"/>
      <c r="W138" s="54"/>
      <c r="X138" s="54"/>
      <c r="Y138" s="54"/>
      <c r="AB138" s="54"/>
      <c r="AC138" s="54"/>
      <c r="AD138" s="54"/>
      <c r="AG138" s="54"/>
      <c r="AH138" s="54"/>
      <c r="AI138" s="54"/>
    </row>
    <row r="139" spans="18:35" x14ac:dyDescent="0.2">
      <c r="R139" s="54"/>
      <c r="S139" s="54"/>
      <c r="T139" s="54"/>
      <c r="W139" s="54"/>
      <c r="X139" s="54"/>
      <c r="Y139" s="54"/>
      <c r="AB139" s="54"/>
      <c r="AC139" s="54"/>
      <c r="AD139" s="54"/>
      <c r="AG139" s="54"/>
      <c r="AH139" s="54"/>
      <c r="AI139" s="54"/>
    </row>
    <row r="140" spans="18:35" x14ac:dyDescent="0.2">
      <c r="R140" s="54"/>
      <c r="S140" s="54"/>
      <c r="T140" s="54"/>
      <c r="W140" s="54"/>
      <c r="X140" s="54"/>
      <c r="Y140" s="54"/>
      <c r="AB140" s="54"/>
      <c r="AC140" s="54"/>
      <c r="AD140" s="54"/>
      <c r="AG140" s="54"/>
      <c r="AH140" s="54"/>
      <c r="AI140" s="54"/>
    </row>
    <row r="141" spans="18:35" x14ac:dyDescent="0.2">
      <c r="R141" s="54"/>
      <c r="S141" s="54"/>
      <c r="T141" s="54"/>
      <c r="W141" s="54"/>
      <c r="X141" s="54"/>
      <c r="Y141" s="54"/>
      <c r="AB141" s="54"/>
      <c r="AC141" s="54"/>
      <c r="AD141" s="54"/>
      <c r="AG141" s="54"/>
      <c r="AH141" s="54"/>
      <c r="AI141" s="54"/>
    </row>
    <row r="142" spans="18:35" x14ac:dyDescent="0.2">
      <c r="R142" s="54"/>
      <c r="S142" s="54"/>
      <c r="T142" s="54"/>
      <c r="W142" s="54"/>
      <c r="X142" s="54"/>
      <c r="Y142" s="54"/>
      <c r="AB142" s="54"/>
      <c r="AC142" s="54"/>
      <c r="AD142" s="54"/>
      <c r="AG142" s="54"/>
      <c r="AH142" s="54"/>
      <c r="AI142" s="54"/>
    </row>
    <row r="143" spans="18:35" x14ac:dyDescent="0.2">
      <c r="R143" s="54"/>
      <c r="S143" s="54"/>
      <c r="T143" s="54"/>
      <c r="W143" s="54"/>
      <c r="X143" s="54"/>
      <c r="Y143" s="54"/>
      <c r="AB143" s="54"/>
      <c r="AC143" s="54"/>
      <c r="AD143" s="54"/>
      <c r="AG143" s="54"/>
      <c r="AH143" s="54"/>
      <c r="AI143" s="54"/>
    </row>
    <row r="144" spans="18:35" x14ac:dyDescent="0.2">
      <c r="R144" s="54"/>
      <c r="S144" s="54"/>
      <c r="T144" s="54"/>
      <c r="W144" s="54"/>
      <c r="X144" s="54"/>
      <c r="Y144" s="54"/>
      <c r="AB144" s="54"/>
      <c r="AC144" s="54"/>
      <c r="AD144" s="54"/>
      <c r="AG144" s="54"/>
      <c r="AH144" s="54"/>
      <c r="AI144" s="54"/>
    </row>
    <row r="145" spans="18:35" x14ac:dyDescent="0.2">
      <c r="R145" s="54"/>
      <c r="S145" s="54"/>
      <c r="T145" s="54"/>
      <c r="W145" s="54"/>
      <c r="X145" s="54"/>
      <c r="Y145" s="54"/>
      <c r="AB145" s="54"/>
      <c r="AC145" s="54"/>
      <c r="AD145" s="54"/>
      <c r="AG145" s="54"/>
      <c r="AH145" s="54"/>
      <c r="AI145" s="54"/>
    </row>
    <row r="146" spans="18:35" x14ac:dyDescent="0.2">
      <c r="R146" s="54"/>
      <c r="S146" s="54"/>
      <c r="T146" s="54"/>
      <c r="W146" s="54"/>
      <c r="X146" s="54"/>
      <c r="Y146" s="54"/>
      <c r="AB146" s="54"/>
      <c r="AC146" s="54"/>
      <c r="AD146" s="54"/>
      <c r="AG146" s="54"/>
      <c r="AH146" s="54"/>
      <c r="AI146" s="54"/>
    </row>
    <row r="147" spans="18:35" x14ac:dyDescent="0.2">
      <c r="R147" s="54"/>
      <c r="S147" s="54"/>
      <c r="T147" s="54"/>
      <c r="W147" s="54"/>
      <c r="X147" s="54"/>
      <c r="Y147" s="54"/>
      <c r="AB147" s="54"/>
      <c r="AC147" s="54"/>
      <c r="AD147" s="54"/>
      <c r="AG147" s="54"/>
      <c r="AH147" s="54"/>
      <c r="AI147" s="54"/>
    </row>
    <row r="148" spans="18:35" x14ac:dyDescent="0.2">
      <c r="R148" s="54"/>
      <c r="S148" s="54"/>
      <c r="T148" s="54"/>
      <c r="W148" s="54"/>
      <c r="X148" s="54"/>
      <c r="Y148" s="54"/>
      <c r="AB148" s="54"/>
      <c r="AC148" s="54"/>
      <c r="AD148" s="54"/>
      <c r="AG148" s="54"/>
      <c r="AH148" s="54"/>
      <c r="AI148" s="54"/>
    </row>
    <row r="149" spans="18:35" x14ac:dyDescent="0.2">
      <c r="R149" s="54"/>
      <c r="S149" s="54"/>
      <c r="T149" s="54"/>
      <c r="W149" s="54"/>
      <c r="X149" s="54"/>
      <c r="Y149" s="54"/>
      <c r="AB149" s="54"/>
      <c r="AC149" s="54"/>
      <c r="AD149" s="54"/>
      <c r="AG149" s="54"/>
      <c r="AH149" s="54"/>
      <c r="AI149" s="54"/>
    </row>
    <row r="150" spans="18:35" x14ac:dyDescent="0.2">
      <c r="R150" s="54"/>
      <c r="S150" s="54"/>
      <c r="T150" s="54"/>
      <c r="W150" s="54"/>
      <c r="X150" s="54"/>
      <c r="Y150" s="54"/>
      <c r="AB150" s="54"/>
      <c r="AC150" s="54"/>
      <c r="AD150" s="54"/>
      <c r="AG150" s="54"/>
      <c r="AH150" s="54"/>
      <c r="AI150" s="54"/>
    </row>
    <row r="151" spans="18:35" x14ac:dyDescent="0.2">
      <c r="R151" s="54"/>
      <c r="S151" s="54"/>
      <c r="T151" s="54"/>
      <c r="W151" s="54"/>
      <c r="X151" s="54"/>
      <c r="Y151" s="54"/>
      <c r="AB151" s="54"/>
      <c r="AC151" s="54"/>
      <c r="AD151" s="54"/>
      <c r="AG151" s="54"/>
      <c r="AH151" s="54"/>
      <c r="AI151" s="54"/>
    </row>
    <row r="152" spans="18:35" x14ac:dyDescent="0.2">
      <c r="R152" s="54"/>
      <c r="S152" s="54"/>
      <c r="T152" s="54"/>
      <c r="W152" s="54"/>
      <c r="X152" s="54"/>
      <c r="Y152" s="54"/>
      <c r="AB152" s="54"/>
      <c r="AC152" s="54"/>
      <c r="AD152" s="54"/>
      <c r="AG152" s="54"/>
      <c r="AH152" s="54"/>
      <c r="AI152" s="54"/>
    </row>
    <row r="153" spans="18:35" x14ac:dyDescent="0.2">
      <c r="R153" s="54"/>
      <c r="S153" s="54"/>
      <c r="T153" s="54"/>
      <c r="W153" s="54"/>
      <c r="X153" s="54"/>
      <c r="Y153" s="54"/>
      <c r="AB153" s="54"/>
      <c r="AC153" s="54"/>
      <c r="AD153" s="54"/>
      <c r="AG153" s="54"/>
      <c r="AH153" s="54"/>
      <c r="AI153" s="54"/>
    </row>
    <row r="154" spans="18:35" x14ac:dyDescent="0.2">
      <c r="R154" s="54"/>
      <c r="S154" s="54"/>
      <c r="T154" s="54"/>
      <c r="W154" s="54"/>
      <c r="X154" s="54"/>
      <c r="Y154" s="54"/>
      <c r="AB154" s="54"/>
      <c r="AC154" s="54"/>
      <c r="AD154" s="54"/>
      <c r="AG154" s="54"/>
      <c r="AH154" s="54"/>
      <c r="AI154" s="54"/>
    </row>
    <row r="155" spans="18:35" x14ac:dyDescent="0.2">
      <c r="R155" s="54"/>
      <c r="S155" s="54"/>
      <c r="T155" s="54"/>
      <c r="W155" s="54"/>
      <c r="X155" s="54"/>
      <c r="Y155" s="54"/>
      <c r="AB155" s="54"/>
      <c r="AC155" s="54"/>
      <c r="AD155" s="54"/>
      <c r="AG155" s="54"/>
      <c r="AH155" s="54"/>
      <c r="AI155" s="54"/>
    </row>
    <row r="156" spans="18:35" x14ac:dyDescent="0.2">
      <c r="R156" s="54"/>
      <c r="S156" s="54"/>
      <c r="T156" s="54"/>
      <c r="W156" s="54"/>
      <c r="X156" s="54"/>
      <c r="Y156" s="54"/>
      <c r="AB156" s="54"/>
      <c r="AC156" s="54"/>
      <c r="AD156" s="54"/>
      <c r="AG156" s="54"/>
      <c r="AH156" s="54"/>
      <c r="AI156" s="54"/>
    </row>
    <row r="157" spans="18:35" x14ac:dyDescent="0.2">
      <c r="R157" s="54"/>
      <c r="S157" s="54"/>
      <c r="T157" s="54"/>
      <c r="W157" s="54"/>
      <c r="X157" s="54"/>
      <c r="Y157" s="54"/>
      <c r="AB157" s="54"/>
      <c r="AC157" s="54"/>
      <c r="AD157" s="54"/>
      <c r="AG157" s="54"/>
      <c r="AH157" s="54"/>
      <c r="AI157" s="54"/>
    </row>
    <row r="158" spans="18:35" x14ac:dyDescent="0.2">
      <c r="R158" s="54"/>
      <c r="S158" s="54"/>
      <c r="T158" s="54"/>
      <c r="W158" s="54"/>
      <c r="X158" s="54"/>
      <c r="Y158" s="54"/>
      <c r="AB158" s="54"/>
      <c r="AC158" s="54"/>
      <c r="AD158" s="54"/>
      <c r="AG158" s="54"/>
      <c r="AH158" s="54"/>
      <c r="AI158" s="54"/>
    </row>
    <row r="159" spans="18:35" x14ac:dyDescent="0.2">
      <c r="R159" s="54"/>
      <c r="S159" s="54"/>
      <c r="T159" s="54"/>
      <c r="W159" s="54"/>
      <c r="X159" s="54"/>
      <c r="Y159" s="54"/>
      <c r="AB159" s="54"/>
      <c r="AC159" s="54"/>
      <c r="AD159" s="54"/>
      <c r="AG159" s="54"/>
      <c r="AH159" s="54"/>
      <c r="AI159" s="54"/>
    </row>
    <row r="160" spans="18:35" x14ac:dyDescent="0.2">
      <c r="R160" s="54"/>
      <c r="S160" s="54"/>
      <c r="T160" s="54"/>
      <c r="W160" s="54"/>
      <c r="X160" s="54"/>
      <c r="Y160" s="54"/>
      <c r="AB160" s="54"/>
      <c r="AC160" s="54"/>
      <c r="AD160" s="54"/>
      <c r="AG160" s="54"/>
      <c r="AH160" s="54"/>
      <c r="AI160" s="54"/>
    </row>
    <row r="161" spans="18:35" x14ac:dyDescent="0.2">
      <c r="R161" s="54"/>
      <c r="S161" s="54"/>
      <c r="T161" s="54"/>
      <c r="W161" s="54"/>
      <c r="X161" s="54"/>
      <c r="Y161" s="54"/>
      <c r="AB161" s="54"/>
      <c r="AC161" s="54"/>
      <c r="AD161" s="54"/>
      <c r="AG161" s="54"/>
      <c r="AH161" s="54"/>
      <c r="AI161" s="54"/>
    </row>
    <row r="162" spans="18:35" x14ac:dyDescent="0.2">
      <c r="R162" s="54"/>
      <c r="S162" s="54"/>
      <c r="T162" s="54"/>
      <c r="W162" s="54"/>
      <c r="X162" s="54"/>
      <c r="Y162" s="54"/>
      <c r="AB162" s="54"/>
      <c r="AC162" s="54"/>
      <c r="AD162" s="54"/>
      <c r="AG162" s="54"/>
      <c r="AH162" s="54"/>
      <c r="AI162" s="54"/>
    </row>
    <row r="163" spans="18:35" x14ac:dyDescent="0.2">
      <c r="R163" s="54"/>
      <c r="S163" s="54"/>
      <c r="T163" s="54"/>
      <c r="W163" s="54"/>
      <c r="X163" s="54"/>
      <c r="Y163" s="54"/>
      <c r="AB163" s="54"/>
      <c r="AC163" s="54"/>
      <c r="AD163" s="54"/>
      <c r="AG163" s="54"/>
      <c r="AH163" s="54"/>
      <c r="AI163" s="54"/>
    </row>
    <row r="164" spans="18:35" x14ac:dyDescent="0.2">
      <c r="R164" s="54"/>
      <c r="S164" s="54"/>
      <c r="T164" s="54"/>
      <c r="W164" s="54"/>
      <c r="X164" s="54"/>
      <c r="Y164" s="54"/>
      <c r="AB164" s="54"/>
      <c r="AC164" s="54"/>
      <c r="AD164" s="54"/>
      <c r="AG164" s="54"/>
      <c r="AH164" s="54"/>
      <c r="AI164" s="54"/>
    </row>
    <row r="165" spans="18:35" x14ac:dyDescent="0.2">
      <c r="R165" s="54"/>
      <c r="S165" s="54"/>
      <c r="T165" s="54"/>
      <c r="W165" s="54"/>
      <c r="X165" s="54"/>
      <c r="Y165" s="54"/>
      <c r="AB165" s="54"/>
      <c r="AC165" s="54"/>
      <c r="AD165" s="54"/>
      <c r="AG165" s="54"/>
      <c r="AH165" s="54"/>
      <c r="AI165" s="54"/>
    </row>
    <row r="166" spans="18:35" x14ac:dyDescent="0.2">
      <c r="R166" s="54"/>
      <c r="S166" s="54"/>
      <c r="T166" s="54"/>
      <c r="W166" s="54"/>
      <c r="X166" s="54"/>
      <c r="Y166" s="54"/>
      <c r="AB166" s="54"/>
      <c r="AC166" s="54"/>
      <c r="AD166" s="54"/>
      <c r="AG166" s="54"/>
      <c r="AH166" s="54"/>
      <c r="AI166" s="54"/>
    </row>
    <row r="167" spans="18:35" x14ac:dyDescent="0.2">
      <c r="R167" s="54"/>
      <c r="S167" s="54"/>
      <c r="T167" s="54"/>
      <c r="W167" s="54"/>
      <c r="X167" s="54"/>
      <c r="Y167" s="54"/>
      <c r="AB167" s="54"/>
      <c r="AC167" s="54"/>
      <c r="AD167" s="54"/>
      <c r="AG167" s="54"/>
      <c r="AH167" s="54"/>
      <c r="AI167" s="54"/>
    </row>
    <row r="168" spans="18:35" x14ac:dyDescent="0.2">
      <c r="R168" s="54"/>
      <c r="S168" s="54"/>
      <c r="T168" s="54"/>
      <c r="W168" s="54"/>
      <c r="X168" s="54"/>
      <c r="Y168" s="54"/>
      <c r="AB168" s="54"/>
      <c r="AC168" s="54"/>
      <c r="AD168" s="54"/>
      <c r="AG168" s="54"/>
      <c r="AH168" s="54"/>
      <c r="AI168" s="54"/>
    </row>
    <row r="169" spans="18:35" x14ac:dyDescent="0.2">
      <c r="R169" s="54"/>
      <c r="S169" s="54"/>
      <c r="T169" s="54"/>
      <c r="W169" s="54"/>
      <c r="X169" s="54"/>
      <c r="Y169" s="54"/>
      <c r="AB169" s="54"/>
      <c r="AC169" s="54"/>
      <c r="AD169" s="54"/>
      <c r="AG169" s="54"/>
      <c r="AH169" s="54"/>
      <c r="AI169" s="54"/>
    </row>
    <row r="170" spans="18:35" x14ac:dyDescent="0.2">
      <c r="R170" s="54"/>
      <c r="S170" s="54"/>
      <c r="T170" s="54"/>
      <c r="W170" s="54"/>
      <c r="X170" s="54"/>
      <c r="Y170" s="54"/>
      <c r="AB170" s="54"/>
      <c r="AC170" s="54"/>
      <c r="AD170" s="54"/>
      <c r="AG170" s="54"/>
      <c r="AH170" s="54"/>
      <c r="AI170" s="54"/>
    </row>
    <row r="171" spans="18:35" x14ac:dyDescent="0.2">
      <c r="R171" s="54"/>
      <c r="S171" s="54"/>
      <c r="T171" s="54"/>
      <c r="W171" s="54"/>
      <c r="X171" s="54"/>
      <c r="Y171" s="54"/>
      <c r="AB171" s="54"/>
      <c r="AC171" s="54"/>
      <c r="AD171" s="54"/>
      <c r="AG171" s="54"/>
      <c r="AH171" s="54"/>
      <c r="AI171" s="54"/>
    </row>
    <row r="172" spans="18:35" x14ac:dyDescent="0.2">
      <c r="R172" s="54"/>
      <c r="S172" s="54"/>
      <c r="T172" s="54"/>
      <c r="W172" s="54"/>
      <c r="X172" s="54"/>
      <c r="Y172" s="54"/>
      <c r="AB172" s="54"/>
      <c r="AC172" s="54"/>
      <c r="AD172" s="54"/>
      <c r="AG172" s="54"/>
      <c r="AH172" s="54"/>
      <c r="AI172" s="54"/>
    </row>
    <row r="173" spans="18:35" x14ac:dyDescent="0.2">
      <c r="R173" s="54"/>
      <c r="S173" s="54"/>
      <c r="T173" s="54"/>
      <c r="W173" s="54"/>
      <c r="X173" s="54"/>
      <c r="Y173" s="54"/>
      <c r="AB173" s="54"/>
      <c r="AC173" s="54"/>
      <c r="AD173" s="54"/>
      <c r="AG173" s="54"/>
      <c r="AH173" s="54"/>
      <c r="AI173" s="54"/>
    </row>
    <row r="174" spans="18:35" x14ac:dyDescent="0.2">
      <c r="R174" s="54"/>
      <c r="S174" s="54"/>
      <c r="T174" s="54"/>
      <c r="W174" s="54"/>
      <c r="X174" s="54"/>
      <c r="Y174" s="54"/>
      <c r="AB174" s="54"/>
      <c r="AC174" s="54"/>
      <c r="AD174" s="54"/>
      <c r="AG174" s="54"/>
      <c r="AH174" s="54"/>
      <c r="AI174" s="54"/>
    </row>
    <row r="175" spans="18:35" x14ac:dyDescent="0.2">
      <c r="R175" s="54"/>
      <c r="S175" s="54"/>
      <c r="T175" s="54"/>
      <c r="W175" s="54"/>
      <c r="X175" s="54"/>
      <c r="Y175" s="54"/>
      <c r="AB175" s="54"/>
      <c r="AC175" s="54"/>
      <c r="AD175" s="54"/>
      <c r="AG175" s="54"/>
      <c r="AH175" s="54"/>
      <c r="AI175" s="54"/>
    </row>
    <row r="176" spans="18:35" x14ac:dyDescent="0.2">
      <c r="R176" s="54"/>
      <c r="S176" s="54"/>
      <c r="T176" s="54"/>
      <c r="W176" s="54"/>
      <c r="X176" s="54"/>
      <c r="Y176" s="54"/>
      <c r="AB176" s="54"/>
      <c r="AC176" s="54"/>
      <c r="AD176" s="54"/>
      <c r="AG176" s="54"/>
      <c r="AH176" s="54"/>
      <c r="AI176" s="54"/>
    </row>
    <row r="177" spans="18:35" x14ac:dyDescent="0.2">
      <c r="R177" s="54"/>
      <c r="S177" s="54"/>
      <c r="T177" s="54"/>
      <c r="W177" s="54"/>
      <c r="X177" s="54"/>
      <c r="Y177" s="54"/>
      <c r="AB177" s="54"/>
      <c r="AC177" s="54"/>
      <c r="AD177" s="54"/>
      <c r="AG177" s="54"/>
      <c r="AH177" s="54"/>
      <c r="AI177" s="54"/>
    </row>
    <row r="178" spans="18:35" x14ac:dyDescent="0.2">
      <c r="R178" s="54"/>
      <c r="S178" s="54"/>
      <c r="T178" s="54"/>
      <c r="W178" s="54"/>
      <c r="X178" s="54"/>
      <c r="Y178" s="54"/>
      <c r="AB178" s="54"/>
      <c r="AC178" s="54"/>
      <c r="AD178" s="54"/>
      <c r="AG178" s="54"/>
      <c r="AH178" s="54"/>
      <c r="AI178" s="54"/>
    </row>
    <row r="179" spans="18:35" x14ac:dyDescent="0.2">
      <c r="R179" s="54"/>
      <c r="S179" s="54"/>
      <c r="T179" s="54"/>
      <c r="W179" s="54"/>
      <c r="X179" s="54"/>
      <c r="Y179" s="54"/>
      <c r="AB179" s="54"/>
      <c r="AC179" s="54"/>
      <c r="AD179" s="54"/>
      <c r="AG179" s="54"/>
      <c r="AH179" s="54"/>
      <c r="AI179" s="54"/>
    </row>
    <row r="180" spans="18:35" x14ac:dyDescent="0.2">
      <c r="R180" s="54"/>
      <c r="S180" s="54"/>
      <c r="T180" s="54"/>
      <c r="W180" s="54"/>
      <c r="X180" s="54"/>
      <c r="Y180" s="54"/>
      <c r="AB180" s="54"/>
      <c r="AC180" s="54"/>
      <c r="AD180" s="54"/>
      <c r="AG180" s="54"/>
      <c r="AH180" s="54"/>
      <c r="AI180" s="54"/>
    </row>
    <row r="181" spans="18:35" x14ac:dyDescent="0.2">
      <c r="R181" s="54"/>
      <c r="S181" s="54"/>
      <c r="T181" s="54"/>
      <c r="W181" s="54"/>
      <c r="X181" s="54"/>
      <c r="Y181" s="54"/>
      <c r="AB181" s="54"/>
      <c r="AC181" s="54"/>
      <c r="AD181" s="54"/>
      <c r="AG181" s="54"/>
      <c r="AH181" s="54"/>
      <c r="AI181" s="54"/>
    </row>
    <row r="182" spans="18:35" x14ac:dyDescent="0.2">
      <c r="R182" s="54"/>
      <c r="S182" s="54"/>
      <c r="T182" s="54"/>
      <c r="W182" s="54"/>
      <c r="X182" s="54"/>
      <c r="Y182" s="54"/>
      <c r="AB182" s="54"/>
      <c r="AC182" s="54"/>
      <c r="AD182" s="54"/>
      <c r="AG182" s="54"/>
      <c r="AH182" s="54"/>
      <c r="AI182" s="54"/>
    </row>
    <row r="183" spans="18:35" x14ac:dyDescent="0.2">
      <c r="R183" s="54"/>
      <c r="S183" s="54"/>
      <c r="T183" s="54"/>
      <c r="W183" s="54"/>
      <c r="X183" s="54"/>
      <c r="Y183" s="54"/>
      <c r="AB183" s="54"/>
      <c r="AC183" s="54"/>
      <c r="AD183" s="54"/>
      <c r="AG183" s="54"/>
      <c r="AH183" s="54"/>
      <c r="AI183" s="54"/>
    </row>
    <row r="184" spans="18:35" x14ac:dyDescent="0.2">
      <c r="R184" s="54"/>
      <c r="S184" s="54"/>
      <c r="T184" s="54"/>
      <c r="W184" s="54"/>
      <c r="X184" s="54"/>
      <c r="Y184" s="54"/>
      <c r="AB184" s="54"/>
      <c r="AC184" s="54"/>
      <c r="AD184" s="54"/>
      <c r="AG184" s="54"/>
      <c r="AH184" s="54"/>
      <c r="AI184" s="54"/>
    </row>
    <row r="185" spans="18:35" x14ac:dyDescent="0.2">
      <c r="R185" s="54"/>
      <c r="S185" s="54"/>
      <c r="T185" s="54"/>
      <c r="W185" s="54"/>
      <c r="X185" s="54"/>
      <c r="Y185" s="54"/>
      <c r="AB185" s="54"/>
      <c r="AC185" s="54"/>
      <c r="AD185" s="54"/>
      <c r="AG185" s="54"/>
      <c r="AH185" s="54"/>
      <c r="AI185" s="54"/>
    </row>
    <row r="186" spans="18:35" x14ac:dyDescent="0.2">
      <c r="R186" s="54"/>
      <c r="S186" s="54"/>
      <c r="T186" s="54"/>
      <c r="W186" s="54"/>
      <c r="X186" s="54"/>
      <c r="Y186" s="54"/>
      <c r="AB186" s="54"/>
      <c r="AC186" s="54"/>
      <c r="AD186" s="54"/>
      <c r="AG186" s="54"/>
      <c r="AH186" s="54"/>
      <c r="AI186" s="54"/>
    </row>
    <row r="187" spans="18:35" x14ac:dyDescent="0.2">
      <c r="R187" s="54"/>
      <c r="S187" s="54"/>
      <c r="T187" s="54"/>
      <c r="W187" s="54"/>
      <c r="X187" s="54"/>
      <c r="Y187" s="54"/>
      <c r="AB187" s="54"/>
      <c r="AC187" s="54"/>
      <c r="AD187" s="54"/>
      <c r="AG187" s="54"/>
      <c r="AH187" s="54"/>
      <c r="AI187" s="54"/>
    </row>
    <row r="188" spans="18:35" x14ac:dyDescent="0.2">
      <c r="R188" s="54"/>
      <c r="S188" s="54"/>
      <c r="T188" s="54"/>
      <c r="W188" s="54"/>
      <c r="X188" s="54"/>
      <c r="Y188" s="54"/>
      <c r="AB188" s="54"/>
      <c r="AC188" s="54"/>
      <c r="AD188" s="54"/>
      <c r="AG188" s="54"/>
      <c r="AH188" s="54"/>
      <c r="AI188" s="54"/>
    </row>
    <row r="189" spans="18:35" x14ac:dyDescent="0.2">
      <c r="R189" s="54"/>
      <c r="S189" s="54"/>
      <c r="T189" s="54"/>
      <c r="W189" s="54"/>
      <c r="X189" s="54"/>
      <c r="Y189" s="54"/>
      <c r="AB189" s="54"/>
      <c r="AC189" s="54"/>
      <c r="AD189" s="54"/>
      <c r="AG189" s="54"/>
      <c r="AH189" s="54"/>
      <c r="AI189" s="54"/>
    </row>
    <row r="190" spans="18:35" x14ac:dyDescent="0.2">
      <c r="R190" s="54"/>
      <c r="S190" s="54"/>
      <c r="T190" s="54"/>
      <c r="W190" s="54"/>
      <c r="X190" s="54"/>
      <c r="Y190" s="54"/>
      <c r="AB190" s="54"/>
      <c r="AC190" s="54"/>
      <c r="AD190" s="54"/>
      <c r="AG190" s="54"/>
      <c r="AH190" s="54"/>
      <c r="AI190" s="54"/>
    </row>
    <row r="191" spans="18:35" x14ac:dyDescent="0.2">
      <c r="R191" s="54"/>
      <c r="S191" s="54"/>
      <c r="T191" s="54"/>
      <c r="W191" s="54"/>
      <c r="X191" s="54"/>
      <c r="Y191" s="54"/>
      <c r="AB191" s="54"/>
      <c r="AC191" s="54"/>
      <c r="AD191" s="54"/>
      <c r="AG191" s="54"/>
      <c r="AH191" s="54"/>
      <c r="AI191" s="54"/>
    </row>
    <row r="192" spans="18:35" x14ac:dyDescent="0.2">
      <c r="R192" s="54"/>
      <c r="S192" s="54"/>
      <c r="T192" s="54"/>
      <c r="W192" s="54"/>
      <c r="X192" s="54"/>
      <c r="Y192" s="54"/>
      <c r="AB192" s="54"/>
      <c r="AC192" s="54"/>
      <c r="AD192" s="54"/>
      <c r="AG192" s="54"/>
      <c r="AH192" s="54"/>
      <c r="AI192" s="54"/>
    </row>
    <row r="193" spans="18:35" x14ac:dyDescent="0.2">
      <c r="R193" s="54"/>
      <c r="S193" s="54"/>
      <c r="T193" s="54"/>
      <c r="W193" s="54"/>
      <c r="X193" s="54"/>
      <c r="Y193" s="54"/>
      <c r="AB193" s="54"/>
      <c r="AC193" s="54"/>
      <c r="AD193" s="54"/>
      <c r="AG193" s="54"/>
      <c r="AH193" s="54"/>
      <c r="AI193" s="54"/>
    </row>
    <row r="194" spans="18:35" x14ac:dyDescent="0.2">
      <c r="R194" s="54"/>
      <c r="S194" s="54"/>
      <c r="T194" s="54"/>
      <c r="W194" s="54"/>
      <c r="X194" s="54"/>
      <c r="Y194" s="54"/>
      <c r="AB194" s="54"/>
      <c r="AC194" s="54"/>
      <c r="AD194" s="54"/>
      <c r="AG194" s="54"/>
      <c r="AH194" s="54"/>
      <c r="AI194" s="54"/>
    </row>
    <row r="195" spans="18:35" x14ac:dyDescent="0.2">
      <c r="R195" s="54"/>
      <c r="S195" s="54"/>
      <c r="T195" s="54"/>
      <c r="W195" s="54"/>
      <c r="X195" s="54"/>
      <c r="Y195" s="54"/>
      <c r="AB195" s="54"/>
      <c r="AC195" s="54"/>
      <c r="AD195" s="54"/>
      <c r="AG195" s="54"/>
      <c r="AH195" s="54"/>
      <c r="AI195" s="54"/>
    </row>
    <row r="196" spans="18:35" x14ac:dyDescent="0.2">
      <c r="R196" s="54"/>
      <c r="S196" s="54"/>
      <c r="T196" s="54"/>
      <c r="W196" s="54"/>
      <c r="X196" s="54"/>
      <c r="Y196" s="54"/>
      <c r="AB196" s="54"/>
      <c r="AC196" s="54"/>
      <c r="AD196" s="54"/>
      <c r="AG196" s="54"/>
      <c r="AH196" s="54"/>
      <c r="AI196" s="54"/>
    </row>
    <row r="197" spans="18:35" x14ac:dyDescent="0.2">
      <c r="R197" s="54"/>
      <c r="S197" s="54"/>
      <c r="T197" s="54"/>
      <c r="W197" s="54"/>
      <c r="X197" s="54"/>
      <c r="Y197" s="54"/>
      <c r="AB197" s="54"/>
      <c r="AC197" s="54"/>
      <c r="AD197" s="54"/>
      <c r="AG197" s="54"/>
      <c r="AH197" s="54"/>
      <c r="AI197" s="54"/>
    </row>
    <row r="198" spans="18:35" x14ac:dyDescent="0.2">
      <c r="R198" s="54"/>
      <c r="S198" s="54"/>
      <c r="T198" s="54"/>
      <c r="W198" s="54"/>
      <c r="X198" s="54"/>
      <c r="Y198" s="54"/>
      <c r="AB198" s="54"/>
      <c r="AC198" s="54"/>
      <c r="AD198" s="54"/>
      <c r="AG198" s="54"/>
      <c r="AH198" s="54"/>
      <c r="AI198" s="54"/>
    </row>
    <row r="199" spans="18:35" x14ac:dyDescent="0.2">
      <c r="R199" s="54"/>
      <c r="S199" s="54"/>
      <c r="T199" s="54"/>
      <c r="W199" s="54"/>
      <c r="X199" s="54"/>
      <c r="Y199" s="54"/>
      <c r="AB199" s="54"/>
      <c r="AC199" s="54"/>
      <c r="AD199" s="54"/>
      <c r="AG199" s="54"/>
      <c r="AH199" s="54"/>
      <c r="AI199" s="54"/>
    </row>
    <row r="200" spans="18:35" x14ac:dyDescent="0.2">
      <c r="R200" s="54"/>
      <c r="S200" s="54"/>
      <c r="T200" s="54"/>
      <c r="W200" s="54"/>
      <c r="X200" s="54"/>
      <c r="Y200" s="54"/>
      <c r="AB200" s="54"/>
      <c r="AC200" s="54"/>
      <c r="AD200" s="54"/>
      <c r="AG200" s="54"/>
      <c r="AH200" s="54"/>
      <c r="AI200" s="54"/>
    </row>
    <row r="201" spans="18:35" x14ac:dyDescent="0.2">
      <c r="R201" s="54"/>
      <c r="S201" s="54"/>
      <c r="T201" s="54"/>
      <c r="W201" s="54"/>
      <c r="X201" s="54"/>
      <c r="Y201" s="54"/>
      <c r="AB201" s="54"/>
      <c r="AC201" s="54"/>
      <c r="AD201" s="54"/>
      <c r="AG201" s="54"/>
      <c r="AH201" s="54"/>
      <c r="AI201" s="54"/>
    </row>
    <row r="202" spans="18:35" x14ac:dyDescent="0.2">
      <c r="R202" s="54"/>
      <c r="S202" s="54"/>
      <c r="T202" s="54"/>
      <c r="W202" s="54"/>
      <c r="X202" s="54"/>
      <c r="Y202" s="54"/>
      <c r="AB202" s="54"/>
      <c r="AC202" s="54"/>
      <c r="AD202" s="54"/>
      <c r="AG202" s="54"/>
      <c r="AH202" s="54"/>
      <c r="AI202" s="54"/>
    </row>
    <row r="203" spans="18:35" x14ac:dyDescent="0.2">
      <c r="R203" s="54"/>
      <c r="S203" s="54"/>
      <c r="T203" s="54"/>
      <c r="W203" s="54"/>
      <c r="X203" s="54"/>
      <c r="Y203" s="54"/>
      <c r="AB203" s="54"/>
      <c r="AC203" s="54"/>
      <c r="AD203" s="54"/>
      <c r="AG203" s="54"/>
      <c r="AH203" s="54"/>
      <c r="AI203" s="54"/>
    </row>
    <row r="204" spans="18:35" x14ac:dyDescent="0.2">
      <c r="R204" s="54"/>
      <c r="S204" s="54"/>
      <c r="T204" s="54"/>
      <c r="W204" s="54"/>
      <c r="X204" s="54"/>
      <c r="Y204" s="54"/>
      <c r="AB204" s="54"/>
      <c r="AC204" s="54"/>
      <c r="AD204" s="54"/>
      <c r="AG204" s="54"/>
      <c r="AH204" s="54"/>
      <c r="AI204" s="54"/>
    </row>
    <row r="205" spans="18:35" x14ac:dyDescent="0.2">
      <c r="R205" s="54"/>
      <c r="S205" s="54"/>
      <c r="T205" s="54"/>
      <c r="W205" s="54"/>
      <c r="X205" s="54"/>
      <c r="Y205" s="54"/>
      <c r="AB205" s="54"/>
      <c r="AC205" s="54"/>
      <c r="AD205" s="54"/>
      <c r="AG205" s="54"/>
      <c r="AH205" s="54"/>
      <c r="AI205" s="54"/>
    </row>
    <row r="206" spans="18:35" x14ac:dyDescent="0.2">
      <c r="R206" s="54"/>
      <c r="S206" s="54"/>
      <c r="T206" s="54"/>
      <c r="W206" s="54"/>
      <c r="X206" s="54"/>
      <c r="Y206" s="54"/>
      <c r="AB206" s="54"/>
      <c r="AC206" s="54"/>
      <c r="AD206" s="54"/>
      <c r="AG206" s="54"/>
      <c r="AH206" s="54"/>
      <c r="AI206" s="54"/>
    </row>
    <row r="207" spans="18:35" x14ac:dyDescent="0.2">
      <c r="R207" s="54"/>
      <c r="S207" s="54"/>
      <c r="T207" s="54"/>
      <c r="W207" s="54"/>
      <c r="X207" s="54"/>
      <c r="Y207" s="54"/>
      <c r="AB207" s="54"/>
      <c r="AC207" s="54"/>
      <c r="AD207" s="54"/>
      <c r="AG207" s="54"/>
      <c r="AH207" s="54"/>
      <c r="AI207" s="54"/>
    </row>
    <row r="208" spans="18:35" x14ac:dyDescent="0.2">
      <c r="R208" s="54"/>
      <c r="S208" s="54"/>
      <c r="T208" s="54"/>
      <c r="W208" s="54"/>
      <c r="X208" s="54"/>
      <c r="Y208" s="54"/>
      <c r="AB208" s="54"/>
      <c r="AC208" s="54"/>
      <c r="AD208" s="54"/>
      <c r="AG208" s="54"/>
      <c r="AH208" s="54"/>
      <c r="AI208" s="54"/>
    </row>
    <row r="209" spans="18:35" x14ac:dyDescent="0.2">
      <c r="R209" s="54"/>
      <c r="S209" s="54"/>
      <c r="T209" s="54"/>
      <c r="W209" s="54"/>
      <c r="X209" s="54"/>
      <c r="Y209" s="54"/>
      <c r="AB209" s="54"/>
      <c r="AC209" s="54"/>
      <c r="AD209" s="54"/>
      <c r="AG209" s="54"/>
      <c r="AH209" s="54"/>
      <c r="AI209" s="54"/>
    </row>
    <row r="210" spans="18:35" x14ac:dyDescent="0.2">
      <c r="R210" s="54"/>
      <c r="S210" s="54"/>
      <c r="T210" s="54"/>
      <c r="W210" s="54"/>
      <c r="X210" s="54"/>
      <c r="Y210" s="54"/>
      <c r="AB210" s="54"/>
      <c r="AC210" s="54"/>
      <c r="AD210" s="54"/>
      <c r="AG210" s="54"/>
      <c r="AH210" s="54"/>
      <c r="AI210" s="54"/>
    </row>
    <row r="211" spans="18:35" x14ac:dyDescent="0.2">
      <c r="R211" s="54"/>
      <c r="S211" s="54"/>
      <c r="T211" s="54"/>
      <c r="W211" s="54"/>
      <c r="X211" s="54"/>
      <c r="Y211" s="54"/>
      <c r="AB211" s="54"/>
      <c r="AC211" s="54"/>
      <c r="AD211" s="54"/>
      <c r="AG211" s="54"/>
      <c r="AH211" s="54"/>
      <c r="AI211" s="54"/>
    </row>
    <row r="212" spans="18:35" x14ac:dyDescent="0.2">
      <c r="R212" s="54"/>
      <c r="S212" s="54"/>
      <c r="T212" s="54"/>
      <c r="W212" s="54"/>
      <c r="X212" s="54"/>
      <c r="Y212" s="54"/>
      <c r="AB212" s="54"/>
      <c r="AC212" s="54"/>
      <c r="AD212" s="54"/>
      <c r="AG212" s="54"/>
      <c r="AH212" s="54"/>
      <c r="AI212" s="54"/>
    </row>
    <row r="213" spans="18:35" x14ac:dyDescent="0.2">
      <c r="R213" s="54"/>
      <c r="S213" s="54"/>
      <c r="T213" s="54"/>
      <c r="W213" s="54"/>
      <c r="X213" s="54"/>
      <c r="Y213" s="54"/>
      <c r="AB213" s="54"/>
      <c r="AC213" s="54"/>
      <c r="AD213" s="54"/>
      <c r="AG213" s="54"/>
      <c r="AH213" s="54"/>
      <c r="AI213" s="54"/>
    </row>
    <row r="214" spans="18:35" x14ac:dyDescent="0.2">
      <c r="R214" s="54"/>
      <c r="S214" s="54"/>
      <c r="T214" s="54"/>
      <c r="W214" s="54"/>
      <c r="X214" s="54"/>
      <c r="Y214" s="54"/>
      <c r="AB214" s="54"/>
      <c r="AC214" s="54"/>
      <c r="AD214" s="54"/>
      <c r="AG214" s="54"/>
      <c r="AH214" s="54"/>
      <c r="AI214" s="54"/>
    </row>
    <row r="215" spans="18:35" x14ac:dyDescent="0.2">
      <c r="R215" s="54"/>
      <c r="S215" s="54"/>
      <c r="T215" s="54"/>
      <c r="W215" s="54"/>
      <c r="X215" s="54"/>
      <c r="Y215" s="54"/>
      <c r="AB215" s="54"/>
      <c r="AC215" s="54"/>
      <c r="AD215" s="54"/>
      <c r="AG215" s="54"/>
      <c r="AH215" s="54"/>
      <c r="AI215" s="54"/>
    </row>
    <row r="216" spans="18:35" x14ac:dyDescent="0.2">
      <c r="R216" s="54"/>
      <c r="S216" s="54"/>
      <c r="T216" s="54"/>
      <c r="W216" s="54"/>
      <c r="X216" s="54"/>
      <c r="Y216" s="54"/>
      <c r="AB216" s="54"/>
      <c r="AC216" s="54"/>
      <c r="AD216" s="54"/>
      <c r="AG216" s="54"/>
      <c r="AH216" s="54"/>
      <c r="AI216" s="54"/>
    </row>
    <row r="217" spans="18:35" x14ac:dyDescent="0.2">
      <c r="R217" s="54"/>
      <c r="S217" s="54"/>
      <c r="T217" s="54"/>
      <c r="W217" s="54"/>
      <c r="X217" s="54"/>
      <c r="Y217" s="54"/>
      <c r="AB217" s="54"/>
      <c r="AC217" s="54"/>
      <c r="AD217" s="54"/>
      <c r="AG217" s="54"/>
      <c r="AH217" s="54"/>
      <c r="AI217" s="54"/>
    </row>
    <row r="218" spans="18:35" x14ac:dyDescent="0.2">
      <c r="R218" s="54"/>
      <c r="S218" s="54"/>
      <c r="T218" s="54"/>
      <c r="W218" s="54"/>
      <c r="X218" s="54"/>
      <c r="Y218" s="54"/>
      <c r="AB218" s="54"/>
      <c r="AC218" s="54"/>
      <c r="AD218" s="54"/>
      <c r="AG218" s="54"/>
      <c r="AH218" s="54"/>
      <c r="AI218" s="54"/>
    </row>
    <row r="219" spans="18:35" x14ac:dyDescent="0.2">
      <c r="R219" s="54"/>
      <c r="S219" s="54"/>
      <c r="T219" s="54"/>
      <c r="W219" s="54"/>
      <c r="X219" s="54"/>
      <c r="Y219" s="54"/>
      <c r="AB219" s="54"/>
      <c r="AC219" s="54"/>
      <c r="AD219" s="54"/>
      <c r="AG219" s="54"/>
      <c r="AH219" s="54"/>
      <c r="AI219" s="54"/>
    </row>
    <row r="220" spans="18:35" x14ac:dyDescent="0.2">
      <c r="R220" s="54"/>
      <c r="S220" s="54"/>
      <c r="T220" s="54"/>
      <c r="W220" s="54"/>
      <c r="X220" s="54"/>
      <c r="Y220" s="54"/>
      <c r="AB220" s="54"/>
      <c r="AC220" s="54"/>
      <c r="AD220" s="54"/>
      <c r="AG220" s="54"/>
      <c r="AH220" s="54"/>
      <c r="AI220" s="54"/>
    </row>
    <row r="221" spans="18:35" x14ac:dyDescent="0.2">
      <c r="R221" s="54"/>
      <c r="S221" s="54"/>
      <c r="T221" s="54"/>
      <c r="W221" s="54"/>
      <c r="X221" s="54"/>
      <c r="Y221" s="54"/>
      <c r="AB221" s="54"/>
      <c r="AC221" s="54"/>
      <c r="AD221" s="54"/>
      <c r="AG221" s="54"/>
      <c r="AH221" s="54"/>
      <c r="AI221" s="54"/>
    </row>
    <row r="222" spans="18:35" x14ac:dyDescent="0.2">
      <c r="R222" s="54"/>
      <c r="S222" s="54"/>
      <c r="T222" s="54"/>
      <c r="W222" s="54"/>
      <c r="X222" s="54"/>
      <c r="Y222" s="54"/>
      <c r="AB222" s="54"/>
      <c r="AC222" s="54"/>
      <c r="AD222" s="54"/>
      <c r="AG222" s="54"/>
      <c r="AH222" s="54"/>
      <c r="AI222" s="54"/>
    </row>
    <row r="223" spans="18:35" x14ac:dyDescent="0.2">
      <c r="R223" s="54"/>
      <c r="S223" s="54"/>
      <c r="T223" s="54"/>
      <c r="W223" s="54"/>
      <c r="X223" s="54"/>
      <c r="Y223" s="54"/>
      <c r="AB223" s="54"/>
      <c r="AC223" s="54"/>
      <c r="AD223" s="54"/>
      <c r="AG223" s="54"/>
      <c r="AH223" s="54"/>
      <c r="AI223" s="54"/>
    </row>
    <row r="224" spans="18:35" x14ac:dyDescent="0.2">
      <c r="R224" s="54"/>
      <c r="S224" s="54"/>
      <c r="T224" s="54"/>
      <c r="W224" s="54"/>
      <c r="X224" s="54"/>
      <c r="Y224" s="54"/>
      <c r="AB224" s="54"/>
      <c r="AC224" s="54"/>
      <c r="AD224" s="54"/>
      <c r="AG224" s="54"/>
      <c r="AH224" s="54"/>
      <c r="AI224" s="54"/>
    </row>
    <row r="225" spans="18:35" x14ac:dyDescent="0.2">
      <c r="R225" s="54"/>
      <c r="S225" s="54"/>
      <c r="T225" s="54"/>
      <c r="W225" s="54"/>
      <c r="X225" s="54"/>
      <c r="Y225" s="54"/>
      <c r="AB225" s="54"/>
      <c r="AC225" s="54"/>
      <c r="AD225" s="54"/>
      <c r="AG225" s="54"/>
      <c r="AH225" s="54"/>
      <c r="AI225" s="54"/>
    </row>
    <row r="226" spans="18:35" x14ac:dyDescent="0.2">
      <c r="R226" s="54"/>
      <c r="S226" s="54"/>
      <c r="T226" s="54"/>
      <c r="W226" s="54"/>
      <c r="X226" s="54"/>
      <c r="Y226" s="54"/>
      <c r="AB226" s="54"/>
      <c r="AC226" s="54"/>
      <c r="AD226" s="54"/>
      <c r="AG226" s="54"/>
      <c r="AH226" s="54"/>
      <c r="AI226" s="54"/>
    </row>
    <row r="227" spans="18:35" x14ac:dyDescent="0.2">
      <c r="R227" s="54"/>
      <c r="S227" s="54"/>
      <c r="T227" s="54"/>
      <c r="W227" s="54"/>
      <c r="X227" s="54"/>
      <c r="Y227" s="54"/>
      <c r="AB227" s="54"/>
      <c r="AC227" s="54"/>
      <c r="AD227" s="54"/>
      <c r="AG227" s="54"/>
      <c r="AH227" s="54"/>
      <c r="AI227" s="54"/>
    </row>
    <row r="228" spans="18:35" x14ac:dyDescent="0.2">
      <c r="R228" s="54"/>
      <c r="S228" s="54"/>
      <c r="T228" s="54"/>
      <c r="W228" s="54"/>
      <c r="X228" s="54"/>
      <c r="Y228" s="54"/>
      <c r="AB228" s="54"/>
      <c r="AC228" s="54"/>
      <c r="AD228" s="54"/>
      <c r="AG228" s="54"/>
      <c r="AH228" s="54"/>
      <c r="AI228" s="54"/>
    </row>
    <row r="229" spans="18:35" x14ac:dyDescent="0.2">
      <c r="R229" s="54"/>
      <c r="S229" s="54"/>
      <c r="T229" s="54"/>
      <c r="W229" s="54"/>
      <c r="X229" s="54"/>
      <c r="Y229" s="54"/>
      <c r="AB229" s="54"/>
      <c r="AC229" s="54"/>
      <c r="AD229" s="54"/>
      <c r="AG229" s="54"/>
      <c r="AH229" s="54"/>
      <c r="AI229" s="54"/>
    </row>
    <row r="230" spans="18:35" x14ac:dyDescent="0.2">
      <c r="R230" s="54"/>
      <c r="S230" s="54"/>
      <c r="T230" s="54"/>
      <c r="W230" s="54"/>
      <c r="X230" s="54"/>
      <c r="Y230" s="54"/>
      <c r="AB230" s="54"/>
      <c r="AC230" s="54"/>
      <c r="AD230" s="54"/>
      <c r="AG230" s="54"/>
      <c r="AH230" s="54"/>
      <c r="AI230" s="54"/>
    </row>
    <row r="231" spans="18:35" x14ac:dyDescent="0.2">
      <c r="R231" s="54"/>
      <c r="S231" s="54"/>
      <c r="T231" s="54"/>
      <c r="W231" s="54"/>
      <c r="X231" s="54"/>
      <c r="Y231" s="54"/>
      <c r="AB231" s="54"/>
      <c r="AC231" s="54"/>
      <c r="AD231" s="54"/>
      <c r="AG231" s="54"/>
      <c r="AH231" s="54"/>
      <c r="AI231" s="54"/>
    </row>
    <row r="232" spans="18:35" x14ac:dyDescent="0.2">
      <c r="R232" s="54"/>
      <c r="S232" s="54"/>
      <c r="T232" s="54"/>
      <c r="W232" s="54"/>
      <c r="X232" s="54"/>
      <c r="Y232" s="54"/>
      <c r="AB232" s="54"/>
      <c r="AC232" s="54"/>
      <c r="AD232" s="54"/>
      <c r="AG232" s="54"/>
      <c r="AH232" s="54"/>
      <c r="AI232" s="54"/>
    </row>
    <row r="233" spans="18:35" x14ac:dyDescent="0.2">
      <c r="R233" s="54"/>
      <c r="S233" s="54"/>
      <c r="T233" s="54"/>
      <c r="W233" s="54"/>
      <c r="X233" s="54"/>
      <c r="Y233" s="54"/>
      <c r="AB233" s="54"/>
      <c r="AC233" s="54"/>
      <c r="AD233" s="54"/>
      <c r="AG233" s="54"/>
      <c r="AH233" s="54"/>
      <c r="AI233" s="54"/>
    </row>
    <row r="234" spans="18:35" x14ac:dyDescent="0.2">
      <c r="R234" s="54"/>
      <c r="S234" s="54"/>
      <c r="T234" s="54"/>
      <c r="W234" s="54"/>
      <c r="X234" s="54"/>
      <c r="Y234" s="54"/>
      <c r="AB234" s="54"/>
      <c r="AC234" s="54"/>
      <c r="AD234" s="54"/>
      <c r="AG234" s="54"/>
      <c r="AH234" s="54"/>
      <c r="AI234" s="54"/>
    </row>
    <row r="235" spans="18:35" x14ac:dyDescent="0.2">
      <c r="R235" s="54"/>
      <c r="S235" s="54"/>
      <c r="T235" s="54"/>
      <c r="W235" s="54"/>
      <c r="X235" s="54"/>
      <c r="Y235" s="54"/>
      <c r="AB235" s="54"/>
      <c r="AC235" s="54"/>
      <c r="AD235" s="54"/>
      <c r="AG235" s="54"/>
      <c r="AH235" s="54"/>
      <c r="AI235" s="54"/>
    </row>
    <row r="236" spans="18:35" x14ac:dyDescent="0.2">
      <c r="R236" s="54"/>
      <c r="S236" s="54"/>
      <c r="T236" s="54"/>
      <c r="W236" s="54"/>
      <c r="X236" s="54"/>
      <c r="Y236" s="54"/>
      <c r="AB236" s="54"/>
      <c r="AC236" s="54"/>
      <c r="AD236" s="54"/>
      <c r="AG236" s="54"/>
      <c r="AH236" s="54"/>
      <c r="AI236" s="54"/>
    </row>
    <row r="237" spans="18:35" x14ac:dyDescent="0.2">
      <c r="R237" s="54"/>
      <c r="S237" s="54"/>
      <c r="T237" s="54"/>
      <c r="W237" s="54"/>
      <c r="X237" s="54"/>
      <c r="Y237" s="54"/>
      <c r="AB237" s="54"/>
      <c r="AC237" s="54"/>
      <c r="AD237" s="54"/>
      <c r="AG237" s="54"/>
      <c r="AH237" s="54"/>
      <c r="AI237" s="54"/>
    </row>
    <row r="238" spans="18:35" x14ac:dyDescent="0.2">
      <c r="R238" s="54"/>
      <c r="S238" s="54"/>
      <c r="T238" s="54"/>
      <c r="W238" s="54"/>
      <c r="X238" s="54"/>
      <c r="Y238" s="54"/>
      <c r="AB238" s="54"/>
      <c r="AC238" s="54"/>
      <c r="AD238" s="54"/>
      <c r="AG238" s="54"/>
      <c r="AH238" s="54"/>
      <c r="AI238" s="54"/>
    </row>
    <row r="239" spans="18:35" x14ac:dyDescent="0.2">
      <c r="R239" s="54"/>
      <c r="S239" s="54"/>
      <c r="T239" s="54"/>
      <c r="W239" s="54"/>
      <c r="X239" s="54"/>
      <c r="Y239" s="54"/>
      <c r="AB239" s="54"/>
      <c r="AC239" s="54"/>
      <c r="AD239" s="54"/>
      <c r="AG239" s="54"/>
      <c r="AH239" s="54"/>
      <c r="AI239" s="54"/>
    </row>
    <row r="240" spans="18:35" x14ac:dyDescent="0.2">
      <c r="R240" s="54"/>
      <c r="S240" s="54"/>
      <c r="T240" s="54"/>
      <c r="W240" s="54"/>
      <c r="X240" s="54"/>
      <c r="Y240" s="54"/>
      <c r="AB240" s="54"/>
      <c r="AC240" s="54"/>
      <c r="AD240" s="54"/>
      <c r="AG240" s="54"/>
      <c r="AH240" s="54"/>
      <c r="AI240" s="54"/>
    </row>
    <row r="241" spans="18:35" x14ac:dyDescent="0.2">
      <c r="R241" s="54"/>
      <c r="S241" s="54"/>
      <c r="T241" s="54"/>
      <c r="W241" s="54"/>
      <c r="X241" s="54"/>
      <c r="Y241" s="54"/>
      <c r="AB241" s="54"/>
      <c r="AC241" s="54"/>
      <c r="AD241" s="54"/>
      <c r="AG241" s="54"/>
      <c r="AH241" s="54"/>
      <c r="AI241" s="54"/>
    </row>
    <row r="242" spans="18:35" x14ac:dyDescent="0.2">
      <c r="R242" s="54"/>
      <c r="S242" s="54"/>
      <c r="T242" s="54"/>
      <c r="W242" s="54"/>
      <c r="X242" s="54"/>
      <c r="Y242" s="54"/>
      <c r="AB242" s="54"/>
      <c r="AC242" s="54"/>
      <c r="AD242" s="54"/>
      <c r="AG242" s="54"/>
      <c r="AH242" s="54"/>
      <c r="AI242" s="54"/>
    </row>
    <row r="243" spans="18:35" x14ac:dyDescent="0.2">
      <c r="R243" s="54"/>
      <c r="S243" s="54"/>
      <c r="T243" s="54"/>
      <c r="W243" s="54"/>
      <c r="X243" s="54"/>
      <c r="Y243" s="54"/>
      <c r="AB243" s="54"/>
      <c r="AC243" s="54"/>
      <c r="AD243" s="54"/>
      <c r="AG243" s="54"/>
      <c r="AH243" s="54"/>
      <c r="AI243" s="54"/>
    </row>
    <row r="244" spans="18:35" x14ac:dyDescent="0.2">
      <c r="R244" s="54"/>
      <c r="S244" s="54"/>
      <c r="T244" s="54"/>
      <c r="W244" s="54"/>
      <c r="X244" s="54"/>
      <c r="Y244" s="54"/>
      <c r="AB244" s="54"/>
      <c r="AC244" s="54"/>
      <c r="AD244" s="54"/>
      <c r="AG244" s="54"/>
      <c r="AH244" s="54"/>
      <c r="AI244" s="54"/>
    </row>
    <row r="245" spans="18:35" x14ac:dyDescent="0.2">
      <c r="R245" s="54"/>
      <c r="S245" s="54"/>
      <c r="T245" s="54"/>
      <c r="W245" s="54"/>
      <c r="X245" s="54"/>
      <c r="Y245" s="54"/>
      <c r="AB245" s="54"/>
      <c r="AC245" s="54"/>
      <c r="AD245" s="54"/>
      <c r="AG245" s="54"/>
      <c r="AH245" s="54"/>
      <c r="AI245" s="54"/>
    </row>
    <row r="246" spans="18:35" x14ac:dyDescent="0.2">
      <c r="R246" s="54"/>
      <c r="S246" s="54"/>
      <c r="T246" s="54"/>
      <c r="W246" s="54"/>
      <c r="X246" s="54"/>
      <c r="Y246" s="54"/>
      <c r="AB246" s="54"/>
      <c r="AC246" s="54"/>
      <c r="AD246" s="54"/>
      <c r="AG246" s="54"/>
      <c r="AH246" s="54"/>
      <c r="AI246" s="54"/>
    </row>
    <row r="247" spans="18:35" x14ac:dyDescent="0.2">
      <c r="R247" s="54"/>
      <c r="S247" s="54"/>
      <c r="T247" s="54"/>
      <c r="W247" s="54"/>
      <c r="X247" s="54"/>
      <c r="Y247" s="54"/>
      <c r="AB247" s="54"/>
      <c r="AC247" s="54"/>
      <c r="AD247" s="54"/>
      <c r="AG247" s="54"/>
      <c r="AH247" s="54"/>
      <c r="AI247" s="54"/>
    </row>
    <row r="248" spans="18:35" x14ac:dyDescent="0.2">
      <c r="R248" s="54"/>
      <c r="S248" s="54"/>
      <c r="T248" s="54"/>
      <c r="W248" s="54"/>
      <c r="X248" s="54"/>
      <c r="Y248" s="54"/>
      <c r="AB248" s="54"/>
      <c r="AC248" s="54"/>
      <c r="AD248" s="54"/>
      <c r="AG248" s="54"/>
      <c r="AH248" s="54"/>
      <c r="AI248" s="54"/>
    </row>
    <row r="249" spans="18:35" x14ac:dyDescent="0.2">
      <c r="R249" s="54"/>
      <c r="S249" s="54"/>
      <c r="T249" s="54"/>
      <c r="W249" s="54"/>
      <c r="X249" s="54"/>
      <c r="Y249" s="54"/>
      <c r="AB249" s="54"/>
      <c r="AC249" s="54"/>
      <c r="AD249" s="54"/>
      <c r="AG249" s="54"/>
      <c r="AH249" s="54"/>
      <c r="AI249" s="54"/>
    </row>
    <row r="250" spans="18:35" x14ac:dyDescent="0.2">
      <c r="R250" s="54"/>
      <c r="S250" s="54"/>
      <c r="T250" s="54"/>
      <c r="W250" s="54"/>
      <c r="X250" s="54"/>
      <c r="Y250" s="54"/>
      <c r="AB250" s="54"/>
      <c r="AC250" s="54"/>
      <c r="AD250" s="54"/>
      <c r="AG250" s="54"/>
      <c r="AH250" s="54"/>
      <c r="AI250" s="54"/>
    </row>
    <row r="251" spans="18:35" x14ac:dyDescent="0.2">
      <c r="R251" s="54"/>
      <c r="S251" s="54"/>
      <c r="T251" s="54"/>
      <c r="W251" s="54"/>
      <c r="X251" s="54"/>
      <c r="Y251" s="54"/>
      <c r="AB251" s="54"/>
      <c r="AC251" s="54"/>
      <c r="AD251" s="54"/>
      <c r="AG251" s="54"/>
      <c r="AH251" s="54"/>
      <c r="AI251" s="54"/>
    </row>
    <row r="252" spans="18:35" x14ac:dyDescent="0.2">
      <c r="R252" s="54"/>
      <c r="S252" s="54"/>
      <c r="T252" s="54"/>
      <c r="W252" s="54"/>
      <c r="X252" s="54"/>
      <c r="Y252" s="54"/>
      <c r="AB252" s="54"/>
      <c r="AC252" s="54"/>
      <c r="AD252" s="54"/>
      <c r="AG252" s="54"/>
      <c r="AH252" s="54"/>
      <c r="AI252" s="54"/>
    </row>
    <row r="253" spans="18:35" x14ac:dyDescent="0.2">
      <c r="R253" s="54"/>
      <c r="S253" s="54"/>
      <c r="T253" s="54"/>
      <c r="W253" s="54"/>
      <c r="X253" s="54"/>
      <c r="Y253" s="54"/>
      <c r="AB253" s="54"/>
      <c r="AC253" s="54"/>
      <c r="AD253" s="54"/>
      <c r="AG253" s="54"/>
      <c r="AH253" s="54"/>
      <c r="AI253" s="54"/>
    </row>
    <row r="254" spans="18:35" x14ac:dyDescent="0.2">
      <c r="R254" s="54"/>
      <c r="S254" s="54"/>
      <c r="T254" s="54"/>
      <c r="W254" s="54"/>
      <c r="X254" s="54"/>
      <c r="Y254" s="54"/>
      <c r="AB254" s="54"/>
      <c r="AC254" s="54"/>
      <c r="AD254" s="54"/>
      <c r="AG254" s="54"/>
      <c r="AH254" s="54"/>
      <c r="AI254" s="54"/>
    </row>
    <row r="255" spans="18:35" x14ac:dyDescent="0.2">
      <c r="R255" s="54"/>
      <c r="S255" s="54"/>
      <c r="T255" s="54"/>
      <c r="W255" s="54"/>
      <c r="X255" s="54"/>
      <c r="Y255" s="54"/>
      <c r="AB255" s="54"/>
      <c r="AC255" s="54"/>
      <c r="AD255" s="54"/>
      <c r="AG255" s="54"/>
      <c r="AH255" s="54"/>
      <c r="AI255" s="54"/>
    </row>
    <row r="256" spans="18:35" x14ac:dyDescent="0.2">
      <c r="R256" s="54"/>
      <c r="S256" s="54"/>
      <c r="T256" s="54"/>
      <c r="W256" s="54"/>
      <c r="X256" s="54"/>
      <c r="Y256" s="54"/>
      <c r="AB256" s="54"/>
      <c r="AC256" s="54"/>
      <c r="AD256" s="54"/>
      <c r="AG256" s="54"/>
      <c r="AH256" s="54"/>
      <c r="AI256" s="54"/>
    </row>
    <row r="257" spans="18:35" x14ac:dyDescent="0.2">
      <c r="R257" s="54"/>
      <c r="S257" s="54"/>
      <c r="T257" s="54"/>
      <c r="W257" s="54"/>
      <c r="X257" s="54"/>
      <c r="Y257" s="54"/>
      <c r="AB257" s="54"/>
      <c r="AC257" s="54"/>
      <c r="AD257" s="54"/>
      <c r="AG257" s="54"/>
      <c r="AH257" s="54"/>
      <c r="AI257" s="54"/>
    </row>
    <row r="258" spans="18:35" x14ac:dyDescent="0.2">
      <c r="R258" s="54"/>
      <c r="S258" s="54"/>
      <c r="T258" s="54"/>
      <c r="W258" s="54"/>
      <c r="X258" s="54"/>
      <c r="Y258" s="54"/>
      <c r="AB258" s="54"/>
      <c r="AC258" s="54"/>
      <c r="AD258" s="54"/>
      <c r="AG258" s="54"/>
      <c r="AH258" s="54"/>
      <c r="AI258" s="54"/>
    </row>
    <row r="259" spans="18:35" x14ac:dyDescent="0.2">
      <c r="R259" s="54"/>
      <c r="S259" s="54"/>
      <c r="T259" s="54"/>
      <c r="W259" s="54"/>
      <c r="X259" s="54"/>
      <c r="Y259" s="54"/>
      <c r="AB259" s="54"/>
      <c r="AC259" s="54"/>
      <c r="AD259" s="54"/>
      <c r="AG259" s="54"/>
      <c r="AH259" s="54"/>
      <c r="AI259" s="54"/>
    </row>
    <row r="260" spans="18:35" x14ac:dyDescent="0.2">
      <c r="R260" s="54"/>
      <c r="S260" s="54"/>
      <c r="T260" s="54"/>
      <c r="W260" s="54"/>
      <c r="X260" s="54"/>
      <c r="Y260" s="54"/>
      <c r="AB260" s="54"/>
      <c r="AC260" s="54"/>
      <c r="AD260" s="54"/>
      <c r="AG260" s="54"/>
      <c r="AH260" s="54"/>
      <c r="AI260" s="54"/>
    </row>
    <row r="261" spans="18:35" x14ac:dyDescent="0.2">
      <c r="R261" s="54"/>
      <c r="S261" s="54"/>
      <c r="T261" s="54"/>
      <c r="W261" s="54"/>
      <c r="X261" s="54"/>
      <c r="Y261" s="54"/>
      <c r="AB261" s="54"/>
      <c r="AC261" s="54"/>
      <c r="AD261" s="54"/>
      <c r="AG261" s="54"/>
      <c r="AH261" s="54"/>
      <c r="AI261" s="54"/>
    </row>
    <row r="262" spans="18:35" x14ac:dyDescent="0.2">
      <c r="R262" s="54"/>
      <c r="S262" s="54"/>
      <c r="T262" s="54"/>
      <c r="W262" s="54"/>
      <c r="X262" s="54"/>
      <c r="Y262" s="54"/>
      <c r="AB262" s="54"/>
      <c r="AC262" s="54"/>
      <c r="AD262" s="54"/>
      <c r="AG262" s="54"/>
      <c r="AH262" s="54"/>
      <c r="AI262" s="54"/>
    </row>
    <row r="263" spans="18:35" x14ac:dyDescent="0.2">
      <c r="R263" s="54"/>
      <c r="S263" s="54"/>
      <c r="T263" s="54"/>
      <c r="W263" s="54"/>
      <c r="X263" s="54"/>
      <c r="Y263" s="54"/>
      <c r="AB263" s="54"/>
      <c r="AC263" s="54"/>
      <c r="AD263" s="54"/>
      <c r="AG263" s="54"/>
      <c r="AH263" s="54"/>
      <c r="AI263" s="54"/>
    </row>
    <row r="264" spans="18:35" x14ac:dyDescent="0.2">
      <c r="R264" s="54"/>
      <c r="S264" s="54"/>
      <c r="T264" s="54"/>
      <c r="W264" s="54"/>
      <c r="X264" s="54"/>
      <c r="Y264" s="54"/>
      <c r="AB264" s="54"/>
      <c r="AC264" s="54"/>
      <c r="AD264" s="54"/>
      <c r="AG264" s="54"/>
      <c r="AH264" s="54"/>
      <c r="AI264" s="54"/>
    </row>
    <row r="265" spans="18:35" x14ac:dyDescent="0.2">
      <c r="R265" s="54"/>
      <c r="S265" s="54"/>
      <c r="T265" s="54"/>
      <c r="W265" s="54"/>
      <c r="X265" s="54"/>
      <c r="Y265" s="54"/>
      <c r="AB265" s="54"/>
      <c r="AC265" s="54"/>
      <c r="AD265" s="54"/>
      <c r="AG265" s="54"/>
      <c r="AH265" s="54"/>
      <c r="AI265" s="54"/>
    </row>
    <row r="266" spans="18:35" x14ac:dyDescent="0.2">
      <c r="R266" s="54"/>
      <c r="S266" s="54"/>
      <c r="T266" s="54"/>
      <c r="W266" s="54"/>
      <c r="X266" s="54"/>
      <c r="Y266" s="54"/>
      <c r="AB266" s="54"/>
      <c r="AC266" s="54"/>
      <c r="AD266" s="54"/>
      <c r="AG266" s="54"/>
      <c r="AH266" s="54"/>
      <c r="AI266" s="54"/>
    </row>
    <row r="267" spans="18:35" x14ac:dyDescent="0.2">
      <c r="R267" s="54"/>
      <c r="S267" s="54"/>
      <c r="T267" s="54"/>
      <c r="W267" s="54"/>
      <c r="X267" s="54"/>
      <c r="Y267" s="54"/>
      <c r="AB267" s="54"/>
      <c r="AC267" s="54"/>
      <c r="AD267" s="54"/>
      <c r="AG267" s="54"/>
      <c r="AH267" s="54"/>
      <c r="AI267" s="54"/>
    </row>
    <row r="268" spans="18:35" x14ac:dyDescent="0.2">
      <c r="R268" s="54"/>
      <c r="S268" s="54"/>
      <c r="T268" s="54"/>
      <c r="W268" s="54"/>
      <c r="X268" s="54"/>
      <c r="Y268" s="54"/>
      <c r="AB268" s="54"/>
      <c r="AC268" s="54"/>
      <c r="AD268" s="54"/>
      <c r="AG268" s="54"/>
      <c r="AH268" s="54"/>
      <c r="AI268" s="54"/>
    </row>
    <row r="269" spans="18:35" x14ac:dyDescent="0.2">
      <c r="R269" s="54"/>
      <c r="S269" s="54"/>
      <c r="T269" s="54"/>
      <c r="W269" s="54"/>
      <c r="X269" s="54"/>
      <c r="Y269" s="54"/>
      <c r="AB269" s="54"/>
      <c r="AC269" s="54"/>
      <c r="AD269" s="54"/>
      <c r="AG269" s="54"/>
      <c r="AH269" s="54"/>
      <c r="AI269" s="54"/>
    </row>
    <row r="270" spans="18:35" x14ac:dyDescent="0.2">
      <c r="R270" s="54"/>
      <c r="S270" s="54"/>
      <c r="T270" s="54"/>
      <c r="W270" s="54"/>
      <c r="X270" s="54"/>
      <c r="Y270" s="54"/>
      <c r="AB270" s="54"/>
      <c r="AC270" s="54"/>
      <c r="AD270" s="54"/>
      <c r="AG270" s="54"/>
      <c r="AH270" s="54"/>
      <c r="AI270" s="54"/>
    </row>
    <row r="271" spans="18:35" x14ac:dyDescent="0.2">
      <c r="R271" s="54"/>
      <c r="S271" s="54"/>
      <c r="T271" s="54"/>
      <c r="W271" s="54"/>
      <c r="X271" s="54"/>
      <c r="Y271" s="54"/>
      <c r="AB271" s="54"/>
      <c r="AC271" s="54"/>
      <c r="AD271" s="54"/>
      <c r="AG271" s="54"/>
      <c r="AH271" s="54"/>
      <c r="AI271" s="54"/>
    </row>
    <row r="272" spans="18:35" x14ac:dyDescent="0.2">
      <c r="R272" s="54"/>
      <c r="S272" s="54"/>
      <c r="T272" s="54"/>
      <c r="W272" s="54"/>
      <c r="X272" s="54"/>
      <c r="Y272" s="54"/>
      <c r="AB272" s="54"/>
      <c r="AC272" s="54"/>
      <c r="AD272" s="54"/>
      <c r="AG272" s="54"/>
      <c r="AH272" s="54"/>
      <c r="AI272" s="54"/>
    </row>
    <row r="273" spans="18:35" x14ac:dyDescent="0.2">
      <c r="R273" s="54"/>
      <c r="S273" s="54"/>
      <c r="T273" s="54"/>
      <c r="W273" s="54"/>
      <c r="X273" s="54"/>
      <c r="Y273" s="54"/>
      <c r="AB273" s="54"/>
      <c r="AC273" s="54"/>
      <c r="AD273" s="54"/>
      <c r="AG273" s="54"/>
      <c r="AH273" s="54"/>
      <c r="AI273" s="54"/>
    </row>
    <row r="274" spans="18:35" x14ac:dyDescent="0.2">
      <c r="R274" s="54"/>
      <c r="S274" s="54"/>
      <c r="T274" s="54"/>
      <c r="W274" s="54"/>
      <c r="X274" s="54"/>
      <c r="Y274" s="54"/>
      <c r="AB274" s="54"/>
      <c r="AC274" s="54"/>
      <c r="AD274" s="54"/>
      <c r="AG274" s="54"/>
      <c r="AH274" s="54"/>
      <c r="AI274" s="54"/>
    </row>
    <row r="275" spans="18:35" x14ac:dyDescent="0.2">
      <c r="R275" s="54"/>
      <c r="S275" s="54"/>
      <c r="T275" s="54"/>
      <c r="W275" s="54"/>
      <c r="X275" s="54"/>
      <c r="Y275" s="54"/>
      <c r="AB275" s="54"/>
      <c r="AC275" s="54"/>
      <c r="AD275" s="54"/>
      <c r="AG275" s="54"/>
      <c r="AH275" s="54"/>
      <c r="AI275" s="54"/>
    </row>
    <row r="276" spans="18:35" x14ac:dyDescent="0.2">
      <c r="R276" s="54"/>
      <c r="S276" s="54"/>
      <c r="T276" s="54"/>
      <c r="W276" s="54"/>
      <c r="X276" s="54"/>
      <c r="Y276" s="54"/>
      <c r="AB276" s="54"/>
      <c r="AC276" s="54"/>
      <c r="AD276" s="54"/>
      <c r="AG276" s="54"/>
      <c r="AH276" s="54"/>
      <c r="AI276" s="54"/>
    </row>
    <row r="277" spans="18:35" x14ac:dyDescent="0.2">
      <c r="R277" s="54"/>
      <c r="S277" s="54"/>
      <c r="T277" s="54"/>
      <c r="W277" s="54"/>
      <c r="X277" s="54"/>
      <c r="Y277" s="54"/>
      <c r="AB277" s="54"/>
      <c r="AC277" s="54"/>
      <c r="AD277" s="54"/>
      <c r="AG277" s="54"/>
      <c r="AH277" s="54"/>
      <c r="AI277" s="54"/>
    </row>
    <row r="278" spans="18:35" x14ac:dyDescent="0.2">
      <c r="R278" s="54"/>
      <c r="S278" s="54"/>
      <c r="T278" s="54"/>
      <c r="W278" s="54"/>
      <c r="X278" s="54"/>
      <c r="Y278" s="54"/>
      <c r="AB278" s="54"/>
      <c r="AC278" s="54"/>
      <c r="AD278" s="54"/>
      <c r="AG278" s="54"/>
      <c r="AH278" s="54"/>
      <c r="AI278" s="54"/>
    </row>
    <row r="279" spans="18:35" x14ac:dyDescent="0.2">
      <c r="R279" s="54"/>
      <c r="S279" s="54"/>
      <c r="T279" s="54"/>
      <c r="W279" s="54"/>
      <c r="X279" s="54"/>
      <c r="Y279" s="54"/>
      <c r="AB279" s="54"/>
      <c r="AC279" s="54"/>
      <c r="AD279" s="54"/>
      <c r="AG279" s="54"/>
      <c r="AH279" s="54"/>
      <c r="AI279" s="54"/>
    </row>
    <row r="280" spans="18:35" x14ac:dyDescent="0.2">
      <c r="R280" s="54"/>
      <c r="S280" s="54"/>
      <c r="T280" s="54"/>
      <c r="W280" s="54"/>
      <c r="X280" s="54"/>
      <c r="Y280" s="54"/>
      <c r="AB280" s="54"/>
      <c r="AC280" s="54"/>
      <c r="AD280" s="54"/>
      <c r="AG280" s="54"/>
      <c r="AH280" s="54"/>
      <c r="AI280" s="54"/>
    </row>
    <row r="281" spans="18:35" x14ac:dyDescent="0.2">
      <c r="R281" s="54"/>
      <c r="S281" s="54"/>
      <c r="T281" s="54"/>
      <c r="W281" s="54"/>
      <c r="X281" s="54"/>
      <c r="Y281" s="54"/>
      <c r="AB281" s="54"/>
      <c r="AC281" s="54"/>
      <c r="AD281" s="54"/>
      <c r="AG281" s="54"/>
      <c r="AH281" s="54"/>
      <c r="AI281" s="54"/>
    </row>
    <row r="282" spans="18:35" x14ac:dyDescent="0.2">
      <c r="R282" s="54"/>
      <c r="S282" s="54"/>
      <c r="T282" s="54"/>
      <c r="W282" s="54"/>
      <c r="X282" s="54"/>
      <c r="Y282" s="54"/>
      <c r="AB282" s="54"/>
      <c r="AC282" s="54"/>
      <c r="AD282" s="54"/>
      <c r="AG282" s="54"/>
      <c r="AH282" s="54"/>
      <c r="AI282" s="54"/>
    </row>
    <row r="283" spans="18:35" x14ac:dyDescent="0.2">
      <c r="R283" s="54"/>
      <c r="S283" s="54"/>
      <c r="T283" s="54"/>
      <c r="W283" s="54"/>
      <c r="X283" s="54"/>
      <c r="Y283" s="54"/>
      <c r="AB283" s="54"/>
      <c r="AC283" s="54"/>
      <c r="AD283" s="54"/>
      <c r="AG283" s="54"/>
      <c r="AH283" s="54"/>
      <c r="AI283" s="54"/>
    </row>
    <row r="284" spans="18:35" x14ac:dyDescent="0.2">
      <c r="R284" s="54"/>
      <c r="S284" s="54"/>
      <c r="T284" s="54"/>
      <c r="W284" s="54"/>
      <c r="X284" s="54"/>
      <c r="Y284" s="54"/>
      <c r="AB284" s="54"/>
      <c r="AC284" s="54"/>
      <c r="AD284" s="54"/>
      <c r="AG284" s="54"/>
      <c r="AH284" s="54"/>
      <c r="AI284" s="54"/>
    </row>
    <row r="285" spans="18:35" x14ac:dyDescent="0.2">
      <c r="R285" s="54"/>
      <c r="S285" s="54"/>
      <c r="T285" s="54"/>
      <c r="W285" s="54"/>
      <c r="X285" s="54"/>
      <c r="Y285" s="54"/>
      <c r="AB285" s="54"/>
      <c r="AC285" s="54"/>
      <c r="AD285" s="54"/>
      <c r="AG285" s="54"/>
      <c r="AH285" s="54"/>
      <c r="AI285" s="54"/>
    </row>
    <row r="286" spans="18:35" x14ac:dyDescent="0.2">
      <c r="R286" s="54"/>
      <c r="S286" s="54"/>
      <c r="T286" s="54"/>
      <c r="W286" s="54"/>
      <c r="X286" s="54"/>
      <c r="Y286" s="54"/>
      <c r="AB286" s="54"/>
      <c r="AC286" s="54"/>
      <c r="AD286" s="54"/>
      <c r="AG286" s="54"/>
      <c r="AH286" s="54"/>
      <c r="AI286" s="54"/>
    </row>
    <row r="287" spans="18:35" x14ac:dyDescent="0.2">
      <c r="R287" s="54"/>
      <c r="S287" s="54"/>
      <c r="T287" s="54"/>
      <c r="W287" s="54"/>
      <c r="X287" s="54"/>
      <c r="Y287" s="54"/>
      <c r="AB287" s="54"/>
      <c r="AC287" s="54"/>
      <c r="AD287" s="54"/>
      <c r="AG287" s="54"/>
      <c r="AH287" s="54"/>
      <c r="AI287" s="54"/>
    </row>
    <row r="288" spans="18:35" x14ac:dyDescent="0.2">
      <c r="R288" s="54"/>
      <c r="S288" s="54"/>
      <c r="T288" s="54"/>
      <c r="W288" s="54"/>
      <c r="X288" s="54"/>
      <c r="Y288" s="54"/>
      <c r="AB288" s="54"/>
      <c r="AC288" s="54"/>
      <c r="AD288" s="54"/>
      <c r="AG288" s="54"/>
      <c r="AH288" s="54"/>
      <c r="AI288" s="54"/>
    </row>
    <row r="289" spans="18:35" x14ac:dyDescent="0.2">
      <c r="R289" s="54"/>
      <c r="S289" s="54"/>
      <c r="T289" s="54"/>
      <c r="W289" s="54"/>
      <c r="X289" s="54"/>
      <c r="Y289" s="54"/>
      <c r="AB289" s="54"/>
      <c r="AC289" s="54"/>
      <c r="AD289" s="54"/>
      <c r="AG289" s="54"/>
      <c r="AH289" s="54"/>
      <c r="AI289" s="54"/>
    </row>
    <row r="290" spans="18:35" x14ac:dyDescent="0.2">
      <c r="R290" s="54"/>
      <c r="S290" s="54"/>
      <c r="T290" s="54"/>
      <c r="W290" s="54"/>
      <c r="X290" s="54"/>
      <c r="Y290" s="54"/>
      <c r="AB290" s="54"/>
      <c r="AC290" s="54"/>
      <c r="AD290" s="54"/>
      <c r="AG290" s="54"/>
      <c r="AH290" s="54"/>
      <c r="AI290" s="54"/>
    </row>
    <row r="291" spans="18:35" x14ac:dyDescent="0.2">
      <c r="R291" s="54"/>
      <c r="S291" s="54"/>
      <c r="T291" s="54"/>
      <c r="W291" s="54"/>
      <c r="X291" s="54"/>
      <c r="Y291" s="54"/>
      <c r="AB291" s="54"/>
      <c r="AC291" s="54"/>
      <c r="AD291" s="54"/>
      <c r="AG291" s="54"/>
      <c r="AH291" s="54"/>
      <c r="AI291" s="54"/>
    </row>
    <row r="292" spans="18:35" x14ac:dyDescent="0.2">
      <c r="R292" s="54"/>
      <c r="S292" s="54"/>
      <c r="T292" s="54"/>
      <c r="W292" s="54"/>
      <c r="X292" s="54"/>
      <c r="Y292" s="54"/>
      <c r="AB292" s="54"/>
      <c r="AC292" s="54"/>
      <c r="AD292" s="54"/>
      <c r="AG292" s="54"/>
      <c r="AH292" s="54"/>
      <c r="AI292" s="54"/>
    </row>
    <row r="293" spans="18:35" x14ac:dyDescent="0.2">
      <c r="R293" s="54"/>
      <c r="S293" s="54"/>
      <c r="T293" s="54"/>
      <c r="W293" s="54"/>
      <c r="X293" s="54"/>
      <c r="Y293" s="54"/>
      <c r="AB293" s="54"/>
      <c r="AC293" s="54"/>
      <c r="AD293" s="54"/>
      <c r="AG293" s="54"/>
      <c r="AH293" s="54"/>
      <c r="AI293" s="54"/>
    </row>
    <row r="294" spans="18:35" x14ac:dyDescent="0.2">
      <c r="R294" s="54"/>
      <c r="S294" s="54"/>
      <c r="T294" s="54"/>
      <c r="W294" s="54"/>
      <c r="X294" s="54"/>
      <c r="Y294" s="54"/>
      <c r="AB294" s="54"/>
      <c r="AC294" s="54"/>
      <c r="AD294" s="54"/>
      <c r="AG294" s="54"/>
      <c r="AH294" s="54"/>
      <c r="AI294" s="54"/>
    </row>
    <row r="295" spans="18:35" x14ac:dyDescent="0.2">
      <c r="R295" s="54"/>
      <c r="S295" s="54"/>
      <c r="T295" s="54"/>
      <c r="W295" s="54"/>
      <c r="X295" s="54"/>
      <c r="Y295" s="54"/>
      <c r="AB295" s="54"/>
      <c r="AC295" s="54"/>
      <c r="AD295" s="54"/>
      <c r="AG295" s="54"/>
      <c r="AH295" s="54"/>
      <c r="AI295" s="54"/>
    </row>
    <row r="296" spans="18:35" x14ac:dyDescent="0.2">
      <c r="R296" s="54"/>
      <c r="S296" s="54"/>
      <c r="T296" s="54"/>
      <c r="W296" s="54"/>
      <c r="X296" s="54"/>
      <c r="Y296" s="54"/>
      <c r="AB296" s="54"/>
      <c r="AC296" s="54"/>
      <c r="AD296" s="54"/>
      <c r="AG296" s="54"/>
      <c r="AH296" s="54"/>
      <c r="AI296" s="54"/>
    </row>
    <row r="297" spans="18:35" x14ac:dyDescent="0.2">
      <c r="R297" s="54"/>
      <c r="S297" s="54"/>
      <c r="T297" s="54"/>
      <c r="W297" s="54"/>
      <c r="X297" s="54"/>
      <c r="Y297" s="54"/>
      <c r="AB297" s="54"/>
      <c r="AC297" s="54"/>
      <c r="AD297" s="54"/>
      <c r="AG297" s="54"/>
      <c r="AH297" s="54"/>
      <c r="AI297" s="54"/>
    </row>
    <row r="298" spans="18:35" x14ac:dyDescent="0.2">
      <c r="R298" s="54"/>
      <c r="S298" s="54"/>
      <c r="T298" s="54"/>
      <c r="W298" s="54"/>
      <c r="X298" s="54"/>
      <c r="Y298" s="54"/>
      <c r="AB298" s="54"/>
      <c r="AC298" s="54"/>
      <c r="AD298" s="54"/>
      <c r="AG298" s="54"/>
      <c r="AH298" s="54"/>
      <c r="AI298" s="54"/>
    </row>
    <row r="299" spans="18:35" x14ac:dyDescent="0.2">
      <c r="R299" s="54"/>
      <c r="S299" s="54"/>
      <c r="T299" s="54"/>
      <c r="W299" s="54"/>
      <c r="X299" s="54"/>
      <c r="Y299" s="54"/>
      <c r="AB299" s="54"/>
      <c r="AC299" s="54"/>
      <c r="AD299" s="54"/>
      <c r="AG299" s="54"/>
      <c r="AH299" s="54"/>
      <c r="AI299" s="54"/>
    </row>
    <row r="300" spans="18:35" x14ac:dyDescent="0.2">
      <c r="R300" s="54"/>
      <c r="S300" s="54"/>
      <c r="T300" s="54"/>
      <c r="W300" s="54"/>
      <c r="X300" s="54"/>
      <c r="Y300" s="54"/>
      <c r="AB300" s="54"/>
      <c r="AC300" s="54"/>
      <c r="AD300" s="54"/>
      <c r="AG300" s="54"/>
      <c r="AH300" s="54"/>
      <c r="AI300" s="54"/>
    </row>
    <row r="301" spans="18:35" x14ac:dyDescent="0.2">
      <c r="R301" s="54"/>
      <c r="S301" s="54"/>
      <c r="T301" s="54"/>
      <c r="W301" s="54"/>
      <c r="X301" s="54"/>
      <c r="Y301" s="54"/>
      <c r="AB301" s="54"/>
      <c r="AC301" s="54"/>
      <c r="AD301" s="54"/>
      <c r="AG301" s="54"/>
      <c r="AH301" s="54"/>
      <c r="AI301" s="54"/>
    </row>
    <row r="302" spans="18:35" x14ac:dyDescent="0.2">
      <c r="R302" s="54"/>
      <c r="S302" s="54"/>
      <c r="T302" s="54"/>
      <c r="W302" s="54"/>
      <c r="X302" s="54"/>
      <c r="Y302" s="54"/>
      <c r="AB302" s="54"/>
      <c r="AC302" s="54"/>
      <c r="AD302" s="54"/>
      <c r="AG302" s="54"/>
      <c r="AH302" s="54"/>
      <c r="AI302" s="54"/>
    </row>
    <row r="303" spans="18:35" x14ac:dyDescent="0.2">
      <c r="R303" s="54"/>
      <c r="S303" s="54"/>
      <c r="T303" s="54"/>
      <c r="W303" s="54"/>
      <c r="X303" s="54"/>
      <c r="Y303" s="54"/>
      <c r="AB303" s="54"/>
      <c r="AC303" s="54"/>
      <c r="AD303" s="54"/>
      <c r="AG303" s="54"/>
      <c r="AH303" s="54"/>
      <c r="AI303" s="54"/>
    </row>
    <row r="304" spans="18:35" x14ac:dyDescent="0.2">
      <c r="R304" s="54"/>
      <c r="S304" s="54"/>
      <c r="T304" s="54"/>
      <c r="W304" s="54"/>
      <c r="X304" s="54"/>
      <c r="Y304" s="54"/>
      <c r="AB304" s="54"/>
      <c r="AC304" s="54"/>
      <c r="AD304" s="54"/>
      <c r="AG304" s="54"/>
      <c r="AH304" s="54"/>
      <c r="AI304" s="54"/>
    </row>
    <row r="305" spans="18:35" x14ac:dyDescent="0.2">
      <c r="R305" s="54"/>
      <c r="S305" s="54"/>
      <c r="T305" s="54"/>
      <c r="W305" s="54"/>
      <c r="X305" s="54"/>
      <c r="Y305" s="54"/>
      <c r="AB305" s="54"/>
      <c r="AC305" s="54"/>
      <c r="AD305" s="54"/>
      <c r="AG305" s="54"/>
      <c r="AH305" s="54"/>
      <c r="AI305" s="54"/>
    </row>
    <row r="306" spans="18:35" x14ac:dyDescent="0.2">
      <c r="R306" s="54"/>
      <c r="S306" s="54"/>
      <c r="T306" s="54"/>
      <c r="W306" s="54"/>
      <c r="X306" s="54"/>
      <c r="Y306" s="54"/>
      <c r="AB306" s="54"/>
      <c r="AC306" s="54"/>
      <c r="AD306" s="54"/>
      <c r="AG306" s="54"/>
      <c r="AH306" s="54"/>
      <c r="AI306" s="54"/>
    </row>
    <row r="307" spans="18:35" x14ac:dyDescent="0.2">
      <c r="R307" s="54"/>
      <c r="S307" s="54"/>
      <c r="T307" s="54"/>
      <c r="W307" s="54"/>
      <c r="X307" s="54"/>
      <c r="Y307" s="54"/>
      <c r="AB307" s="54"/>
      <c r="AC307" s="54"/>
      <c r="AD307" s="54"/>
      <c r="AG307" s="54"/>
      <c r="AH307" s="54"/>
      <c r="AI307" s="54"/>
    </row>
    <row r="308" spans="18:35" x14ac:dyDescent="0.2">
      <c r="R308" s="54"/>
      <c r="S308" s="54"/>
      <c r="T308" s="54"/>
      <c r="W308" s="54"/>
      <c r="X308" s="54"/>
      <c r="Y308" s="54"/>
      <c r="AB308" s="54"/>
      <c r="AC308" s="54"/>
      <c r="AD308" s="54"/>
      <c r="AG308" s="54"/>
      <c r="AH308" s="54"/>
      <c r="AI308" s="54"/>
    </row>
    <row r="309" spans="18:35" x14ac:dyDescent="0.2">
      <c r="R309" s="54"/>
      <c r="S309" s="54"/>
      <c r="T309" s="54"/>
      <c r="W309" s="54"/>
      <c r="X309" s="54"/>
      <c r="Y309" s="54"/>
      <c r="AB309" s="54"/>
      <c r="AC309" s="54"/>
      <c r="AD309" s="54"/>
      <c r="AG309" s="54"/>
      <c r="AH309" s="54"/>
      <c r="AI309" s="54"/>
    </row>
    <row r="310" spans="18:35" x14ac:dyDescent="0.2">
      <c r="R310" s="54"/>
      <c r="S310" s="54"/>
      <c r="T310" s="54"/>
      <c r="W310" s="54"/>
      <c r="X310" s="54"/>
      <c r="Y310" s="54"/>
      <c r="AB310" s="54"/>
      <c r="AC310" s="54"/>
      <c r="AD310" s="54"/>
      <c r="AG310" s="54"/>
      <c r="AH310" s="54"/>
      <c r="AI310" s="54"/>
    </row>
    <row r="311" spans="18:35" x14ac:dyDescent="0.2">
      <c r="R311" s="54"/>
      <c r="S311" s="54"/>
      <c r="T311" s="54"/>
      <c r="W311" s="54"/>
      <c r="X311" s="54"/>
      <c r="Y311" s="54"/>
      <c r="AB311" s="54"/>
      <c r="AC311" s="54"/>
      <c r="AD311" s="54"/>
      <c r="AG311" s="54"/>
      <c r="AH311" s="54"/>
      <c r="AI311" s="54"/>
    </row>
    <row r="312" spans="18:35" x14ac:dyDescent="0.2">
      <c r="R312" s="54"/>
      <c r="S312" s="54"/>
      <c r="T312" s="54"/>
      <c r="W312" s="54"/>
      <c r="X312" s="54"/>
      <c r="Y312" s="54"/>
      <c r="AB312" s="54"/>
      <c r="AC312" s="54"/>
      <c r="AD312" s="54"/>
      <c r="AG312" s="54"/>
      <c r="AH312" s="54"/>
      <c r="AI312" s="54"/>
    </row>
    <row r="313" spans="18:35" x14ac:dyDescent="0.2">
      <c r="R313" s="54"/>
      <c r="S313" s="54"/>
      <c r="T313" s="54"/>
      <c r="W313" s="54"/>
      <c r="X313" s="54"/>
      <c r="Y313" s="54"/>
      <c r="AB313" s="54"/>
      <c r="AC313" s="54"/>
      <c r="AD313" s="54"/>
      <c r="AG313" s="54"/>
      <c r="AH313" s="54"/>
      <c r="AI313" s="54"/>
    </row>
    <row r="314" spans="18:35" x14ac:dyDescent="0.2">
      <c r="R314" s="54"/>
      <c r="S314" s="54"/>
      <c r="T314" s="54"/>
      <c r="W314" s="54"/>
      <c r="X314" s="54"/>
      <c r="Y314" s="54"/>
      <c r="AB314" s="54"/>
      <c r="AC314" s="54"/>
      <c r="AD314" s="54"/>
      <c r="AG314" s="54"/>
      <c r="AH314" s="54"/>
      <c r="AI314" s="54"/>
    </row>
    <row r="315" spans="18:35" x14ac:dyDescent="0.2">
      <c r="R315" s="54"/>
      <c r="S315" s="54"/>
      <c r="T315" s="54"/>
      <c r="W315" s="54"/>
      <c r="X315" s="54"/>
      <c r="Y315" s="54"/>
      <c r="AB315" s="54"/>
      <c r="AC315" s="54"/>
      <c r="AD315" s="54"/>
      <c r="AG315" s="54"/>
      <c r="AH315" s="54"/>
      <c r="AI315" s="54"/>
    </row>
    <row r="316" spans="18:35" x14ac:dyDescent="0.2">
      <c r="R316" s="54"/>
      <c r="S316" s="54"/>
      <c r="T316" s="54"/>
      <c r="W316" s="54"/>
      <c r="X316" s="54"/>
      <c r="Y316" s="54"/>
      <c r="AB316" s="54"/>
      <c r="AC316" s="54"/>
      <c r="AD316" s="54"/>
      <c r="AG316" s="54"/>
      <c r="AH316" s="54"/>
      <c r="AI316" s="54"/>
    </row>
    <row r="317" spans="18:35" x14ac:dyDescent="0.2">
      <c r="R317" s="54"/>
      <c r="S317" s="54"/>
      <c r="T317" s="54"/>
      <c r="W317" s="54"/>
      <c r="X317" s="54"/>
      <c r="Y317" s="54"/>
      <c r="AB317" s="54"/>
      <c r="AC317" s="54"/>
      <c r="AD317" s="54"/>
      <c r="AG317" s="54"/>
      <c r="AH317" s="54"/>
      <c r="AI317" s="54"/>
    </row>
    <row r="318" spans="18:35" x14ac:dyDescent="0.2">
      <c r="R318" s="54"/>
      <c r="S318" s="54"/>
      <c r="T318" s="54"/>
      <c r="W318" s="54"/>
      <c r="X318" s="54"/>
      <c r="Y318" s="54"/>
      <c r="AB318" s="54"/>
      <c r="AC318" s="54"/>
      <c r="AD318" s="54"/>
      <c r="AG318" s="54"/>
      <c r="AH318" s="54"/>
      <c r="AI318" s="54"/>
    </row>
    <row r="319" spans="18:35" x14ac:dyDescent="0.2">
      <c r="R319" s="54"/>
      <c r="S319" s="54"/>
      <c r="T319" s="54"/>
      <c r="W319" s="54"/>
      <c r="X319" s="54"/>
      <c r="Y319" s="54"/>
      <c r="AB319" s="54"/>
      <c r="AC319" s="54"/>
      <c r="AD319" s="54"/>
      <c r="AG319" s="54"/>
      <c r="AH319" s="54"/>
      <c r="AI319" s="54"/>
    </row>
    <row r="320" spans="18:35" x14ac:dyDescent="0.2">
      <c r="R320" s="54"/>
      <c r="S320" s="54"/>
      <c r="T320" s="54"/>
      <c r="W320" s="54"/>
      <c r="X320" s="54"/>
      <c r="Y320" s="54"/>
      <c r="AB320" s="54"/>
      <c r="AC320" s="54"/>
      <c r="AD320" s="54"/>
      <c r="AG320" s="54"/>
      <c r="AH320" s="54"/>
      <c r="AI320" s="54"/>
    </row>
    <row r="321" spans="18:35" x14ac:dyDescent="0.2">
      <c r="R321" s="54"/>
      <c r="S321" s="54"/>
      <c r="T321" s="54"/>
      <c r="W321" s="54"/>
      <c r="X321" s="54"/>
      <c r="Y321" s="54"/>
      <c r="AB321" s="54"/>
      <c r="AC321" s="54"/>
      <c r="AD321" s="54"/>
      <c r="AG321" s="54"/>
      <c r="AH321" s="54"/>
      <c r="AI321" s="54"/>
    </row>
    <row r="322" spans="18:35" x14ac:dyDescent="0.2">
      <c r="R322" s="54"/>
      <c r="S322" s="54"/>
      <c r="T322" s="54"/>
      <c r="W322" s="54"/>
      <c r="X322" s="54"/>
      <c r="Y322" s="54"/>
      <c r="AB322" s="54"/>
      <c r="AC322" s="54"/>
      <c r="AD322" s="54"/>
      <c r="AG322" s="54"/>
      <c r="AH322" s="54"/>
      <c r="AI322" s="54"/>
    </row>
    <row r="323" spans="18:35" x14ac:dyDescent="0.2">
      <c r="R323" s="54"/>
      <c r="S323" s="54"/>
      <c r="T323" s="54"/>
      <c r="W323" s="54"/>
      <c r="X323" s="54"/>
      <c r="Y323" s="54"/>
      <c r="AB323" s="54"/>
      <c r="AC323" s="54"/>
      <c r="AD323" s="54"/>
      <c r="AG323" s="54"/>
      <c r="AH323" s="54"/>
      <c r="AI323" s="54"/>
    </row>
    <row r="324" spans="18:35" x14ac:dyDescent="0.2">
      <c r="R324" s="54"/>
      <c r="S324" s="54"/>
      <c r="T324" s="54"/>
      <c r="W324" s="54"/>
      <c r="X324" s="54"/>
      <c r="Y324" s="54"/>
      <c r="AB324" s="54"/>
      <c r="AC324" s="54"/>
      <c r="AD324" s="54"/>
      <c r="AG324" s="54"/>
      <c r="AH324" s="54"/>
      <c r="AI324" s="54"/>
    </row>
    <row r="325" spans="18:35" x14ac:dyDescent="0.2">
      <c r="R325" s="54"/>
      <c r="S325" s="54"/>
      <c r="T325" s="54"/>
      <c r="W325" s="54"/>
      <c r="X325" s="54"/>
      <c r="Y325" s="54"/>
      <c r="AB325" s="54"/>
      <c r="AC325" s="54"/>
      <c r="AD325" s="54"/>
      <c r="AG325" s="54"/>
      <c r="AH325" s="54"/>
      <c r="AI325" s="54"/>
    </row>
    <row r="326" spans="18:35" x14ac:dyDescent="0.2">
      <c r="R326" s="54"/>
      <c r="S326" s="54"/>
      <c r="T326" s="54"/>
      <c r="W326" s="54"/>
      <c r="X326" s="54"/>
      <c r="Y326" s="54"/>
      <c r="AB326" s="54"/>
      <c r="AC326" s="54"/>
      <c r="AD326" s="54"/>
      <c r="AG326" s="54"/>
      <c r="AH326" s="54"/>
      <c r="AI326" s="54"/>
    </row>
    <row r="327" spans="18:35" x14ac:dyDescent="0.2">
      <c r="R327" s="54"/>
      <c r="S327" s="54"/>
      <c r="T327" s="54"/>
      <c r="W327" s="54"/>
      <c r="X327" s="54"/>
      <c r="Y327" s="54"/>
      <c r="AB327" s="54"/>
      <c r="AC327" s="54"/>
      <c r="AD327" s="54"/>
      <c r="AG327" s="54"/>
      <c r="AH327" s="54"/>
      <c r="AI327" s="54"/>
    </row>
    <row r="328" spans="18:35" x14ac:dyDescent="0.2">
      <c r="R328" s="54"/>
      <c r="S328" s="54"/>
      <c r="T328" s="54"/>
      <c r="W328" s="54"/>
      <c r="X328" s="54"/>
      <c r="Y328" s="54"/>
      <c r="AB328" s="54"/>
      <c r="AC328" s="54"/>
      <c r="AD328" s="54"/>
      <c r="AG328" s="54"/>
      <c r="AH328" s="54"/>
      <c r="AI328" s="54"/>
    </row>
    <row r="329" spans="18:35" x14ac:dyDescent="0.2">
      <c r="R329" s="54"/>
      <c r="S329" s="54"/>
      <c r="T329" s="54"/>
      <c r="W329" s="54"/>
      <c r="X329" s="54"/>
      <c r="Y329" s="54"/>
      <c r="AB329" s="54"/>
      <c r="AC329" s="54"/>
      <c r="AD329" s="54"/>
      <c r="AG329" s="54"/>
      <c r="AH329" s="54"/>
      <c r="AI329" s="54"/>
    </row>
    <row r="330" spans="18:35" x14ac:dyDescent="0.2">
      <c r="R330" s="54"/>
      <c r="S330" s="54"/>
      <c r="T330" s="54"/>
      <c r="W330" s="54"/>
      <c r="X330" s="54"/>
      <c r="Y330" s="54"/>
      <c r="AB330" s="54"/>
      <c r="AC330" s="54"/>
      <c r="AD330" s="54"/>
      <c r="AG330" s="54"/>
      <c r="AH330" s="54"/>
      <c r="AI330" s="54"/>
    </row>
    <row r="331" spans="18:35" x14ac:dyDescent="0.2">
      <c r="R331" s="54"/>
      <c r="S331" s="54"/>
      <c r="T331" s="54"/>
      <c r="W331" s="54"/>
      <c r="X331" s="54"/>
      <c r="Y331" s="54"/>
      <c r="AB331" s="54"/>
      <c r="AC331" s="54"/>
      <c r="AD331" s="54"/>
      <c r="AG331" s="54"/>
      <c r="AH331" s="54"/>
      <c r="AI331" s="54"/>
    </row>
    <row r="332" spans="18:35" x14ac:dyDescent="0.2">
      <c r="R332" s="54"/>
      <c r="S332" s="54"/>
      <c r="T332" s="54"/>
      <c r="W332" s="54"/>
      <c r="X332" s="54"/>
      <c r="Y332" s="54"/>
      <c r="AB332" s="54"/>
      <c r="AC332" s="54"/>
      <c r="AD332" s="54"/>
      <c r="AG332" s="54"/>
      <c r="AH332" s="54"/>
      <c r="AI332" s="54"/>
    </row>
    <row r="333" spans="18:35" x14ac:dyDescent="0.2">
      <c r="R333" s="54"/>
      <c r="S333" s="54"/>
      <c r="T333" s="54"/>
      <c r="W333" s="54"/>
      <c r="X333" s="54"/>
      <c r="Y333" s="54"/>
      <c r="AB333" s="54"/>
      <c r="AC333" s="54"/>
      <c r="AD333" s="54"/>
      <c r="AG333" s="54"/>
      <c r="AH333" s="54"/>
      <c r="AI333" s="54"/>
    </row>
    <row r="334" spans="18:35" x14ac:dyDescent="0.2">
      <c r="R334" s="54"/>
      <c r="S334" s="54"/>
      <c r="T334" s="54"/>
      <c r="W334" s="54"/>
      <c r="X334" s="54"/>
      <c r="Y334" s="54"/>
      <c r="AB334" s="54"/>
      <c r="AC334" s="54"/>
      <c r="AD334" s="54"/>
      <c r="AG334" s="54"/>
      <c r="AH334" s="54"/>
      <c r="AI334" s="54"/>
    </row>
    <row r="335" spans="18:35" x14ac:dyDescent="0.2">
      <c r="R335" s="54"/>
      <c r="S335" s="54"/>
      <c r="T335" s="54"/>
      <c r="W335" s="54"/>
      <c r="X335" s="54"/>
      <c r="Y335" s="54"/>
      <c r="AB335" s="54"/>
      <c r="AC335" s="54"/>
      <c r="AD335" s="54"/>
      <c r="AG335" s="54"/>
      <c r="AH335" s="54"/>
      <c r="AI335" s="54"/>
    </row>
    <row r="336" spans="18:35" x14ac:dyDescent="0.2">
      <c r="R336" s="54"/>
      <c r="S336" s="54"/>
      <c r="T336" s="54"/>
      <c r="W336" s="54"/>
      <c r="X336" s="54"/>
      <c r="Y336" s="54"/>
      <c r="AB336" s="54"/>
      <c r="AC336" s="54"/>
      <c r="AD336" s="54"/>
      <c r="AG336" s="54"/>
      <c r="AH336" s="54"/>
      <c r="AI336" s="54"/>
    </row>
    <row r="337" spans="18:35" x14ac:dyDescent="0.2">
      <c r="R337" s="54"/>
      <c r="S337" s="54"/>
      <c r="T337" s="54"/>
      <c r="W337" s="54"/>
      <c r="X337" s="54"/>
      <c r="Y337" s="54"/>
      <c r="AB337" s="54"/>
      <c r="AC337" s="54"/>
      <c r="AD337" s="54"/>
      <c r="AG337" s="54"/>
      <c r="AH337" s="54"/>
      <c r="AI337" s="54"/>
    </row>
    <row r="338" spans="18:35" x14ac:dyDescent="0.2">
      <c r="R338" s="54"/>
      <c r="S338" s="54"/>
      <c r="T338" s="54"/>
      <c r="W338" s="54"/>
      <c r="X338" s="54"/>
      <c r="Y338" s="54"/>
      <c r="AB338" s="54"/>
      <c r="AC338" s="54"/>
      <c r="AD338" s="54"/>
      <c r="AG338" s="54"/>
      <c r="AH338" s="54"/>
      <c r="AI338" s="54"/>
    </row>
    <row r="339" spans="18:35" x14ac:dyDescent="0.2">
      <c r="R339" s="54"/>
      <c r="S339" s="54"/>
      <c r="T339" s="54"/>
      <c r="W339" s="54"/>
      <c r="X339" s="54"/>
      <c r="Y339" s="54"/>
      <c r="AB339" s="54"/>
      <c r="AC339" s="54"/>
      <c r="AD339" s="54"/>
      <c r="AG339" s="54"/>
      <c r="AH339" s="54"/>
      <c r="AI339" s="54"/>
    </row>
    <row r="340" spans="18:35" x14ac:dyDescent="0.2">
      <c r="R340" s="54"/>
      <c r="S340" s="54"/>
      <c r="T340" s="54"/>
      <c r="W340" s="54"/>
      <c r="X340" s="54"/>
      <c r="Y340" s="54"/>
      <c r="AB340" s="54"/>
      <c r="AC340" s="54"/>
      <c r="AD340" s="54"/>
      <c r="AG340" s="54"/>
      <c r="AH340" s="54"/>
      <c r="AI340" s="54"/>
    </row>
    <row r="341" spans="18:35" x14ac:dyDescent="0.2">
      <c r="R341" s="54"/>
      <c r="S341" s="54"/>
      <c r="T341" s="54"/>
      <c r="W341" s="54"/>
      <c r="X341" s="54"/>
      <c r="Y341" s="54"/>
      <c r="AB341" s="54"/>
      <c r="AC341" s="54"/>
      <c r="AD341" s="54"/>
      <c r="AG341" s="54"/>
      <c r="AH341" s="54"/>
      <c r="AI341" s="54"/>
    </row>
    <row r="342" spans="18:35" x14ac:dyDescent="0.2">
      <c r="R342" s="54"/>
      <c r="S342" s="54"/>
      <c r="T342" s="54"/>
      <c r="W342" s="54"/>
      <c r="X342" s="54"/>
      <c r="Y342" s="54"/>
      <c r="AB342" s="54"/>
      <c r="AC342" s="54"/>
      <c r="AD342" s="54"/>
      <c r="AG342" s="54"/>
      <c r="AH342" s="54"/>
      <c r="AI342" s="54"/>
    </row>
    <row r="343" spans="18:35" x14ac:dyDescent="0.2">
      <c r="R343" s="54"/>
      <c r="S343" s="54"/>
      <c r="T343" s="54"/>
      <c r="W343" s="54"/>
      <c r="X343" s="54"/>
      <c r="Y343" s="54"/>
      <c r="AB343" s="54"/>
      <c r="AC343" s="54"/>
      <c r="AD343" s="54"/>
      <c r="AG343" s="54"/>
      <c r="AH343" s="54"/>
      <c r="AI343" s="54"/>
    </row>
    <row r="344" spans="18:35" x14ac:dyDescent="0.2">
      <c r="R344" s="54"/>
      <c r="S344" s="54"/>
      <c r="T344" s="54"/>
      <c r="W344" s="54"/>
      <c r="X344" s="54"/>
      <c r="Y344" s="54"/>
      <c r="AB344" s="54"/>
      <c r="AC344" s="54"/>
      <c r="AD344" s="54"/>
      <c r="AG344" s="54"/>
      <c r="AH344" s="54"/>
      <c r="AI344" s="54"/>
    </row>
    <row r="345" spans="18:35" x14ac:dyDescent="0.2">
      <c r="R345" s="54"/>
      <c r="S345" s="54"/>
      <c r="T345" s="54"/>
      <c r="W345" s="54"/>
      <c r="X345" s="54"/>
      <c r="Y345" s="54"/>
      <c r="AB345" s="54"/>
      <c r="AC345" s="54"/>
      <c r="AD345" s="54"/>
      <c r="AG345" s="54"/>
      <c r="AH345" s="54"/>
      <c r="AI345" s="54"/>
    </row>
    <row r="346" spans="18:35" x14ac:dyDescent="0.2">
      <c r="R346" s="54"/>
      <c r="S346" s="54"/>
      <c r="T346" s="54"/>
      <c r="W346" s="54"/>
      <c r="X346" s="54"/>
      <c r="Y346" s="54"/>
      <c r="AB346" s="54"/>
      <c r="AC346" s="54"/>
      <c r="AD346" s="54"/>
      <c r="AG346" s="54"/>
      <c r="AH346" s="54"/>
      <c r="AI346" s="54"/>
    </row>
    <row r="347" spans="18:35" x14ac:dyDescent="0.2">
      <c r="R347" s="54"/>
      <c r="S347" s="54"/>
      <c r="T347" s="54"/>
      <c r="W347" s="54"/>
      <c r="X347" s="54"/>
      <c r="Y347" s="54"/>
      <c r="AB347" s="54"/>
      <c r="AC347" s="54"/>
      <c r="AD347" s="54"/>
      <c r="AG347" s="54"/>
      <c r="AH347" s="54"/>
      <c r="AI347" s="54"/>
    </row>
    <row r="348" spans="18:35" x14ac:dyDescent="0.2">
      <c r="R348" s="54"/>
      <c r="S348" s="54"/>
      <c r="T348" s="54"/>
      <c r="W348" s="54"/>
      <c r="X348" s="54"/>
      <c r="Y348" s="54"/>
      <c r="AB348" s="54"/>
      <c r="AC348" s="54"/>
      <c r="AD348" s="54"/>
      <c r="AG348" s="54"/>
      <c r="AH348" s="54"/>
      <c r="AI348" s="54"/>
    </row>
    <row r="349" spans="18:35" x14ac:dyDescent="0.2">
      <c r="R349" s="54"/>
      <c r="S349" s="54"/>
      <c r="T349" s="54"/>
      <c r="W349" s="54"/>
      <c r="X349" s="54"/>
      <c r="Y349" s="54"/>
      <c r="AB349" s="54"/>
      <c r="AC349" s="54"/>
      <c r="AD349" s="54"/>
      <c r="AG349" s="54"/>
      <c r="AH349" s="54"/>
      <c r="AI349" s="54"/>
    </row>
    <row r="350" spans="18:35" x14ac:dyDescent="0.2">
      <c r="R350" s="54"/>
      <c r="S350" s="54"/>
      <c r="T350" s="54"/>
      <c r="W350" s="54"/>
      <c r="X350" s="54"/>
      <c r="Y350" s="54"/>
      <c r="AB350" s="54"/>
      <c r="AC350" s="54"/>
      <c r="AD350" s="54"/>
      <c r="AG350" s="54"/>
      <c r="AH350" s="54"/>
      <c r="AI350" s="54"/>
    </row>
    <row r="351" spans="18:35" x14ac:dyDescent="0.2">
      <c r="R351" s="54"/>
      <c r="S351" s="54"/>
      <c r="T351" s="54"/>
      <c r="W351" s="54"/>
      <c r="X351" s="54"/>
      <c r="Y351" s="54"/>
      <c r="AB351" s="54"/>
      <c r="AC351" s="54"/>
      <c r="AD351" s="54"/>
      <c r="AG351" s="54"/>
      <c r="AH351" s="54"/>
      <c r="AI351" s="54"/>
    </row>
    <row r="352" spans="18:35" x14ac:dyDescent="0.2">
      <c r="R352" s="54"/>
      <c r="S352" s="54"/>
      <c r="T352" s="54"/>
      <c r="W352" s="54"/>
      <c r="X352" s="54"/>
      <c r="Y352" s="54"/>
      <c r="AB352" s="54"/>
      <c r="AC352" s="54"/>
      <c r="AD352" s="54"/>
      <c r="AG352" s="54"/>
      <c r="AH352" s="54"/>
      <c r="AI352" s="54"/>
    </row>
    <row r="353" spans="18:35" x14ac:dyDescent="0.2">
      <c r="R353" s="54"/>
      <c r="S353" s="54"/>
      <c r="T353" s="54"/>
      <c r="W353" s="54"/>
      <c r="X353" s="54"/>
      <c r="Y353" s="54"/>
      <c r="AB353" s="54"/>
      <c r="AC353" s="54"/>
      <c r="AD353" s="54"/>
      <c r="AG353" s="54"/>
      <c r="AH353" s="54"/>
      <c r="AI353" s="54"/>
    </row>
    <row r="354" spans="18:35" x14ac:dyDescent="0.2">
      <c r="R354" s="54"/>
      <c r="S354" s="54"/>
      <c r="T354" s="54"/>
      <c r="W354" s="54"/>
      <c r="X354" s="54"/>
      <c r="Y354" s="54"/>
      <c r="AB354" s="54"/>
      <c r="AC354" s="54"/>
      <c r="AD354" s="54"/>
      <c r="AG354" s="54"/>
      <c r="AH354" s="54"/>
      <c r="AI354" s="54"/>
    </row>
    <row r="355" spans="18:35" x14ac:dyDescent="0.2">
      <c r="R355" s="54"/>
      <c r="S355" s="54"/>
      <c r="T355" s="54"/>
      <c r="W355" s="54"/>
      <c r="X355" s="54"/>
      <c r="Y355" s="54"/>
      <c r="AB355" s="54"/>
      <c r="AC355" s="54"/>
      <c r="AD355" s="54"/>
      <c r="AG355" s="54"/>
      <c r="AH355" s="54"/>
      <c r="AI355" s="54"/>
    </row>
    <row r="356" spans="18:35" x14ac:dyDescent="0.2">
      <c r="R356" s="54"/>
      <c r="S356" s="54"/>
      <c r="T356" s="54"/>
      <c r="W356" s="54"/>
      <c r="X356" s="54"/>
      <c r="Y356" s="54"/>
      <c r="AB356" s="54"/>
      <c r="AC356" s="54"/>
      <c r="AD356" s="54"/>
      <c r="AG356" s="54"/>
      <c r="AH356" s="54"/>
      <c r="AI356" s="54"/>
    </row>
    <row r="357" spans="18:35" x14ac:dyDescent="0.2">
      <c r="R357" s="54"/>
      <c r="S357" s="54"/>
      <c r="T357" s="54"/>
      <c r="W357" s="54"/>
      <c r="X357" s="54"/>
      <c r="Y357" s="54"/>
      <c r="AB357" s="54"/>
      <c r="AC357" s="54"/>
      <c r="AD357" s="54"/>
      <c r="AG357" s="54"/>
      <c r="AH357" s="54"/>
      <c r="AI357" s="54"/>
    </row>
    <row r="358" spans="18:35" x14ac:dyDescent="0.2">
      <c r="R358" s="54"/>
      <c r="S358" s="54"/>
      <c r="T358" s="54"/>
      <c r="W358" s="54"/>
      <c r="X358" s="54"/>
      <c r="Y358" s="54"/>
      <c r="AB358" s="54"/>
      <c r="AC358" s="54"/>
      <c r="AD358" s="54"/>
      <c r="AG358" s="54"/>
      <c r="AH358" s="54"/>
      <c r="AI358" s="54"/>
    </row>
    <row r="359" spans="18:35" x14ac:dyDescent="0.2">
      <c r="R359" s="54"/>
      <c r="S359" s="54"/>
      <c r="T359" s="54"/>
      <c r="W359" s="54"/>
      <c r="X359" s="54"/>
      <c r="Y359" s="54"/>
      <c r="AB359" s="54"/>
      <c r="AC359" s="54"/>
      <c r="AD359" s="54"/>
      <c r="AG359" s="54"/>
      <c r="AH359" s="54"/>
      <c r="AI359" s="54"/>
    </row>
    <row r="360" spans="18:35" x14ac:dyDescent="0.2">
      <c r="R360" s="54"/>
      <c r="S360" s="54"/>
      <c r="T360" s="54"/>
      <c r="W360" s="54"/>
      <c r="X360" s="54"/>
      <c r="Y360" s="54"/>
      <c r="AB360" s="54"/>
      <c r="AC360" s="54"/>
      <c r="AD360" s="54"/>
      <c r="AG360" s="54"/>
      <c r="AH360" s="54"/>
      <c r="AI360" s="54"/>
    </row>
    <row r="361" spans="18:35" x14ac:dyDescent="0.2">
      <c r="R361" s="54"/>
      <c r="S361" s="54"/>
      <c r="T361" s="54"/>
      <c r="W361" s="54"/>
      <c r="X361" s="54"/>
      <c r="Y361" s="54"/>
      <c r="AB361" s="54"/>
      <c r="AC361" s="54"/>
      <c r="AD361" s="54"/>
      <c r="AG361" s="54"/>
      <c r="AH361" s="54"/>
      <c r="AI361" s="54"/>
    </row>
    <row r="362" spans="18:35" x14ac:dyDescent="0.2">
      <c r="R362" s="54"/>
      <c r="S362" s="54"/>
      <c r="T362" s="54"/>
      <c r="W362" s="54"/>
      <c r="X362" s="54"/>
      <c r="Y362" s="54"/>
      <c r="AB362" s="54"/>
      <c r="AC362" s="54"/>
      <c r="AD362" s="54"/>
      <c r="AG362" s="54"/>
      <c r="AH362" s="54"/>
      <c r="AI362" s="54"/>
    </row>
    <row r="363" spans="18:35" x14ac:dyDescent="0.2">
      <c r="R363" s="54"/>
      <c r="S363" s="54"/>
      <c r="T363" s="54"/>
      <c r="W363" s="54"/>
      <c r="X363" s="54"/>
      <c r="Y363" s="54"/>
      <c r="AB363" s="54"/>
      <c r="AC363" s="54"/>
      <c r="AD363" s="54"/>
      <c r="AG363" s="54"/>
      <c r="AH363" s="54"/>
      <c r="AI363" s="54"/>
    </row>
    <row r="364" spans="18:35" x14ac:dyDescent="0.2">
      <c r="R364" s="54"/>
      <c r="S364" s="54"/>
      <c r="T364" s="54"/>
      <c r="W364" s="54"/>
      <c r="X364" s="54"/>
      <c r="Y364" s="54"/>
      <c r="AB364" s="54"/>
      <c r="AC364" s="54"/>
      <c r="AD364" s="54"/>
      <c r="AG364" s="54"/>
      <c r="AH364" s="54"/>
      <c r="AI364" s="54"/>
    </row>
    <row r="365" spans="18:35" x14ac:dyDescent="0.2">
      <c r="R365" s="54"/>
      <c r="S365" s="54"/>
      <c r="T365" s="54"/>
      <c r="W365" s="54"/>
      <c r="X365" s="54"/>
      <c r="Y365" s="54"/>
      <c r="AB365" s="54"/>
      <c r="AC365" s="54"/>
      <c r="AD365" s="54"/>
      <c r="AG365" s="54"/>
      <c r="AH365" s="54"/>
      <c r="AI365" s="54"/>
    </row>
    <row r="366" spans="18:35" x14ac:dyDescent="0.2">
      <c r="R366" s="54"/>
      <c r="S366" s="54"/>
      <c r="T366" s="54"/>
      <c r="W366" s="54"/>
      <c r="X366" s="54"/>
      <c r="Y366" s="54"/>
      <c r="AB366" s="54"/>
      <c r="AC366" s="54"/>
      <c r="AD366" s="54"/>
      <c r="AG366" s="54"/>
      <c r="AH366" s="54"/>
      <c r="AI366" s="54"/>
    </row>
    <row r="367" spans="18:35" x14ac:dyDescent="0.2">
      <c r="R367" s="54"/>
      <c r="S367" s="54"/>
      <c r="T367" s="54"/>
      <c r="W367" s="54"/>
      <c r="X367" s="54"/>
      <c r="Y367" s="54"/>
      <c r="AB367" s="54"/>
      <c r="AC367" s="54"/>
      <c r="AD367" s="54"/>
      <c r="AG367" s="54"/>
      <c r="AH367" s="54"/>
      <c r="AI367" s="54"/>
    </row>
    <row r="368" spans="18:35" x14ac:dyDescent="0.2">
      <c r="R368" s="54"/>
      <c r="S368" s="54"/>
      <c r="T368" s="54"/>
      <c r="W368" s="54"/>
      <c r="X368" s="54"/>
      <c r="Y368" s="54"/>
      <c r="AB368" s="54"/>
      <c r="AC368" s="54"/>
      <c r="AD368" s="54"/>
      <c r="AG368" s="54"/>
      <c r="AH368" s="54"/>
      <c r="AI368" s="54"/>
    </row>
    <row r="369" spans="18:35" x14ac:dyDescent="0.2">
      <c r="R369" s="54"/>
      <c r="S369" s="54"/>
      <c r="T369" s="54"/>
      <c r="W369" s="54"/>
      <c r="X369" s="54"/>
      <c r="Y369" s="54"/>
      <c r="AB369" s="54"/>
      <c r="AC369" s="54"/>
      <c r="AD369" s="54"/>
      <c r="AG369" s="54"/>
      <c r="AH369" s="54"/>
      <c r="AI369" s="54"/>
    </row>
    <row r="370" spans="18:35" x14ac:dyDescent="0.2">
      <c r="R370" s="54"/>
      <c r="S370" s="54"/>
      <c r="T370" s="54"/>
      <c r="W370" s="54"/>
      <c r="X370" s="54"/>
      <c r="Y370" s="54"/>
      <c r="AB370" s="54"/>
      <c r="AC370" s="54"/>
      <c r="AD370" s="54"/>
      <c r="AG370" s="54"/>
      <c r="AH370" s="54"/>
      <c r="AI370" s="54"/>
    </row>
    <row r="371" spans="18:35" x14ac:dyDescent="0.2">
      <c r="R371" s="54"/>
      <c r="S371" s="54"/>
      <c r="T371" s="54"/>
      <c r="W371" s="54"/>
      <c r="X371" s="54"/>
      <c r="Y371" s="54"/>
      <c r="AB371" s="54"/>
      <c r="AC371" s="54"/>
      <c r="AD371" s="54"/>
      <c r="AG371" s="54"/>
      <c r="AH371" s="54"/>
      <c r="AI371" s="54"/>
    </row>
    <row r="372" spans="18:35" x14ac:dyDescent="0.2">
      <c r="R372" s="54"/>
      <c r="S372" s="54"/>
      <c r="T372" s="54"/>
      <c r="W372" s="54"/>
      <c r="X372" s="54"/>
      <c r="Y372" s="54"/>
      <c r="AB372" s="54"/>
      <c r="AC372" s="54"/>
      <c r="AD372" s="54"/>
      <c r="AG372" s="54"/>
      <c r="AH372" s="54"/>
      <c r="AI372" s="54"/>
    </row>
    <row r="373" spans="18:35" x14ac:dyDescent="0.2">
      <c r="R373" s="54"/>
      <c r="S373" s="54"/>
      <c r="T373" s="54"/>
      <c r="W373" s="54"/>
      <c r="X373" s="54"/>
      <c r="Y373" s="54"/>
      <c r="AB373" s="54"/>
      <c r="AC373" s="54"/>
      <c r="AD373" s="54"/>
      <c r="AG373" s="54"/>
      <c r="AH373" s="54"/>
      <c r="AI373" s="54"/>
    </row>
    <row r="374" spans="18:35" x14ac:dyDescent="0.2">
      <c r="R374" s="54"/>
      <c r="S374" s="54"/>
      <c r="T374" s="54"/>
      <c r="W374" s="54"/>
      <c r="X374" s="54"/>
      <c r="Y374" s="54"/>
      <c r="AB374" s="54"/>
      <c r="AC374" s="54"/>
      <c r="AD374" s="54"/>
      <c r="AG374" s="54"/>
      <c r="AH374" s="54"/>
      <c r="AI374" s="54"/>
    </row>
    <row r="375" spans="18:35" x14ac:dyDescent="0.2">
      <c r="R375" s="54"/>
      <c r="S375" s="54"/>
      <c r="T375" s="54"/>
      <c r="W375" s="54"/>
      <c r="X375" s="54"/>
      <c r="Y375" s="54"/>
      <c r="AB375" s="54"/>
      <c r="AC375" s="54"/>
      <c r="AD375" s="54"/>
      <c r="AG375" s="54"/>
      <c r="AH375" s="54"/>
      <c r="AI375" s="54"/>
    </row>
    <row r="376" spans="18:35" x14ac:dyDescent="0.2">
      <c r="R376" s="54"/>
      <c r="S376" s="54"/>
      <c r="T376" s="54"/>
      <c r="W376" s="54"/>
      <c r="X376" s="54"/>
      <c r="Y376" s="54"/>
      <c r="AB376" s="54"/>
      <c r="AC376" s="54"/>
      <c r="AD376" s="54"/>
      <c r="AG376" s="54"/>
      <c r="AH376" s="54"/>
      <c r="AI376" s="54"/>
    </row>
    <row r="377" spans="18:35" x14ac:dyDescent="0.2">
      <c r="R377" s="54"/>
      <c r="S377" s="54"/>
      <c r="T377" s="54"/>
      <c r="W377" s="54"/>
      <c r="X377" s="54"/>
      <c r="Y377" s="54"/>
      <c r="AB377" s="54"/>
      <c r="AC377" s="54"/>
      <c r="AD377" s="54"/>
      <c r="AG377" s="54"/>
      <c r="AH377" s="54"/>
      <c r="AI377" s="54"/>
    </row>
    <row r="378" spans="18:35" x14ac:dyDescent="0.2">
      <c r="R378" s="54"/>
      <c r="S378" s="54"/>
      <c r="T378" s="54"/>
      <c r="W378" s="54"/>
      <c r="X378" s="54"/>
      <c r="Y378" s="54"/>
      <c r="AB378" s="54"/>
      <c r="AC378" s="54"/>
      <c r="AD378" s="54"/>
      <c r="AG378" s="54"/>
      <c r="AH378" s="54"/>
      <c r="AI378" s="54"/>
    </row>
    <row r="379" spans="18:35" x14ac:dyDescent="0.2">
      <c r="R379" s="54"/>
      <c r="S379" s="54"/>
      <c r="T379" s="54"/>
      <c r="W379" s="54"/>
      <c r="X379" s="54"/>
      <c r="Y379" s="54"/>
      <c r="AB379" s="54"/>
      <c r="AC379" s="54"/>
      <c r="AD379" s="54"/>
      <c r="AG379" s="54"/>
      <c r="AH379" s="54"/>
      <c r="AI379" s="54"/>
    </row>
    <row r="380" spans="18:35" x14ac:dyDescent="0.2">
      <c r="R380" s="54"/>
      <c r="S380" s="54"/>
      <c r="T380" s="54"/>
      <c r="W380" s="54"/>
      <c r="X380" s="54"/>
      <c r="Y380" s="54"/>
      <c r="AB380" s="54"/>
      <c r="AC380" s="54"/>
      <c r="AD380" s="54"/>
      <c r="AG380" s="54"/>
      <c r="AH380" s="54"/>
      <c r="AI380" s="54"/>
    </row>
    <row r="381" spans="18:35" x14ac:dyDescent="0.2">
      <c r="R381" s="54"/>
      <c r="S381" s="54"/>
      <c r="T381" s="54"/>
      <c r="W381" s="54"/>
      <c r="X381" s="54"/>
      <c r="Y381" s="54"/>
      <c r="AB381" s="54"/>
      <c r="AC381" s="54"/>
      <c r="AD381" s="54"/>
      <c r="AG381" s="54"/>
      <c r="AH381" s="54"/>
      <c r="AI381" s="54"/>
    </row>
    <row r="382" spans="18:35" x14ac:dyDescent="0.2">
      <c r="R382" s="54"/>
      <c r="S382" s="54"/>
      <c r="T382" s="54"/>
      <c r="W382" s="54"/>
      <c r="X382" s="54"/>
      <c r="Y382" s="54"/>
      <c r="AB382" s="54"/>
      <c r="AC382" s="54"/>
      <c r="AD382" s="54"/>
      <c r="AG382" s="54"/>
      <c r="AH382" s="54"/>
      <c r="AI382" s="54"/>
    </row>
    <row r="383" spans="18:35" x14ac:dyDescent="0.2">
      <c r="R383" s="54"/>
      <c r="S383" s="54"/>
      <c r="T383" s="54"/>
      <c r="W383" s="54"/>
      <c r="X383" s="54"/>
      <c r="Y383" s="54"/>
      <c r="AB383" s="54"/>
      <c r="AC383" s="54"/>
      <c r="AD383" s="54"/>
      <c r="AG383" s="54"/>
      <c r="AH383" s="54"/>
      <c r="AI383" s="54"/>
    </row>
    <row r="384" spans="18:35" x14ac:dyDescent="0.2">
      <c r="R384" s="54"/>
      <c r="S384" s="54"/>
      <c r="T384" s="54"/>
      <c r="W384" s="54"/>
      <c r="X384" s="54"/>
      <c r="Y384" s="54"/>
      <c r="AB384" s="54"/>
      <c r="AC384" s="54"/>
      <c r="AD384" s="54"/>
      <c r="AG384" s="54"/>
      <c r="AH384" s="54"/>
      <c r="AI384" s="54"/>
    </row>
    <row r="385" spans="18:35" x14ac:dyDescent="0.2">
      <c r="R385" s="54"/>
      <c r="S385" s="54"/>
      <c r="T385" s="54"/>
      <c r="W385" s="54"/>
      <c r="X385" s="54"/>
      <c r="Y385" s="54"/>
      <c r="AB385" s="54"/>
      <c r="AC385" s="54"/>
      <c r="AD385" s="54"/>
      <c r="AG385" s="54"/>
      <c r="AH385" s="54"/>
      <c r="AI385" s="54"/>
    </row>
    <row r="386" spans="18:35" x14ac:dyDescent="0.2">
      <c r="R386" s="54"/>
      <c r="S386" s="54"/>
      <c r="T386" s="54"/>
      <c r="W386" s="54"/>
      <c r="X386" s="54"/>
      <c r="Y386" s="54"/>
      <c r="AB386" s="54"/>
      <c r="AC386" s="54"/>
      <c r="AD386" s="54"/>
      <c r="AG386" s="54"/>
      <c r="AH386" s="54"/>
      <c r="AI386" s="54"/>
    </row>
    <row r="387" spans="18:35" x14ac:dyDescent="0.2">
      <c r="R387" s="54"/>
      <c r="S387" s="54"/>
      <c r="T387" s="54"/>
      <c r="W387" s="54"/>
      <c r="X387" s="54"/>
      <c r="Y387" s="54"/>
      <c r="AB387" s="54"/>
      <c r="AC387" s="54"/>
      <c r="AD387" s="54"/>
      <c r="AG387" s="54"/>
      <c r="AH387" s="54"/>
      <c r="AI387" s="54"/>
    </row>
    <row r="388" spans="18:35" x14ac:dyDescent="0.2">
      <c r="R388" s="54"/>
      <c r="S388" s="54"/>
      <c r="T388" s="54"/>
      <c r="W388" s="54"/>
      <c r="X388" s="54"/>
      <c r="Y388" s="54"/>
      <c r="AB388" s="54"/>
      <c r="AC388" s="54"/>
      <c r="AD388" s="54"/>
      <c r="AG388" s="54"/>
      <c r="AH388" s="54"/>
      <c r="AI388" s="54"/>
    </row>
    <row r="389" spans="18:35" x14ac:dyDescent="0.2">
      <c r="R389" s="54"/>
      <c r="S389" s="54"/>
      <c r="T389" s="54"/>
      <c r="W389" s="54"/>
      <c r="X389" s="54"/>
      <c r="Y389" s="54"/>
      <c r="AB389" s="54"/>
      <c r="AC389" s="54"/>
      <c r="AD389" s="54"/>
      <c r="AG389" s="54"/>
      <c r="AH389" s="54"/>
      <c r="AI389" s="54"/>
    </row>
    <row r="390" spans="18:35" x14ac:dyDescent="0.2">
      <c r="R390" s="54"/>
      <c r="S390" s="54"/>
      <c r="T390" s="54"/>
      <c r="W390" s="54"/>
      <c r="X390" s="54"/>
      <c r="Y390" s="54"/>
      <c r="AB390" s="54"/>
      <c r="AC390" s="54"/>
      <c r="AD390" s="54"/>
      <c r="AG390" s="54"/>
      <c r="AH390" s="54"/>
      <c r="AI390" s="54"/>
    </row>
    <row r="391" spans="18:35" x14ac:dyDescent="0.2">
      <c r="R391" s="54"/>
      <c r="S391" s="54"/>
      <c r="T391" s="54"/>
      <c r="W391" s="54"/>
      <c r="X391" s="54"/>
      <c r="Y391" s="54"/>
      <c r="AB391" s="54"/>
      <c r="AC391" s="54"/>
      <c r="AD391" s="54"/>
      <c r="AG391" s="54"/>
      <c r="AH391" s="54"/>
      <c r="AI391" s="54"/>
    </row>
    <row r="392" spans="18:35" x14ac:dyDescent="0.2">
      <c r="R392" s="54"/>
      <c r="S392" s="54"/>
      <c r="T392" s="54"/>
      <c r="W392" s="54"/>
      <c r="X392" s="54"/>
      <c r="Y392" s="54"/>
      <c r="AB392" s="54"/>
      <c r="AC392" s="54"/>
      <c r="AD392" s="54"/>
      <c r="AG392" s="54"/>
      <c r="AH392" s="54"/>
      <c r="AI392" s="54"/>
    </row>
    <row r="393" spans="18:35" x14ac:dyDescent="0.2">
      <c r="R393" s="54"/>
      <c r="S393" s="54"/>
      <c r="T393" s="54"/>
      <c r="W393" s="54"/>
      <c r="X393" s="54"/>
      <c r="Y393" s="54"/>
      <c r="AB393" s="54"/>
      <c r="AC393" s="54"/>
      <c r="AD393" s="54"/>
      <c r="AG393" s="54"/>
      <c r="AH393" s="54"/>
      <c r="AI393" s="54"/>
    </row>
    <row r="394" spans="18:35" x14ac:dyDescent="0.2">
      <c r="R394" s="54"/>
      <c r="S394" s="54"/>
      <c r="T394" s="54"/>
      <c r="W394" s="54"/>
      <c r="X394" s="54"/>
      <c r="Y394" s="54"/>
      <c r="AB394" s="54"/>
      <c r="AC394" s="54"/>
      <c r="AD394" s="54"/>
      <c r="AG394" s="54"/>
      <c r="AH394" s="54"/>
      <c r="AI394" s="54"/>
    </row>
    <row r="395" spans="18:35" x14ac:dyDescent="0.2">
      <c r="R395" s="54"/>
      <c r="S395" s="54"/>
      <c r="T395" s="54"/>
      <c r="W395" s="54"/>
      <c r="X395" s="54"/>
      <c r="Y395" s="54"/>
      <c r="AB395" s="54"/>
      <c r="AC395" s="54"/>
      <c r="AD395" s="54"/>
      <c r="AG395" s="54"/>
      <c r="AH395" s="54"/>
      <c r="AI395" s="54"/>
    </row>
    <row r="396" spans="18:35" x14ac:dyDescent="0.2">
      <c r="R396" s="54"/>
      <c r="S396" s="54"/>
      <c r="T396" s="54"/>
      <c r="W396" s="54"/>
      <c r="X396" s="54"/>
      <c r="Y396" s="54"/>
      <c r="AB396" s="54"/>
      <c r="AC396" s="54"/>
      <c r="AD396" s="54"/>
      <c r="AG396" s="54"/>
      <c r="AH396" s="54"/>
      <c r="AI396" s="54"/>
    </row>
    <row r="397" spans="18:35" x14ac:dyDescent="0.2">
      <c r="R397" s="54"/>
      <c r="S397" s="54"/>
      <c r="T397" s="54"/>
      <c r="W397" s="54"/>
      <c r="X397" s="54"/>
      <c r="Y397" s="54"/>
      <c r="AB397" s="54"/>
      <c r="AC397" s="54"/>
      <c r="AD397" s="54"/>
      <c r="AG397" s="54"/>
      <c r="AH397" s="54"/>
      <c r="AI397" s="54"/>
    </row>
    <row r="398" spans="18:35" x14ac:dyDescent="0.2">
      <c r="R398" s="54"/>
      <c r="S398" s="54"/>
      <c r="T398" s="54"/>
      <c r="W398" s="54"/>
      <c r="X398" s="54"/>
      <c r="Y398" s="54"/>
      <c r="AB398" s="54"/>
      <c r="AC398" s="54"/>
      <c r="AD398" s="54"/>
      <c r="AG398" s="54"/>
      <c r="AH398" s="54"/>
      <c r="AI398" s="54"/>
    </row>
    <row r="399" spans="18:35" x14ac:dyDescent="0.2">
      <c r="R399" s="54"/>
      <c r="S399" s="54"/>
      <c r="T399" s="54"/>
      <c r="W399" s="54"/>
      <c r="X399" s="54"/>
      <c r="Y399" s="54"/>
      <c r="AB399" s="54"/>
      <c r="AC399" s="54"/>
      <c r="AD399" s="54"/>
      <c r="AG399" s="54"/>
      <c r="AH399" s="54"/>
      <c r="AI399" s="54"/>
    </row>
    <row r="400" spans="18:35" x14ac:dyDescent="0.2">
      <c r="R400" s="54"/>
      <c r="S400" s="54"/>
      <c r="T400" s="54"/>
      <c r="W400" s="54"/>
      <c r="X400" s="54"/>
      <c r="Y400" s="54"/>
      <c r="AB400" s="54"/>
      <c r="AC400" s="54"/>
      <c r="AD400" s="54"/>
      <c r="AG400" s="54"/>
      <c r="AH400" s="54"/>
      <c r="AI400" s="54"/>
    </row>
    <row r="401" spans="18:35" x14ac:dyDescent="0.2">
      <c r="R401" s="54"/>
      <c r="S401" s="54"/>
      <c r="T401" s="54"/>
      <c r="W401" s="54"/>
      <c r="X401" s="54"/>
      <c r="Y401" s="54"/>
      <c r="AB401" s="54"/>
      <c r="AC401" s="54"/>
      <c r="AD401" s="54"/>
      <c r="AG401" s="54"/>
      <c r="AH401" s="54"/>
      <c r="AI401" s="54"/>
    </row>
    <row r="402" spans="18:35" x14ac:dyDescent="0.2">
      <c r="R402" s="54"/>
      <c r="S402" s="54"/>
      <c r="T402" s="54"/>
      <c r="W402" s="54"/>
      <c r="X402" s="54"/>
      <c r="Y402" s="54"/>
      <c r="AB402" s="54"/>
      <c r="AC402" s="54"/>
      <c r="AD402" s="54"/>
      <c r="AG402" s="54"/>
      <c r="AH402" s="54"/>
      <c r="AI402" s="54"/>
    </row>
    <row r="403" spans="18:35" x14ac:dyDescent="0.2">
      <c r="R403" s="54"/>
      <c r="S403" s="54"/>
      <c r="T403" s="54"/>
      <c r="W403" s="54"/>
      <c r="X403" s="54"/>
      <c r="Y403" s="54"/>
      <c r="AB403" s="54"/>
      <c r="AC403" s="54"/>
      <c r="AD403" s="54"/>
      <c r="AG403" s="54"/>
      <c r="AH403" s="54"/>
      <c r="AI403" s="54"/>
    </row>
    <row r="404" spans="18:35" x14ac:dyDescent="0.2">
      <c r="R404" s="54"/>
      <c r="S404" s="54"/>
      <c r="T404" s="54"/>
      <c r="W404" s="54"/>
      <c r="X404" s="54"/>
      <c r="Y404" s="54"/>
      <c r="AB404" s="54"/>
      <c r="AC404" s="54"/>
      <c r="AD404" s="54"/>
      <c r="AG404" s="54"/>
      <c r="AH404" s="54"/>
      <c r="AI404" s="54"/>
    </row>
    <row r="405" spans="18:35" x14ac:dyDescent="0.2">
      <c r="R405" s="54"/>
      <c r="S405" s="54"/>
      <c r="T405" s="54"/>
      <c r="W405" s="54"/>
      <c r="X405" s="54"/>
      <c r="Y405" s="54"/>
      <c r="AB405" s="54"/>
      <c r="AC405" s="54"/>
      <c r="AD405" s="54"/>
      <c r="AG405" s="54"/>
      <c r="AH405" s="54"/>
      <c r="AI405" s="54"/>
    </row>
    <row r="406" spans="18:35" x14ac:dyDescent="0.2">
      <c r="R406" s="54"/>
      <c r="S406" s="54"/>
      <c r="T406" s="54"/>
      <c r="W406" s="54"/>
      <c r="X406" s="54"/>
      <c r="Y406" s="54"/>
      <c r="AB406" s="54"/>
      <c r="AC406" s="54"/>
      <c r="AD406" s="54"/>
      <c r="AG406" s="54"/>
      <c r="AH406" s="54"/>
      <c r="AI406" s="54"/>
    </row>
    <row r="407" spans="18:35" x14ac:dyDescent="0.2">
      <c r="R407" s="54"/>
      <c r="S407" s="54"/>
      <c r="T407" s="54"/>
      <c r="W407" s="54"/>
      <c r="X407" s="54"/>
      <c r="Y407" s="54"/>
      <c r="AB407" s="54"/>
      <c r="AC407" s="54"/>
      <c r="AD407" s="54"/>
      <c r="AG407" s="54"/>
      <c r="AH407" s="54"/>
      <c r="AI407" s="54"/>
    </row>
    <row r="408" spans="18:35" x14ac:dyDescent="0.2">
      <c r="R408" s="54"/>
      <c r="S408" s="54"/>
      <c r="T408" s="54"/>
      <c r="W408" s="54"/>
      <c r="X408" s="54"/>
      <c r="Y408" s="54"/>
      <c r="AB408" s="54"/>
      <c r="AC408" s="54"/>
      <c r="AD408" s="54"/>
      <c r="AG408" s="54"/>
      <c r="AH408" s="54"/>
      <c r="AI408" s="54"/>
    </row>
    <row r="409" spans="18:35" x14ac:dyDescent="0.2">
      <c r="R409" s="54"/>
      <c r="S409" s="54"/>
      <c r="T409" s="54"/>
      <c r="W409" s="54"/>
      <c r="X409" s="54"/>
      <c r="Y409" s="54"/>
      <c r="AB409" s="54"/>
      <c r="AC409" s="54"/>
      <c r="AD409" s="54"/>
      <c r="AG409" s="54"/>
      <c r="AH409" s="54"/>
      <c r="AI409" s="54"/>
    </row>
    <row r="410" spans="18:35" x14ac:dyDescent="0.2">
      <c r="R410" s="54"/>
      <c r="S410" s="54"/>
      <c r="T410" s="54"/>
      <c r="W410" s="54"/>
      <c r="X410" s="54"/>
      <c r="Y410" s="54"/>
      <c r="AB410" s="54"/>
      <c r="AC410" s="54"/>
      <c r="AD410" s="54"/>
      <c r="AG410" s="54"/>
      <c r="AH410" s="54"/>
      <c r="AI410" s="54"/>
    </row>
    <row r="411" spans="18:35" x14ac:dyDescent="0.2">
      <c r="R411" s="54"/>
      <c r="S411" s="54"/>
      <c r="T411" s="54"/>
      <c r="W411" s="54"/>
      <c r="X411" s="54"/>
      <c r="Y411" s="54"/>
      <c r="AB411" s="54"/>
      <c r="AC411" s="54"/>
      <c r="AD411" s="54"/>
      <c r="AG411" s="54"/>
      <c r="AH411" s="54"/>
      <c r="AI411" s="54"/>
    </row>
    <row r="412" spans="18:35" x14ac:dyDescent="0.2">
      <c r="R412" s="54"/>
      <c r="S412" s="54"/>
      <c r="T412" s="54"/>
      <c r="W412" s="54"/>
      <c r="X412" s="54"/>
      <c r="Y412" s="54"/>
      <c r="AB412" s="54"/>
      <c r="AC412" s="54"/>
      <c r="AD412" s="54"/>
      <c r="AG412" s="54"/>
      <c r="AH412" s="54"/>
      <c r="AI412" s="54"/>
    </row>
    <row r="413" spans="18:35" x14ac:dyDescent="0.2">
      <c r="R413" s="54"/>
      <c r="S413" s="54"/>
      <c r="T413" s="54"/>
      <c r="W413" s="54"/>
      <c r="X413" s="54"/>
      <c r="Y413" s="54"/>
      <c r="AB413" s="54"/>
      <c r="AC413" s="54"/>
      <c r="AD413" s="54"/>
      <c r="AG413" s="54"/>
      <c r="AH413" s="54"/>
      <c r="AI413" s="54"/>
    </row>
    <row r="414" spans="18:35" x14ac:dyDescent="0.2">
      <c r="R414" s="54"/>
      <c r="S414" s="54"/>
      <c r="T414" s="54"/>
      <c r="W414" s="54"/>
      <c r="X414" s="54"/>
      <c r="Y414" s="54"/>
      <c r="AB414" s="54"/>
      <c r="AC414" s="54"/>
      <c r="AD414" s="54"/>
      <c r="AG414" s="54"/>
      <c r="AH414" s="54"/>
      <c r="AI414" s="54"/>
    </row>
    <row r="415" spans="18:35" x14ac:dyDescent="0.2">
      <c r="R415" s="54"/>
      <c r="S415" s="54"/>
      <c r="T415" s="54"/>
      <c r="W415" s="54"/>
      <c r="X415" s="54"/>
      <c r="Y415" s="54"/>
      <c r="AB415" s="54"/>
      <c r="AC415" s="54"/>
      <c r="AD415" s="54"/>
      <c r="AG415" s="54"/>
      <c r="AH415" s="54"/>
      <c r="AI415" s="54"/>
    </row>
    <row r="416" spans="18:35" x14ac:dyDescent="0.2">
      <c r="R416" s="54"/>
      <c r="S416" s="54"/>
      <c r="T416" s="54"/>
      <c r="W416" s="54"/>
      <c r="X416" s="54"/>
      <c r="Y416" s="54"/>
      <c r="AB416" s="54"/>
      <c r="AC416" s="54"/>
      <c r="AD416" s="54"/>
      <c r="AG416" s="54"/>
      <c r="AH416" s="54"/>
      <c r="AI416" s="54"/>
    </row>
    <row r="417" spans="18:35" x14ac:dyDescent="0.2">
      <c r="R417" s="54"/>
      <c r="S417" s="54"/>
      <c r="T417" s="54"/>
      <c r="W417" s="54"/>
      <c r="X417" s="54"/>
      <c r="Y417" s="54"/>
      <c r="AB417" s="54"/>
      <c r="AC417" s="54"/>
      <c r="AD417" s="54"/>
      <c r="AG417" s="54"/>
      <c r="AH417" s="54"/>
      <c r="AI417" s="54"/>
    </row>
    <row r="418" spans="18:35" x14ac:dyDescent="0.2">
      <c r="R418" s="54"/>
      <c r="S418" s="54"/>
      <c r="T418" s="54"/>
      <c r="W418" s="54"/>
      <c r="X418" s="54"/>
      <c r="Y418" s="54"/>
      <c r="AB418" s="54"/>
      <c r="AC418" s="54"/>
      <c r="AD418" s="54"/>
      <c r="AG418" s="54"/>
      <c r="AH418" s="54"/>
      <c r="AI418" s="54"/>
    </row>
    <row r="419" spans="18:35" x14ac:dyDescent="0.2">
      <c r="R419" s="54"/>
      <c r="S419" s="54"/>
      <c r="T419" s="54"/>
      <c r="W419" s="54"/>
      <c r="X419" s="54"/>
      <c r="Y419" s="54"/>
      <c r="AB419" s="54"/>
      <c r="AC419" s="54"/>
      <c r="AD419" s="54"/>
      <c r="AG419" s="54"/>
      <c r="AH419" s="54"/>
      <c r="AI419" s="54"/>
    </row>
    <row r="420" spans="18:35" x14ac:dyDescent="0.2">
      <c r="R420" s="54"/>
      <c r="S420" s="54"/>
      <c r="T420" s="54"/>
      <c r="W420" s="54"/>
      <c r="X420" s="54"/>
      <c r="Y420" s="54"/>
      <c r="AB420" s="54"/>
      <c r="AC420" s="54"/>
      <c r="AD420" s="54"/>
      <c r="AG420" s="54"/>
      <c r="AH420" s="54"/>
      <c r="AI420" s="54"/>
    </row>
    <row r="421" spans="18:35" x14ac:dyDescent="0.2">
      <c r="R421" s="54"/>
      <c r="S421" s="54"/>
      <c r="T421" s="54"/>
      <c r="W421" s="54"/>
      <c r="X421" s="54"/>
      <c r="Y421" s="54"/>
      <c r="AB421" s="54"/>
      <c r="AC421" s="54"/>
      <c r="AD421" s="54"/>
      <c r="AG421" s="54"/>
      <c r="AH421" s="54"/>
      <c r="AI421" s="54"/>
    </row>
    <row r="422" spans="18:35" x14ac:dyDescent="0.2">
      <c r="R422" s="54"/>
      <c r="S422" s="54"/>
      <c r="T422" s="54"/>
      <c r="W422" s="54"/>
      <c r="X422" s="54"/>
      <c r="Y422" s="54"/>
      <c r="AB422" s="54"/>
      <c r="AC422" s="54"/>
      <c r="AD422" s="54"/>
      <c r="AG422" s="54"/>
      <c r="AH422" s="54"/>
      <c r="AI422" s="54"/>
    </row>
    <row r="423" spans="18:35" x14ac:dyDescent="0.2">
      <c r="R423" s="54"/>
      <c r="S423" s="54"/>
      <c r="T423" s="54"/>
      <c r="W423" s="54"/>
      <c r="X423" s="54"/>
      <c r="Y423" s="54"/>
      <c r="AB423" s="54"/>
      <c r="AC423" s="54"/>
      <c r="AD423" s="54"/>
      <c r="AG423" s="54"/>
      <c r="AH423" s="54"/>
      <c r="AI423" s="54"/>
    </row>
    <row r="424" spans="18:35" x14ac:dyDescent="0.2">
      <c r="R424" s="54"/>
      <c r="S424" s="54"/>
      <c r="T424" s="54"/>
      <c r="W424" s="54"/>
      <c r="X424" s="54"/>
      <c r="Y424" s="54"/>
      <c r="AB424" s="54"/>
      <c r="AC424" s="54"/>
      <c r="AD424" s="54"/>
      <c r="AG424" s="54"/>
      <c r="AH424" s="54"/>
      <c r="AI424" s="54"/>
    </row>
    <row r="425" spans="18:35" x14ac:dyDescent="0.2">
      <c r="R425" s="54"/>
      <c r="S425" s="54"/>
      <c r="T425" s="54"/>
      <c r="W425" s="54"/>
      <c r="X425" s="54"/>
      <c r="Y425" s="54"/>
      <c r="AB425" s="54"/>
      <c r="AC425" s="54"/>
      <c r="AD425" s="54"/>
      <c r="AG425" s="54"/>
      <c r="AH425" s="54"/>
      <c r="AI425" s="54"/>
    </row>
    <row r="426" spans="18:35" x14ac:dyDescent="0.2">
      <c r="R426" s="54"/>
      <c r="S426" s="54"/>
      <c r="T426" s="54"/>
      <c r="W426" s="54"/>
      <c r="X426" s="54"/>
      <c r="Y426" s="54"/>
      <c r="AB426" s="54"/>
      <c r="AC426" s="54"/>
      <c r="AD426" s="54"/>
      <c r="AG426" s="54"/>
      <c r="AH426" s="54"/>
      <c r="AI426" s="54"/>
    </row>
    <row r="427" spans="18:35" x14ac:dyDescent="0.2">
      <c r="R427" s="54"/>
      <c r="S427" s="54"/>
      <c r="T427" s="54"/>
      <c r="W427" s="54"/>
      <c r="X427" s="54"/>
      <c r="Y427" s="54"/>
      <c r="AB427" s="54"/>
      <c r="AC427" s="54"/>
      <c r="AD427" s="54"/>
      <c r="AG427" s="54"/>
      <c r="AH427" s="54"/>
      <c r="AI427" s="54"/>
    </row>
    <row r="428" spans="18:35" x14ac:dyDescent="0.2">
      <c r="R428" s="54"/>
      <c r="S428" s="54"/>
      <c r="T428" s="54"/>
      <c r="W428" s="54"/>
      <c r="X428" s="54"/>
      <c r="Y428" s="54"/>
      <c r="AB428" s="54"/>
      <c r="AC428" s="54"/>
      <c r="AD428" s="54"/>
      <c r="AG428" s="54"/>
      <c r="AH428" s="54"/>
      <c r="AI428" s="54"/>
    </row>
    <row r="429" spans="18:35" x14ac:dyDescent="0.2">
      <c r="R429" s="54"/>
      <c r="S429" s="54"/>
      <c r="T429" s="54"/>
      <c r="W429" s="54"/>
      <c r="X429" s="54"/>
      <c r="Y429" s="54"/>
      <c r="AB429" s="54"/>
      <c r="AC429" s="54"/>
      <c r="AD429" s="54"/>
      <c r="AG429" s="54"/>
      <c r="AH429" s="54"/>
      <c r="AI429" s="54"/>
    </row>
    <row r="430" spans="18:35" x14ac:dyDescent="0.2">
      <c r="R430" s="54"/>
      <c r="S430" s="54"/>
      <c r="T430" s="54"/>
      <c r="W430" s="54"/>
      <c r="X430" s="54"/>
      <c r="Y430" s="54"/>
      <c r="AB430" s="54"/>
      <c r="AC430" s="54"/>
      <c r="AD430" s="54"/>
      <c r="AG430" s="54"/>
      <c r="AH430" s="54"/>
      <c r="AI430" s="54"/>
    </row>
    <row r="431" spans="18:35" x14ac:dyDescent="0.2">
      <c r="R431" s="54"/>
      <c r="S431" s="54"/>
      <c r="T431" s="54"/>
      <c r="W431" s="54"/>
      <c r="X431" s="54"/>
      <c r="Y431" s="54"/>
      <c r="AB431" s="54"/>
      <c r="AC431" s="54"/>
      <c r="AD431" s="54"/>
      <c r="AG431" s="54"/>
      <c r="AH431" s="54"/>
      <c r="AI431" s="54"/>
    </row>
    <row r="432" spans="18:35" x14ac:dyDescent="0.2">
      <c r="R432" s="54"/>
      <c r="S432" s="54"/>
      <c r="T432" s="54"/>
      <c r="W432" s="54"/>
      <c r="X432" s="54"/>
      <c r="Y432" s="54"/>
      <c r="AB432" s="54"/>
      <c r="AC432" s="54"/>
      <c r="AD432" s="54"/>
      <c r="AG432" s="54"/>
      <c r="AH432" s="54"/>
      <c r="AI432" s="54"/>
    </row>
    <row r="433" spans="18:35" x14ac:dyDescent="0.2">
      <c r="R433" s="54"/>
      <c r="S433" s="54"/>
      <c r="T433" s="54"/>
      <c r="W433" s="54"/>
      <c r="X433" s="54"/>
      <c r="Y433" s="54"/>
      <c r="AB433" s="54"/>
      <c r="AC433" s="54"/>
      <c r="AD433" s="54"/>
      <c r="AG433" s="54"/>
      <c r="AH433" s="54"/>
      <c r="AI433" s="54"/>
    </row>
    <row r="434" spans="18:35" x14ac:dyDescent="0.2">
      <c r="R434" s="54"/>
      <c r="S434" s="54"/>
      <c r="T434" s="54"/>
      <c r="W434" s="54"/>
      <c r="X434" s="54"/>
      <c r="Y434" s="54"/>
      <c r="AB434" s="54"/>
      <c r="AC434" s="54"/>
      <c r="AD434" s="54"/>
      <c r="AG434" s="54"/>
      <c r="AH434" s="54"/>
      <c r="AI434" s="54"/>
    </row>
    <row r="435" spans="18:35" x14ac:dyDescent="0.2">
      <c r="R435" s="54"/>
      <c r="S435" s="54"/>
      <c r="T435" s="54"/>
      <c r="W435" s="54"/>
      <c r="X435" s="54"/>
      <c r="Y435" s="54"/>
      <c r="AB435" s="54"/>
      <c r="AC435" s="54"/>
      <c r="AD435" s="54"/>
      <c r="AG435" s="54"/>
      <c r="AH435" s="54"/>
      <c r="AI435" s="54"/>
    </row>
    <row r="436" spans="18:35" x14ac:dyDescent="0.2">
      <c r="R436" s="54"/>
      <c r="S436" s="54"/>
      <c r="T436" s="54"/>
      <c r="W436" s="54"/>
      <c r="X436" s="54"/>
      <c r="Y436" s="54"/>
      <c r="AB436" s="54"/>
      <c r="AC436" s="54"/>
      <c r="AD436" s="54"/>
      <c r="AG436" s="54"/>
      <c r="AH436" s="54"/>
      <c r="AI436" s="54"/>
    </row>
    <row r="437" spans="18:35" x14ac:dyDescent="0.2">
      <c r="R437" s="54"/>
      <c r="S437" s="54"/>
      <c r="T437" s="54"/>
      <c r="W437" s="54"/>
      <c r="X437" s="54"/>
      <c r="Y437" s="54"/>
      <c r="AB437" s="54"/>
      <c r="AC437" s="54"/>
      <c r="AD437" s="54"/>
      <c r="AG437" s="54"/>
      <c r="AH437" s="54"/>
      <c r="AI437" s="54"/>
    </row>
    <row r="438" spans="18:35" x14ac:dyDescent="0.2">
      <c r="R438" s="54"/>
      <c r="S438" s="54"/>
      <c r="T438" s="54"/>
      <c r="W438" s="54"/>
      <c r="X438" s="54"/>
      <c r="Y438" s="54"/>
      <c r="AB438" s="54"/>
      <c r="AC438" s="54"/>
      <c r="AD438" s="54"/>
      <c r="AG438" s="54"/>
      <c r="AH438" s="54"/>
      <c r="AI438" s="54"/>
    </row>
    <row r="439" spans="18:35" x14ac:dyDescent="0.2">
      <c r="R439" s="54"/>
      <c r="S439" s="54"/>
      <c r="T439" s="54"/>
      <c r="W439" s="54"/>
      <c r="X439" s="54"/>
      <c r="Y439" s="54"/>
      <c r="AB439" s="54"/>
      <c r="AC439" s="54"/>
      <c r="AD439" s="54"/>
      <c r="AG439" s="54"/>
      <c r="AH439" s="54"/>
      <c r="AI439" s="54"/>
    </row>
    <row r="440" spans="18:35" x14ac:dyDescent="0.2">
      <c r="R440" s="54"/>
      <c r="S440" s="54"/>
      <c r="T440" s="54"/>
      <c r="W440" s="54"/>
      <c r="X440" s="54"/>
      <c r="Y440" s="54"/>
      <c r="AB440" s="54"/>
      <c r="AC440" s="54"/>
      <c r="AD440" s="54"/>
      <c r="AG440" s="54"/>
      <c r="AH440" s="54"/>
      <c r="AI440" s="54"/>
    </row>
    <row r="441" spans="18:35" x14ac:dyDescent="0.2">
      <c r="R441" s="54"/>
      <c r="S441" s="54"/>
      <c r="T441" s="54"/>
      <c r="W441" s="54"/>
      <c r="X441" s="54"/>
      <c r="Y441" s="54"/>
      <c r="AB441" s="54"/>
      <c r="AC441" s="54"/>
      <c r="AD441" s="54"/>
      <c r="AG441" s="54"/>
      <c r="AH441" s="54"/>
      <c r="AI441" s="54"/>
    </row>
    <row r="442" spans="18:35" x14ac:dyDescent="0.2">
      <c r="R442" s="54"/>
      <c r="S442" s="54"/>
      <c r="T442" s="54"/>
      <c r="W442" s="54"/>
      <c r="X442" s="54"/>
      <c r="Y442" s="54"/>
      <c r="AB442" s="54"/>
      <c r="AC442" s="54"/>
      <c r="AD442" s="54"/>
      <c r="AG442" s="54"/>
      <c r="AH442" s="54"/>
      <c r="AI442" s="54"/>
    </row>
    <row r="443" spans="18:35" x14ac:dyDescent="0.2">
      <c r="R443" s="54"/>
      <c r="S443" s="54"/>
      <c r="T443" s="54"/>
      <c r="W443" s="54"/>
      <c r="X443" s="54"/>
      <c r="Y443" s="54"/>
      <c r="AB443" s="54"/>
      <c r="AC443" s="54"/>
      <c r="AD443" s="54"/>
      <c r="AG443" s="54"/>
      <c r="AH443" s="54"/>
      <c r="AI443" s="54"/>
    </row>
    <row r="444" spans="18:35" x14ac:dyDescent="0.2">
      <c r="R444" s="54"/>
      <c r="S444" s="54"/>
      <c r="T444" s="54"/>
      <c r="W444" s="54"/>
      <c r="X444" s="54"/>
      <c r="Y444" s="54"/>
      <c r="AB444" s="54"/>
      <c r="AC444" s="54"/>
      <c r="AD444" s="54"/>
      <c r="AG444" s="54"/>
      <c r="AH444" s="54"/>
      <c r="AI444" s="54"/>
    </row>
    <row r="445" spans="18:35" x14ac:dyDescent="0.2">
      <c r="R445" s="54"/>
      <c r="S445" s="54"/>
      <c r="T445" s="54"/>
      <c r="W445" s="54"/>
      <c r="X445" s="54"/>
      <c r="Y445" s="54"/>
      <c r="AB445" s="54"/>
      <c r="AC445" s="54"/>
      <c r="AD445" s="54"/>
      <c r="AG445" s="54"/>
      <c r="AH445" s="54"/>
      <c r="AI445" s="54"/>
    </row>
    <row r="446" spans="18:35" x14ac:dyDescent="0.2">
      <c r="R446" s="54"/>
      <c r="S446" s="54"/>
      <c r="T446" s="54"/>
      <c r="W446" s="54"/>
      <c r="X446" s="54"/>
      <c r="Y446" s="54"/>
      <c r="AB446" s="54"/>
      <c r="AC446" s="54"/>
      <c r="AD446" s="54"/>
      <c r="AG446" s="54"/>
      <c r="AH446" s="54"/>
      <c r="AI446" s="54"/>
    </row>
    <row r="447" spans="18:35" x14ac:dyDescent="0.2">
      <c r="R447" s="54"/>
      <c r="S447" s="54"/>
      <c r="T447" s="54"/>
      <c r="W447" s="54"/>
      <c r="X447" s="54"/>
      <c r="Y447" s="54"/>
      <c r="AB447" s="54"/>
      <c r="AC447" s="54"/>
      <c r="AD447" s="54"/>
      <c r="AG447" s="54"/>
      <c r="AH447" s="54"/>
      <c r="AI447" s="54"/>
    </row>
    <row r="448" spans="18:35" x14ac:dyDescent="0.2">
      <c r="R448" s="54"/>
      <c r="S448" s="54"/>
      <c r="T448" s="54"/>
      <c r="W448" s="54"/>
      <c r="X448" s="54"/>
      <c r="Y448" s="54"/>
      <c r="AB448" s="54"/>
      <c r="AC448" s="54"/>
      <c r="AD448" s="54"/>
      <c r="AG448" s="54"/>
      <c r="AH448" s="54"/>
      <c r="AI448" s="54"/>
    </row>
    <row r="449" spans="18:35" x14ac:dyDescent="0.2">
      <c r="R449" s="54"/>
      <c r="S449" s="54"/>
      <c r="T449" s="54"/>
      <c r="W449" s="54"/>
      <c r="X449" s="54"/>
      <c r="Y449" s="54"/>
      <c r="AB449" s="54"/>
      <c r="AC449" s="54"/>
      <c r="AD449" s="54"/>
      <c r="AG449" s="54"/>
      <c r="AH449" s="54"/>
      <c r="AI449" s="54"/>
    </row>
    <row r="450" spans="18:35" x14ac:dyDescent="0.2">
      <c r="R450" s="54"/>
      <c r="S450" s="54"/>
      <c r="T450" s="54"/>
      <c r="W450" s="54"/>
      <c r="X450" s="54"/>
      <c r="Y450" s="54"/>
      <c r="AB450" s="54"/>
      <c r="AC450" s="54"/>
      <c r="AD450" s="54"/>
      <c r="AG450" s="54"/>
      <c r="AH450" s="54"/>
      <c r="AI450" s="54"/>
    </row>
    <row r="451" spans="18:35" x14ac:dyDescent="0.2">
      <c r="R451" s="54"/>
      <c r="S451" s="54"/>
      <c r="T451" s="54"/>
      <c r="W451" s="54"/>
      <c r="X451" s="54"/>
      <c r="Y451" s="54"/>
      <c r="AB451" s="54"/>
      <c r="AC451" s="54"/>
      <c r="AD451" s="54"/>
      <c r="AG451" s="54"/>
      <c r="AH451" s="54"/>
      <c r="AI451" s="54"/>
    </row>
    <row r="452" spans="18:35" x14ac:dyDescent="0.2">
      <c r="R452" s="54"/>
      <c r="S452" s="54"/>
      <c r="T452" s="54"/>
      <c r="W452" s="54"/>
      <c r="X452" s="54"/>
      <c r="Y452" s="54"/>
      <c r="AB452" s="54"/>
      <c r="AC452" s="54"/>
      <c r="AD452" s="54"/>
      <c r="AG452" s="54"/>
      <c r="AH452" s="54"/>
      <c r="AI452" s="54"/>
    </row>
    <row r="453" spans="18:35" x14ac:dyDescent="0.2">
      <c r="R453" s="54"/>
      <c r="S453" s="54"/>
      <c r="T453" s="54"/>
      <c r="W453" s="54"/>
      <c r="X453" s="54"/>
      <c r="Y453" s="54"/>
      <c r="AB453" s="54"/>
      <c r="AC453" s="54"/>
      <c r="AD453" s="54"/>
      <c r="AG453" s="54"/>
      <c r="AH453" s="54"/>
      <c r="AI453" s="54"/>
    </row>
    <row r="454" spans="18:35" x14ac:dyDescent="0.2">
      <c r="R454" s="54"/>
      <c r="S454" s="54"/>
      <c r="T454" s="54"/>
      <c r="W454" s="54"/>
      <c r="X454" s="54"/>
      <c r="Y454" s="54"/>
      <c r="AB454" s="54"/>
      <c r="AC454" s="54"/>
      <c r="AD454" s="54"/>
      <c r="AG454" s="54"/>
      <c r="AH454" s="54"/>
      <c r="AI454" s="54"/>
    </row>
    <row r="455" spans="18:35" x14ac:dyDescent="0.2">
      <c r="R455" s="54"/>
      <c r="S455" s="54"/>
      <c r="T455" s="54"/>
      <c r="W455" s="54"/>
      <c r="X455" s="54"/>
      <c r="Y455" s="54"/>
      <c r="AB455" s="54"/>
      <c r="AC455" s="54"/>
      <c r="AD455" s="54"/>
      <c r="AG455" s="54"/>
      <c r="AH455" s="54"/>
      <c r="AI455" s="54"/>
    </row>
    <row r="456" spans="18:35" x14ac:dyDescent="0.2">
      <c r="R456" s="54"/>
      <c r="S456" s="54"/>
      <c r="T456" s="54"/>
      <c r="W456" s="54"/>
      <c r="X456" s="54"/>
      <c r="Y456" s="54"/>
      <c r="AB456" s="54"/>
      <c r="AC456" s="54"/>
      <c r="AD456" s="54"/>
      <c r="AG456" s="54"/>
      <c r="AH456" s="54"/>
      <c r="AI456" s="54"/>
    </row>
    <row r="457" spans="18:35" x14ac:dyDescent="0.2">
      <c r="R457" s="54"/>
      <c r="S457" s="54"/>
      <c r="T457" s="54"/>
      <c r="W457" s="54"/>
      <c r="X457" s="54"/>
      <c r="Y457" s="54"/>
      <c r="AB457" s="54"/>
      <c r="AC457" s="54"/>
      <c r="AD457" s="54"/>
      <c r="AG457" s="54"/>
      <c r="AH457" s="54"/>
      <c r="AI457" s="54"/>
    </row>
    <row r="458" spans="18:35" x14ac:dyDescent="0.2">
      <c r="R458" s="54"/>
      <c r="S458" s="54"/>
      <c r="T458" s="54"/>
      <c r="W458" s="54"/>
      <c r="X458" s="54"/>
      <c r="Y458" s="54"/>
      <c r="AB458" s="54"/>
      <c r="AC458" s="54"/>
      <c r="AD458" s="54"/>
      <c r="AG458" s="54"/>
      <c r="AH458" s="54"/>
      <c r="AI458" s="54"/>
    </row>
    <row r="459" spans="18:35" x14ac:dyDescent="0.2">
      <c r="R459" s="54"/>
      <c r="S459" s="54"/>
      <c r="T459" s="54"/>
      <c r="W459" s="54"/>
      <c r="X459" s="54"/>
      <c r="Y459" s="54"/>
      <c r="AB459" s="54"/>
      <c r="AC459" s="54"/>
      <c r="AD459" s="54"/>
      <c r="AG459" s="54"/>
      <c r="AH459" s="54"/>
      <c r="AI459" s="54"/>
    </row>
    <row r="460" spans="18:35" x14ac:dyDescent="0.2">
      <c r="R460" s="54"/>
      <c r="S460" s="54"/>
      <c r="T460" s="54"/>
      <c r="W460" s="54"/>
      <c r="X460" s="54"/>
      <c r="Y460" s="54"/>
      <c r="AB460" s="54"/>
      <c r="AC460" s="54"/>
      <c r="AD460" s="54"/>
      <c r="AG460" s="54"/>
      <c r="AH460" s="54"/>
      <c r="AI460" s="54"/>
    </row>
    <row r="461" spans="18:35" x14ac:dyDescent="0.2">
      <c r="R461" s="54"/>
      <c r="S461" s="54"/>
      <c r="T461" s="54"/>
      <c r="W461" s="54"/>
      <c r="X461" s="54"/>
      <c r="Y461" s="54"/>
      <c r="AB461" s="54"/>
      <c r="AC461" s="54"/>
      <c r="AD461" s="54"/>
      <c r="AG461" s="54"/>
      <c r="AH461" s="54"/>
      <c r="AI461" s="54"/>
    </row>
    <row r="462" spans="18:35" x14ac:dyDescent="0.2">
      <c r="AG462" s="54"/>
      <c r="AH462" s="54"/>
      <c r="AI462" s="54"/>
    </row>
  </sheetData>
  <sheetProtection algorithmName="SHA-512" hashValue="e6qaAW8oTIDM3m+BnDqWUdQaJbcLvpYEFOdrG/yRbzJMl8/Y8oPEFWVBN0pZg85kzhFdBrAqs63gZ2RNYLDv/g==" saltValue="Lq4GzHk9dP2a7FwwjxzEdQ==" spinCount="100000" sheet="1" selectLockedCells="1"/>
  <mergeCells count="4">
    <mergeCell ref="F77:H77"/>
    <mergeCell ref="O3:P3"/>
    <mergeCell ref="A1:Q1"/>
    <mergeCell ref="F86:G86"/>
  </mergeCells>
  <phoneticPr fontId="6" type="noConversion"/>
  <conditionalFormatting sqref="E6 E8">
    <cfRule type="cellIs" dxfId="15" priority="21" stopIfTrue="1" operator="notBetween">
      <formula>4</formula>
      <formula>55</formula>
    </cfRule>
  </conditionalFormatting>
  <conditionalFormatting sqref="E9">
    <cfRule type="cellIs" dxfId="14" priority="18" stopIfTrue="1" operator="notBetween">
      <formula>0.8</formula>
      <formula>55</formula>
    </cfRule>
  </conditionalFormatting>
  <conditionalFormatting sqref="E40">
    <cfRule type="cellIs" dxfId="13" priority="16" stopIfTrue="1" operator="lessThanOrEqual">
      <formula>0</formula>
    </cfRule>
  </conditionalFormatting>
  <conditionalFormatting sqref="E42">
    <cfRule type="cellIs" dxfId="12" priority="15" stopIfTrue="1" operator="lessThan">
      <formula>$E$41</formula>
    </cfRule>
  </conditionalFormatting>
  <conditionalFormatting sqref="E44">
    <cfRule type="cellIs" dxfId="11" priority="14" stopIfTrue="1" operator="greaterThan">
      <formula>$E$43</formula>
    </cfRule>
  </conditionalFormatting>
  <conditionalFormatting sqref="E49">
    <cfRule type="cellIs" dxfId="10" priority="12" stopIfTrue="1" operator="equal">
      <formula>0</formula>
    </cfRule>
  </conditionalFormatting>
  <conditionalFormatting sqref="E51">
    <cfRule type="cellIs" dxfId="9" priority="11" stopIfTrue="1" operator="lessThan">
      <formula>$E$50</formula>
    </cfRule>
  </conditionalFormatting>
  <conditionalFormatting sqref="E53">
    <cfRule type="cellIs" dxfId="8" priority="9" stopIfTrue="1" operator="greaterThan">
      <formula>$E$52</formula>
    </cfRule>
    <cfRule type="cellIs" dxfId="7" priority="10" stopIfTrue="1" operator="equal">
      <formula>0</formula>
    </cfRule>
  </conditionalFormatting>
  <conditionalFormatting sqref="E62">
    <cfRule type="cellIs" dxfId="6" priority="7" operator="notBetween">
      <formula>55</formula>
      <formula>4</formula>
    </cfRule>
  </conditionalFormatting>
  <conditionalFormatting sqref="E58">
    <cfRule type="cellIs" dxfId="5" priority="5" operator="lessThanOrEqual">
      <formula>1.28</formula>
    </cfRule>
  </conditionalFormatting>
  <conditionalFormatting sqref="E11">
    <cfRule type="cellIs" dxfId="4" priority="24" stopIfTrue="1" operator="notBetween">
      <formula>600</formula>
      <formula>100</formula>
    </cfRule>
  </conditionalFormatting>
  <conditionalFormatting sqref="E7">
    <cfRule type="cellIs" dxfId="3" priority="4" operator="notBetween">
      <formula>$E$6</formula>
      <formula>$E$8</formula>
    </cfRule>
  </conditionalFormatting>
  <conditionalFormatting sqref="E60">
    <cfRule type="expression" dxfId="2" priority="3">
      <formula>DITHER=2</formula>
    </cfRule>
  </conditionalFormatting>
  <conditionalFormatting sqref="D61">
    <cfRule type="expression" dxfId="1" priority="2">
      <formula>DITHER=2</formula>
    </cfRule>
  </conditionalFormatting>
  <conditionalFormatting sqref="D60">
    <cfRule type="expression" dxfId="0" priority="1">
      <formula>DITHER=2</formula>
    </cfRule>
  </conditionalFormatting>
  <hyperlinks>
    <hyperlink ref="C3" r:id="rId1" xr:uid="{00000000-0004-0000-0000-000000000000}"/>
    <hyperlink ref="O2" r:id="rId2" xr:uid="{00000000-0004-0000-0000-000001000000}"/>
    <hyperlink ref="O3:P3" location="Licenses!A1" display="TERMS OF USE" xr:uid="{DC7B42D1-2C8A-4B39-8A59-68243D901433}"/>
  </hyperlinks>
  <printOptions horizontalCentered="1" verticalCentered="1"/>
  <pageMargins left="0.1" right="0.1" top="0.1" bottom="0.1" header="0.25" footer="0.25"/>
  <pageSetup scale="46" orientation="portrait" r:id="rId3"/>
  <headerFooter alignWithMargins="0"/>
  <rowBreaks count="1" manualBreakCount="1">
    <brk id="114" max="16383" man="1"/>
  </rowBreaks>
  <ignoredErrors>
    <ignoredError sqref="E76 E30" unlockedFormula="1"/>
  </ignoredErrors>
  <drawing r:id="rId4"/>
  <legacyDrawing r:id="rId5"/>
  <legacyDrawingHF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3660" r:id="rId7" name="Drop Down 892">
              <controlPr defaultSize="0" autoLine="0" autoPict="0">
                <anchor moveWithCells="1">
                  <from>
                    <xdr:col>6</xdr:col>
                    <xdr:colOff>514350</xdr:colOff>
                    <xdr:row>11</xdr:row>
                    <xdr:rowOff>66675</xdr:rowOff>
                  </from>
                  <to>
                    <xdr:col>7</xdr:col>
                    <xdr:colOff>95250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3288" r:id="rId8" name="Button 520">
              <controlPr locked="0" defaultSize="0" print="0" autoFill="0" autoPict="0" macro="[0]!FIXValues">
                <anchor moveWithCells="1" sizeWithCells="1">
                  <from>
                    <xdr:col>2</xdr:col>
                    <xdr:colOff>314325</xdr:colOff>
                    <xdr:row>77</xdr:row>
                    <xdr:rowOff>76200</xdr:rowOff>
                  </from>
                  <to>
                    <xdr:col>2</xdr:col>
                    <xdr:colOff>895350</xdr:colOff>
                    <xdr:row>79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3260" r:id="rId9" name="Button 492">
              <controlPr locked="0" defaultSize="0" print="0" autoFill="0" autoPict="0" macro="[0]!RESETvalues">
                <anchor moveWithCells="1" sizeWithCells="1">
                  <from>
                    <xdr:col>2</xdr:col>
                    <xdr:colOff>314325</xdr:colOff>
                    <xdr:row>77</xdr:row>
                    <xdr:rowOff>76200</xdr:rowOff>
                  </from>
                  <to>
                    <xdr:col>2</xdr:col>
                    <xdr:colOff>895350</xdr:colOff>
                    <xdr:row>79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2829" r:id="rId10" name="Spinner 61">
              <controlPr defaultSize="0" autoPict="0">
                <anchor moveWithCells="1" sizeWithCells="1">
                  <from>
                    <xdr:col>5</xdr:col>
                    <xdr:colOff>9525</xdr:colOff>
                    <xdr:row>70</xdr:row>
                    <xdr:rowOff>0</xdr:rowOff>
                  </from>
                  <to>
                    <xdr:col>5</xdr:col>
                    <xdr:colOff>180975</xdr:colOff>
                    <xdr:row>70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2895" r:id="rId11" name="Spinner 127">
              <controlPr defaultSize="0" autoPict="0">
                <anchor moveWithCells="1" sizeWithCells="1">
                  <from>
                    <xdr:col>5</xdr:col>
                    <xdr:colOff>123825</xdr:colOff>
                    <xdr:row>6</xdr:row>
                    <xdr:rowOff>9525</xdr:rowOff>
                  </from>
                  <to>
                    <xdr:col>5</xdr:col>
                    <xdr:colOff>304800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2924" r:id="rId12" name="Drop Down 156">
              <controlPr defaultSize="0" autoLine="0" autoPict="0">
                <anchor>
                  <from>
                    <xdr:col>7</xdr:col>
                    <xdr:colOff>219075</xdr:colOff>
                    <xdr:row>83</xdr:row>
                    <xdr:rowOff>9525</xdr:rowOff>
                  </from>
                  <to>
                    <xdr:col>9</xdr:col>
                    <xdr:colOff>200025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3029" r:id="rId13" name="Drop Down 261">
              <controlPr defaultSize="0" autoLine="0" autoPict="0">
                <anchor moveWithCells="1">
                  <from>
                    <xdr:col>0</xdr:col>
                    <xdr:colOff>9525</xdr:colOff>
                    <xdr:row>59</xdr:row>
                    <xdr:rowOff>0</xdr:rowOff>
                  </from>
                  <to>
                    <xdr:col>1</xdr:col>
                    <xdr:colOff>476250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3295" r:id="rId14" name="Spinner 527">
              <controlPr defaultSize="0" autoPict="0">
                <anchor moveWithCells="1" sizeWithCells="1">
                  <from>
                    <xdr:col>13</xdr:col>
                    <xdr:colOff>428625</xdr:colOff>
                    <xdr:row>46</xdr:row>
                    <xdr:rowOff>0</xdr:rowOff>
                  </from>
                  <to>
                    <xdr:col>14</xdr:col>
                    <xdr:colOff>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3669" r:id="rId15" name="Spinner 901">
              <controlPr defaultSize="0" autoPict="0">
                <anchor moveWithCells="1" sizeWithCells="1">
                  <from>
                    <xdr:col>13</xdr:col>
                    <xdr:colOff>428625</xdr:colOff>
                    <xdr:row>83</xdr:row>
                    <xdr:rowOff>0</xdr:rowOff>
                  </from>
                  <to>
                    <xdr:col>14</xdr:col>
                    <xdr:colOff>0</xdr:colOff>
                    <xdr:row>84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0000"/>
  </sheetPr>
  <dimension ref="A1:M81"/>
  <sheetViews>
    <sheetView topLeftCell="A8" zoomScale="85" zoomScaleNormal="85" workbookViewId="0">
      <selection activeCell="K68" sqref="K68"/>
    </sheetView>
  </sheetViews>
  <sheetFormatPr defaultRowHeight="12.75" x14ac:dyDescent="0.2"/>
  <cols>
    <col min="1" max="1" width="9.5703125" style="226" customWidth="1"/>
    <col min="2" max="2" width="20.28515625" style="226" customWidth="1"/>
    <col min="3" max="3" width="16.140625" style="226" customWidth="1"/>
    <col min="4" max="4" width="20.140625" style="226" customWidth="1"/>
    <col min="5" max="5" width="17.28515625" style="226" customWidth="1"/>
    <col min="6" max="6" width="20.5703125" style="226" bestFit="1" customWidth="1"/>
    <col min="7" max="7" width="9.7109375" style="226" customWidth="1"/>
    <col min="8" max="8" width="16.140625" style="226" customWidth="1"/>
    <col min="9" max="9" width="14.7109375" style="226" customWidth="1"/>
    <col min="10" max="10" width="18.42578125" style="226" customWidth="1"/>
    <col min="11" max="11" width="26.42578125" style="226" customWidth="1"/>
    <col min="12" max="12" width="9.140625" style="226"/>
    <col min="13" max="13" width="9.140625" style="227"/>
    <col min="14" max="256" width="9.140625" style="226"/>
    <col min="257" max="257" width="8.7109375" style="226" bestFit="1" customWidth="1"/>
    <col min="258" max="258" width="13.28515625" style="226" customWidth="1"/>
    <col min="259" max="259" width="16.140625" style="226" bestFit="1" customWidth="1"/>
    <col min="260" max="260" width="23.5703125" style="226" customWidth="1"/>
    <col min="261" max="261" width="17.28515625" style="226" customWidth="1"/>
    <col min="262" max="262" width="20.5703125" style="226" bestFit="1" customWidth="1"/>
    <col min="263" max="263" width="17.140625" style="226" customWidth="1"/>
    <col min="264" max="264" width="21.85546875" style="226" bestFit="1" customWidth="1"/>
    <col min="265" max="265" width="17.140625" style="226" bestFit="1" customWidth="1"/>
    <col min="266" max="266" width="18.140625" style="226" bestFit="1" customWidth="1"/>
    <col min="267" max="267" width="26.42578125" style="226" customWidth="1"/>
    <col min="268" max="512" width="9.140625" style="226"/>
    <col min="513" max="513" width="8.7109375" style="226" bestFit="1" customWidth="1"/>
    <col min="514" max="514" width="13.28515625" style="226" customWidth="1"/>
    <col min="515" max="515" width="16.140625" style="226" bestFit="1" customWidth="1"/>
    <col min="516" max="516" width="23.5703125" style="226" customWidth="1"/>
    <col min="517" max="517" width="17.28515625" style="226" customWidth="1"/>
    <col min="518" max="518" width="20.5703125" style="226" bestFit="1" customWidth="1"/>
    <col min="519" max="519" width="17.140625" style="226" customWidth="1"/>
    <col min="520" max="520" width="21.85546875" style="226" bestFit="1" customWidth="1"/>
    <col min="521" max="521" width="17.140625" style="226" bestFit="1" customWidth="1"/>
    <col min="522" max="522" width="18.140625" style="226" bestFit="1" customWidth="1"/>
    <col min="523" max="523" width="26.42578125" style="226" customWidth="1"/>
    <col min="524" max="768" width="9.140625" style="226"/>
    <col min="769" max="769" width="8.7109375" style="226" bestFit="1" customWidth="1"/>
    <col min="770" max="770" width="13.28515625" style="226" customWidth="1"/>
    <col min="771" max="771" width="16.140625" style="226" bestFit="1" customWidth="1"/>
    <col min="772" max="772" width="23.5703125" style="226" customWidth="1"/>
    <col min="773" max="773" width="17.28515625" style="226" customWidth="1"/>
    <col min="774" max="774" width="20.5703125" style="226" bestFit="1" customWidth="1"/>
    <col min="775" max="775" width="17.140625" style="226" customWidth="1"/>
    <col min="776" max="776" width="21.85546875" style="226" bestFit="1" customWidth="1"/>
    <col min="777" max="777" width="17.140625" style="226" bestFit="1" customWidth="1"/>
    <col min="778" max="778" width="18.140625" style="226" bestFit="1" customWidth="1"/>
    <col min="779" max="779" width="26.42578125" style="226" customWidth="1"/>
    <col min="780" max="1024" width="9.140625" style="226"/>
    <col min="1025" max="1025" width="8.7109375" style="226" bestFit="1" customWidth="1"/>
    <col min="1026" max="1026" width="13.28515625" style="226" customWidth="1"/>
    <col min="1027" max="1027" width="16.140625" style="226" bestFit="1" customWidth="1"/>
    <col min="1028" max="1028" width="23.5703125" style="226" customWidth="1"/>
    <col min="1029" max="1029" width="17.28515625" style="226" customWidth="1"/>
    <col min="1030" max="1030" width="20.5703125" style="226" bestFit="1" customWidth="1"/>
    <col min="1031" max="1031" width="17.140625" style="226" customWidth="1"/>
    <col min="1032" max="1032" width="21.85546875" style="226" bestFit="1" customWidth="1"/>
    <col min="1033" max="1033" width="17.140625" style="226" bestFit="1" customWidth="1"/>
    <col min="1034" max="1034" width="18.140625" style="226" bestFit="1" customWidth="1"/>
    <col min="1035" max="1035" width="26.42578125" style="226" customWidth="1"/>
    <col min="1036" max="1280" width="9.140625" style="226"/>
    <col min="1281" max="1281" width="8.7109375" style="226" bestFit="1" customWidth="1"/>
    <col min="1282" max="1282" width="13.28515625" style="226" customWidth="1"/>
    <col min="1283" max="1283" width="16.140625" style="226" bestFit="1" customWidth="1"/>
    <col min="1284" max="1284" width="23.5703125" style="226" customWidth="1"/>
    <col min="1285" max="1285" width="17.28515625" style="226" customWidth="1"/>
    <col min="1286" max="1286" width="20.5703125" style="226" bestFit="1" customWidth="1"/>
    <col min="1287" max="1287" width="17.140625" style="226" customWidth="1"/>
    <col min="1288" max="1288" width="21.85546875" style="226" bestFit="1" customWidth="1"/>
    <col min="1289" max="1289" width="17.140625" style="226" bestFit="1" customWidth="1"/>
    <col min="1290" max="1290" width="18.140625" style="226" bestFit="1" customWidth="1"/>
    <col min="1291" max="1291" width="26.42578125" style="226" customWidth="1"/>
    <col min="1292" max="1536" width="9.140625" style="226"/>
    <col min="1537" max="1537" width="8.7109375" style="226" bestFit="1" customWidth="1"/>
    <col min="1538" max="1538" width="13.28515625" style="226" customWidth="1"/>
    <col min="1539" max="1539" width="16.140625" style="226" bestFit="1" customWidth="1"/>
    <col min="1540" max="1540" width="23.5703125" style="226" customWidth="1"/>
    <col min="1541" max="1541" width="17.28515625" style="226" customWidth="1"/>
    <col min="1542" max="1542" width="20.5703125" style="226" bestFit="1" customWidth="1"/>
    <col min="1543" max="1543" width="17.140625" style="226" customWidth="1"/>
    <col min="1544" max="1544" width="21.85546875" style="226" bestFit="1" customWidth="1"/>
    <col min="1545" max="1545" width="17.140625" style="226" bestFit="1" customWidth="1"/>
    <col min="1546" max="1546" width="18.140625" style="226" bestFit="1" customWidth="1"/>
    <col min="1547" max="1547" width="26.42578125" style="226" customWidth="1"/>
    <col min="1548" max="1792" width="9.140625" style="226"/>
    <col min="1793" max="1793" width="8.7109375" style="226" bestFit="1" customWidth="1"/>
    <col min="1794" max="1794" width="13.28515625" style="226" customWidth="1"/>
    <col min="1795" max="1795" width="16.140625" style="226" bestFit="1" customWidth="1"/>
    <col min="1796" max="1796" width="23.5703125" style="226" customWidth="1"/>
    <col min="1797" max="1797" width="17.28515625" style="226" customWidth="1"/>
    <col min="1798" max="1798" width="20.5703125" style="226" bestFit="1" customWidth="1"/>
    <col min="1799" max="1799" width="17.140625" style="226" customWidth="1"/>
    <col min="1800" max="1800" width="21.85546875" style="226" bestFit="1" customWidth="1"/>
    <col min="1801" max="1801" width="17.140625" style="226" bestFit="1" customWidth="1"/>
    <col min="1802" max="1802" width="18.140625" style="226" bestFit="1" customWidth="1"/>
    <col min="1803" max="1803" width="26.42578125" style="226" customWidth="1"/>
    <col min="1804" max="2048" width="9.140625" style="226"/>
    <col min="2049" max="2049" width="8.7109375" style="226" bestFit="1" customWidth="1"/>
    <col min="2050" max="2050" width="13.28515625" style="226" customWidth="1"/>
    <col min="2051" max="2051" width="16.140625" style="226" bestFit="1" customWidth="1"/>
    <col min="2052" max="2052" width="23.5703125" style="226" customWidth="1"/>
    <col min="2053" max="2053" width="17.28515625" style="226" customWidth="1"/>
    <col min="2054" max="2054" width="20.5703125" style="226" bestFit="1" customWidth="1"/>
    <col min="2055" max="2055" width="17.140625" style="226" customWidth="1"/>
    <col min="2056" max="2056" width="21.85546875" style="226" bestFit="1" customWidth="1"/>
    <col min="2057" max="2057" width="17.140625" style="226" bestFit="1" customWidth="1"/>
    <col min="2058" max="2058" width="18.140625" style="226" bestFit="1" customWidth="1"/>
    <col min="2059" max="2059" width="26.42578125" style="226" customWidth="1"/>
    <col min="2060" max="2304" width="9.140625" style="226"/>
    <col min="2305" max="2305" width="8.7109375" style="226" bestFit="1" customWidth="1"/>
    <col min="2306" max="2306" width="13.28515625" style="226" customWidth="1"/>
    <col min="2307" max="2307" width="16.140625" style="226" bestFit="1" customWidth="1"/>
    <col min="2308" max="2308" width="23.5703125" style="226" customWidth="1"/>
    <col min="2309" max="2309" width="17.28515625" style="226" customWidth="1"/>
    <col min="2310" max="2310" width="20.5703125" style="226" bestFit="1" customWidth="1"/>
    <col min="2311" max="2311" width="17.140625" style="226" customWidth="1"/>
    <col min="2312" max="2312" width="21.85546875" style="226" bestFit="1" customWidth="1"/>
    <col min="2313" max="2313" width="17.140625" style="226" bestFit="1" customWidth="1"/>
    <col min="2314" max="2314" width="18.140625" style="226" bestFit="1" customWidth="1"/>
    <col min="2315" max="2315" width="26.42578125" style="226" customWidth="1"/>
    <col min="2316" max="2560" width="9.140625" style="226"/>
    <col min="2561" max="2561" width="8.7109375" style="226" bestFit="1" customWidth="1"/>
    <col min="2562" max="2562" width="13.28515625" style="226" customWidth="1"/>
    <col min="2563" max="2563" width="16.140625" style="226" bestFit="1" customWidth="1"/>
    <col min="2564" max="2564" width="23.5703125" style="226" customWidth="1"/>
    <col min="2565" max="2565" width="17.28515625" style="226" customWidth="1"/>
    <col min="2566" max="2566" width="20.5703125" style="226" bestFit="1" customWidth="1"/>
    <col min="2567" max="2567" width="17.140625" style="226" customWidth="1"/>
    <col min="2568" max="2568" width="21.85546875" style="226" bestFit="1" customWidth="1"/>
    <col min="2569" max="2569" width="17.140625" style="226" bestFit="1" customWidth="1"/>
    <col min="2570" max="2570" width="18.140625" style="226" bestFit="1" customWidth="1"/>
    <col min="2571" max="2571" width="26.42578125" style="226" customWidth="1"/>
    <col min="2572" max="2816" width="9.140625" style="226"/>
    <col min="2817" max="2817" width="8.7109375" style="226" bestFit="1" customWidth="1"/>
    <col min="2818" max="2818" width="13.28515625" style="226" customWidth="1"/>
    <col min="2819" max="2819" width="16.140625" style="226" bestFit="1" customWidth="1"/>
    <col min="2820" max="2820" width="23.5703125" style="226" customWidth="1"/>
    <col min="2821" max="2821" width="17.28515625" style="226" customWidth="1"/>
    <col min="2822" max="2822" width="20.5703125" style="226" bestFit="1" customWidth="1"/>
    <col min="2823" max="2823" width="17.140625" style="226" customWidth="1"/>
    <col min="2824" max="2824" width="21.85546875" style="226" bestFit="1" customWidth="1"/>
    <col min="2825" max="2825" width="17.140625" style="226" bestFit="1" customWidth="1"/>
    <col min="2826" max="2826" width="18.140625" style="226" bestFit="1" customWidth="1"/>
    <col min="2827" max="2827" width="26.42578125" style="226" customWidth="1"/>
    <col min="2828" max="3072" width="9.140625" style="226"/>
    <col min="3073" max="3073" width="8.7109375" style="226" bestFit="1" customWidth="1"/>
    <col min="3074" max="3074" width="13.28515625" style="226" customWidth="1"/>
    <col min="3075" max="3075" width="16.140625" style="226" bestFit="1" customWidth="1"/>
    <col min="3076" max="3076" width="23.5703125" style="226" customWidth="1"/>
    <col min="3077" max="3077" width="17.28515625" style="226" customWidth="1"/>
    <col min="3078" max="3078" width="20.5703125" style="226" bestFit="1" customWidth="1"/>
    <col min="3079" max="3079" width="17.140625" style="226" customWidth="1"/>
    <col min="3080" max="3080" width="21.85546875" style="226" bestFit="1" customWidth="1"/>
    <col min="3081" max="3081" width="17.140625" style="226" bestFit="1" customWidth="1"/>
    <col min="3082" max="3082" width="18.140625" style="226" bestFit="1" customWidth="1"/>
    <col min="3083" max="3083" width="26.42578125" style="226" customWidth="1"/>
    <col min="3084" max="3328" width="9.140625" style="226"/>
    <col min="3329" max="3329" width="8.7109375" style="226" bestFit="1" customWidth="1"/>
    <col min="3330" max="3330" width="13.28515625" style="226" customWidth="1"/>
    <col min="3331" max="3331" width="16.140625" style="226" bestFit="1" customWidth="1"/>
    <col min="3332" max="3332" width="23.5703125" style="226" customWidth="1"/>
    <col min="3333" max="3333" width="17.28515625" style="226" customWidth="1"/>
    <col min="3334" max="3334" width="20.5703125" style="226" bestFit="1" customWidth="1"/>
    <col min="3335" max="3335" width="17.140625" style="226" customWidth="1"/>
    <col min="3336" max="3336" width="21.85546875" style="226" bestFit="1" customWidth="1"/>
    <col min="3337" max="3337" width="17.140625" style="226" bestFit="1" customWidth="1"/>
    <col min="3338" max="3338" width="18.140625" style="226" bestFit="1" customWidth="1"/>
    <col min="3339" max="3339" width="26.42578125" style="226" customWidth="1"/>
    <col min="3340" max="3584" width="9.140625" style="226"/>
    <col min="3585" max="3585" width="8.7109375" style="226" bestFit="1" customWidth="1"/>
    <col min="3586" max="3586" width="13.28515625" style="226" customWidth="1"/>
    <col min="3587" max="3587" width="16.140625" style="226" bestFit="1" customWidth="1"/>
    <col min="3588" max="3588" width="23.5703125" style="226" customWidth="1"/>
    <col min="3589" max="3589" width="17.28515625" style="226" customWidth="1"/>
    <col min="3590" max="3590" width="20.5703125" style="226" bestFit="1" customWidth="1"/>
    <col min="3591" max="3591" width="17.140625" style="226" customWidth="1"/>
    <col min="3592" max="3592" width="21.85546875" style="226" bestFit="1" customWidth="1"/>
    <col min="3593" max="3593" width="17.140625" style="226" bestFit="1" customWidth="1"/>
    <col min="3594" max="3594" width="18.140625" style="226" bestFit="1" customWidth="1"/>
    <col min="3595" max="3595" width="26.42578125" style="226" customWidth="1"/>
    <col min="3596" max="3840" width="9.140625" style="226"/>
    <col min="3841" max="3841" width="8.7109375" style="226" bestFit="1" customWidth="1"/>
    <col min="3842" max="3842" width="13.28515625" style="226" customWidth="1"/>
    <col min="3843" max="3843" width="16.140625" style="226" bestFit="1" customWidth="1"/>
    <col min="3844" max="3844" width="23.5703125" style="226" customWidth="1"/>
    <col min="3845" max="3845" width="17.28515625" style="226" customWidth="1"/>
    <col min="3846" max="3846" width="20.5703125" style="226" bestFit="1" customWidth="1"/>
    <col min="3847" max="3847" width="17.140625" style="226" customWidth="1"/>
    <col min="3848" max="3848" width="21.85546875" style="226" bestFit="1" customWidth="1"/>
    <col min="3849" max="3849" width="17.140625" style="226" bestFit="1" customWidth="1"/>
    <col min="3850" max="3850" width="18.140625" style="226" bestFit="1" customWidth="1"/>
    <col min="3851" max="3851" width="26.42578125" style="226" customWidth="1"/>
    <col min="3852" max="4096" width="9.140625" style="226"/>
    <col min="4097" max="4097" width="8.7109375" style="226" bestFit="1" customWidth="1"/>
    <col min="4098" max="4098" width="13.28515625" style="226" customWidth="1"/>
    <col min="4099" max="4099" width="16.140625" style="226" bestFit="1" customWidth="1"/>
    <col min="4100" max="4100" width="23.5703125" style="226" customWidth="1"/>
    <col min="4101" max="4101" width="17.28515625" style="226" customWidth="1"/>
    <col min="4102" max="4102" width="20.5703125" style="226" bestFit="1" customWidth="1"/>
    <col min="4103" max="4103" width="17.140625" style="226" customWidth="1"/>
    <col min="4104" max="4104" width="21.85546875" style="226" bestFit="1" customWidth="1"/>
    <col min="4105" max="4105" width="17.140625" style="226" bestFit="1" customWidth="1"/>
    <col min="4106" max="4106" width="18.140625" style="226" bestFit="1" customWidth="1"/>
    <col min="4107" max="4107" width="26.42578125" style="226" customWidth="1"/>
    <col min="4108" max="4352" width="9.140625" style="226"/>
    <col min="4353" max="4353" width="8.7109375" style="226" bestFit="1" customWidth="1"/>
    <col min="4354" max="4354" width="13.28515625" style="226" customWidth="1"/>
    <col min="4355" max="4355" width="16.140625" style="226" bestFit="1" customWidth="1"/>
    <col min="4356" max="4356" width="23.5703125" style="226" customWidth="1"/>
    <col min="4357" max="4357" width="17.28515625" style="226" customWidth="1"/>
    <col min="4358" max="4358" width="20.5703125" style="226" bestFit="1" customWidth="1"/>
    <col min="4359" max="4359" width="17.140625" style="226" customWidth="1"/>
    <col min="4360" max="4360" width="21.85546875" style="226" bestFit="1" customWidth="1"/>
    <col min="4361" max="4361" width="17.140625" style="226" bestFit="1" customWidth="1"/>
    <col min="4362" max="4362" width="18.140625" style="226" bestFit="1" customWidth="1"/>
    <col min="4363" max="4363" width="26.42578125" style="226" customWidth="1"/>
    <col min="4364" max="4608" width="9.140625" style="226"/>
    <col min="4609" max="4609" width="8.7109375" style="226" bestFit="1" customWidth="1"/>
    <col min="4610" max="4610" width="13.28515625" style="226" customWidth="1"/>
    <col min="4611" max="4611" width="16.140625" style="226" bestFit="1" customWidth="1"/>
    <col min="4612" max="4612" width="23.5703125" style="226" customWidth="1"/>
    <col min="4613" max="4613" width="17.28515625" style="226" customWidth="1"/>
    <col min="4614" max="4614" width="20.5703125" style="226" bestFit="1" customWidth="1"/>
    <col min="4615" max="4615" width="17.140625" style="226" customWidth="1"/>
    <col min="4616" max="4616" width="21.85546875" style="226" bestFit="1" customWidth="1"/>
    <col min="4617" max="4617" width="17.140625" style="226" bestFit="1" customWidth="1"/>
    <col min="4618" max="4618" width="18.140625" style="226" bestFit="1" customWidth="1"/>
    <col min="4619" max="4619" width="26.42578125" style="226" customWidth="1"/>
    <col min="4620" max="4864" width="9.140625" style="226"/>
    <col min="4865" max="4865" width="8.7109375" style="226" bestFit="1" customWidth="1"/>
    <col min="4866" max="4866" width="13.28515625" style="226" customWidth="1"/>
    <col min="4867" max="4867" width="16.140625" style="226" bestFit="1" customWidth="1"/>
    <col min="4868" max="4868" width="23.5703125" style="226" customWidth="1"/>
    <col min="4869" max="4869" width="17.28515625" style="226" customWidth="1"/>
    <col min="4870" max="4870" width="20.5703125" style="226" bestFit="1" customWidth="1"/>
    <col min="4871" max="4871" width="17.140625" style="226" customWidth="1"/>
    <col min="4872" max="4872" width="21.85546875" style="226" bestFit="1" customWidth="1"/>
    <col min="4873" max="4873" width="17.140625" style="226" bestFit="1" customWidth="1"/>
    <col min="4874" max="4874" width="18.140625" style="226" bestFit="1" customWidth="1"/>
    <col min="4875" max="4875" width="26.42578125" style="226" customWidth="1"/>
    <col min="4876" max="5120" width="9.140625" style="226"/>
    <col min="5121" max="5121" width="8.7109375" style="226" bestFit="1" customWidth="1"/>
    <col min="5122" max="5122" width="13.28515625" style="226" customWidth="1"/>
    <col min="5123" max="5123" width="16.140625" style="226" bestFit="1" customWidth="1"/>
    <col min="5124" max="5124" width="23.5703125" style="226" customWidth="1"/>
    <col min="5125" max="5125" width="17.28515625" style="226" customWidth="1"/>
    <col min="5126" max="5126" width="20.5703125" style="226" bestFit="1" customWidth="1"/>
    <col min="5127" max="5127" width="17.140625" style="226" customWidth="1"/>
    <col min="5128" max="5128" width="21.85546875" style="226" bestFit="1" customWidth="1"/>
    <col min="5129" max="5129" width="17.140625" style="226" bestFit="1" customWidth="1"/>
    <col min="5130" max="5130" width="18.140625" style="226" bestFit="1" customWidth="1"/>
    <col min="5131" max="5131" width="26.42578125" style="226" customWidth="1"/>
    <col min="5132" max="5376" width="9.140625" style="226"/>
    <col min="5377" max="5377" width="8.7109375" style="226" bestFit="1" customWidth="1"/>
    <col min="5378" max="5378" width="13.28515625" style="226" customWidth="1"/>
    <col min="5379" max="5379" width="16.140625" style="226" bestFit="1" customWidth="1"/>
    <col min="5380" max="5380" width="23.5703125" style="226" customWidth="1"/>
    <col min="5381" max="5381" width="17.28515625" style="226" customWidth="1"/>
    <col min="5382" max="5382" width="20.5703125" style="226" bestFit="1" customWidth="1"/>
    <col min="5383" max="5383" width="17.140625" style="226" customWidth="1"/>
    <col min="5384" max="5384" width="21.85546875" style="226" bestFit="1" customWidth="1"/>
    <col min="5385" max="5385" width="17.140625" style="226" bestFit="1" customWidth="1"/>
    <col min="5386" max="5386" width="18.140625" style="226" bestFit="1" customWidth="1"/>
    <col min="5387" max="5387" width="26.42578125" style="226" customWidth="1"/>
    <col min="5388" max="5632" width="9.140625" style="226"/>
    <col min="5633" max="5633" width="8.7109375" style="226" bestFit="1" customWidth="1"/>
    <col min="5634" max="5634" width="13.28515625" style="226" customWidth="1"/>
    <col min="5635" max="5635" width="16.140625" style="226" bestFit="1" customWidth="1"/>
    <col min="5636" max="5636" width="23.5703125" style="226" customWidth="1"/>
    <col min="5637" max="5637" width="17.28515625" style="226" customWidth="1"/>
    <col min="5638" max="5638" width="20.5703125" style="226" bestFit="1" customWidth="1"/>
    <col min="5639" max="5639" width="17.140625" style="226" customWidth="1"/>
    <col min="5640" max="5640" width="21.85546875" style="226" bestFit="1" customWidth="1"/>
    <col min="5641" max="5641" width="17.140625" style="226" bestFit="1" customWidth="1"/>
    <col min="5642" max="5642" width="18.140625" style="226" bestFit="1" customWidth="1"/>
    <col min="5643" max="5643" width="26.42578125" style="226" customWidth="1"/>
    <col min="5644" max="5888" width="9.140625" style="226"/>
    <col min="5889" max="5889" width="8.7109375" style="226" bestFit="1" customWidth="1"/>
    <col min="5890" max="5890" width="13.28515625" style="226" customWidth="1"/>
    <col min="5891" max="5891" width="16.140625" style="226" bestFit="1" customWidth="1"/>
    <col min="5892" max="5892" width="23.5703125" style="226" customWidth="1"/>
    <col min="5893" max="5893" width="17.28515625" style="226" customWidth="1"/>
    <col min="5894" max="5894" width="20.5703125" style="226" bestFit="1" customWidth="1"/>
    <col min="5895" max="5895" width="17.140625" style="226" customWidth="1"/>
    <col min="5896" max="5896" width="21.85546875" style="226" bestFit="1" customWidth="1"/>
    <col min="5897" max="5897" width="17.140625" style="226" bestFit="1" customWidth="1"/>
    <col min="5898" max="5898" width="18.140625" style="226" bestFit="1" customWidth="1"/>
    <col min="5899" max="5899" width="26.42578125" style="226" customWidth="1"/>
    <col min="5900" max="6144" width="9.140625" style="226"/>
    <col min="6145" max="6145" width="8.7109375" style="226" bestFit="1" customWidth="1"/>
    <col min="6146" max="6146" width="13.28515625" style="226" customWidth="1"/>
    <col min="6147" max="6147" width="16.140625" style="226" bestFit="1" customWidth="1"/>
    <col min="6148" max="6148" width="23.5703125" style="226" customWidth="1"/>
    <col min="6149" max="6149" width="17.28515625" style="226" customWidth="1"/>
    <col min="6150" max="6150" width="20.5703125" style="226" bestFit="1" customWidth="1"/>
    <col min="6151" max="6151" width="17.140625" style="226" customWidth="1"/>
    <col min="6152" max="6152" width="21.85546875" style="226" bestFit="1" customWidth="1"/>
    <col min="6153" max="6153" width="17.140625" style="226" bestFit="1" customWidth="1"/>
    <col min="6154" max="6154" width="18.140625" style="226" bestFit="1" customWidth="1"/>
    <col min="6155" max="6155" width="26.42578125" style="226" customWidth="1"/>
    <col min="6156" max="6400" width="9.140625" style="226"/>
    <col min="6401" max="6401" width="8.7109375" style="226" bestFit="1" customWidth="1"/>
    <col min="6402" max="6402" width="13.28515625" style="226" customWidth="1"/>
    <col min="6403" max="6403" width="16.140625" style="226" bestFit="1" customWidth="1"/>
    <col min="6404" max="6404" width="23.5703125" style="226" customWidth="1"/>
    <col min="6405" max="6405" width="17.28515625" style="226" customWidth="1"/>
    <col min="6406" max="6406" width="20.5703125" style="226" bestFit="1" customWidth="1"/>
    <col min="6407" max="6407" width="17.140625" style="226" customWidth="1"/>
    <col min="6408" max="6408" width="21.85546875" style="226" bestFit="1" customWidth="1"/>
    <col min="6409" max="6409" width="17.140625" style="226" bestFit="1" customWidth="1"/>
    <col min="6410" max="6410" width="18.140625" style="226" bestFit="1" customWidth="1"/>
    <col min="6411" max="6411" width="26.42578125" style="226" customWidth="1"/>
    <col min="6412" max="6656" width="9.140625" style="226"/>
    <col min="6657" max="6657" width="8.7109375" style="226" bestFit="1" customWidth="1"/>
    <col min="6658" max="6658" width="13.28515625" style="226" customWidth="1"/>
    <col min="6659" max="6659" width="16.140625" style="226" bestFit="1" customWidth="1"/>
    <col min="6660" max="6660" width="23.5703125" style="226" customWidth="1"/>
    <col min="6661" max="6661" width="17.28515625" style="226" customWidth="1"/>
    <col min="6662" max="6662" width="20.5703125" style="226" bestFit="1" customWidth="1"/>
    <col min="6663" max="6663" width="17.140625" style="226" customWidth="1"/>
    <col min="6664" max="6664" width="21.85546875" style="226" bestFit="1" customWidth="1"/>
    <col min="6665" max="6665" width="17.140625" style="226" bestFit="1" customWidth="1"/>
    <col min="6666" max="6666" width="18.140625" style="226" bestFit="1" customWidth="1"/>
    <col min="6667" max="6667" width="26.42578125" style="226" customWidth="1"/>
    <col min="6668" max="6912" width="9.140625" style="226"/>
    <col min="6913" max="6913" width="8.7109375" style="226" bestFit="1" customWidth="1"/>
    <col min="6914" max="6914" width="13.28515625" style="226" customWidth="1"/>
    <col min="6915" max="6915" width="16.140625" style="226" bestFit="1" customWidth="1"/>
    <col min="6916" max="6916" width="23.5703125" style="226" customWidth="1"/>
    <col min="6917" max="6917" width="17.28515625" style="226" customWidth="1"/>
    <col min="6918" max="6918" width="20.5703125" style="226" bestFit="1" customWidth="1"/>
    <col min="6919" max="6919" width="17.140625" style="226" customWidth="1"/>
    <col min="6920" max="6920" width="21.85546875" style="226" bestFit="1" customWidth="1"/>
    <col min="6921" max="6921" width="17.140625" style="226" bestFit="1" customWidth="1"/>
    <col min="6922" max="6922" width="18.140625" style="226" bestFit="1" customWidth="1"/>
    <col min="6923" max="6923" width="26.42578125" style="226" customWidth="1"/>
    <col min="6924" max="7168" width="9.140625" style="226"/>
    <col min="7169" max="7169" width="8.7109375" style="226" bestFit="1" customWidth="1"/>
    <col min="7170" max="7170" width="13.28515625" style="226" customWidth="1"/>
    <col min="7171" max="7171" width="16.140625" style="226" bestFit="1" customWidth="1"/>
    <col min="7172" max="7172" width="23.5703125" style="226" customWidth="1"/>
    <col min="7173" max="7173" width="17.28515625" style="226" customWidth="1"/>
    <col min="7174" max="7174" width="20.5703125" style="226" bestFit="1" customWidth="1"/>
    <col min="7175" max="7175" width="17.140625" style="226" customWidth="1"/>
    <col min="7176" max="7176" width="21.85546875" style="226" bestFit="1" customWidth="1"/>
    <col min="7177" max="7177" width="17.140625" style="226" bestFit="1" customWidth="1"/>
    <col min="7178" max="7178" width="18.140625" style="226" bestFit="1" customWidth="1"/>
    <col min="7179" max="7179" width="26.42578125" style="226" customWidth="1"/>
    <col min="7180" max="7424" width="9.140625" style="226"/>
    <col min="7425" max="7425" width="8.7109375" style="226" bestFit="1" customWidth="1"/>
    <col min="7426" max="7426" width="13.28515625" style="226" customWidth="1"/>
    <col min="7427" max="7427" width="16.140625" style="226" bestFit="1" customWidth="1"/>
    <col min="7428" max="7428" width="23.5703125" style="226" customWidth="1"/>
    <col min="7429" max="7429" width="17.28515625" style="226" customWidth="1"/>
    <col min="7430" max="7430" width="20.5703125" style="226" bestFit="1" customWidth="1"/>
    <col min="7431" max="7431" width="17.140625" style="226" customWidth="1"/>
    <col min="7432" max="7432" width="21.85546875" style="226" bestFit="1" customWidth="1"/>
    <col min="7433" max="7433" width="17.140625" style="226" bestFit="1" customWidth="1"/>
    <col min="7434" max="7434" width="18.140625" style="226" bestFit="1" customWidth="1"/>
    <col min="7435" max="7435" width="26.42578125" style="226" customWidth="1"/>
    <col min="7436" max="7680" width="9.140625" style="226"/>
    <col min="7681" max="7681" width="8.7109375" style="226" bestFit="1" customWidth="1"/>
    <col min="7682" max="7682" width="13.28515625" style="226" customWidth="1"/>
    <col min="7683" max="7683" width="16.140625" style="226" bestFit="1" customWidth="1"/>
    <col min="7684" max="7684" width="23.5703125" style="226" customWidth="1"/>
    <col min="7685" max="7685" width="17.28515625" style="226" customWidth="1"/>
    <col min="7686" max="7686" width="20.5703125" style="226" bestFit="1" customWidth="1"/>
    <col min="7687" max="7687" width="17.140625" style="226" customWidth="1"/>
    <col min="7688" max="7688" width="21.85546875" style="226" bestFit="1" customWidth="1"/>
    <col min="7689" max="7689" width="17.140625" style="226" bestFit="1" customWidth="1"/>
    <col min="7690" max="7690" width="18.140625" style="226" bestFit="1" customWidth="1"/>
    <col min="7691" max="7691" width="26.42578125" style="226" customWidth="1"/>
    <col min="7692" max="7936" width="9.140625" style="226"/>
    <col min="7937" max="7937" width="8.7109375" style="226" bestFit="1" customWidth="1"/>
    <col min="7938" max="7938" width="13.28515625" style="226" customWidth="1"/>
    <col min="7939" max="7939" width="16.140625" style="226" bestFit="1" customWidth="1"/>
    <col min="7940" max="7940" width="23.5703125" style="226" customWidth="1"/>
    <col min="7941" max="7941" width="17.28515625" style="226" customWidth="1"/>
    <col min="7942" max="7942" width="20.5703125" style="226" bestFit="1" customWidth="1"/>
    <col min="7943" max="7943" width="17.140625" style="226" customWidth="1"/>
    <col min="7944" max="7944" width="21.85546875" style="226" bestFit="1" customWidth="1"/>
    <col min="7945" max="7945" width="17.140625" style="226" bestFit="1" customWidth="1"/>
    <col min="7946" max="7946" width="18.140625" style="226" bestFit="1" customWidth="1"/>
    <col min="7947" max="7947" width="26.42578125" style="226" customWidth="1"/>
    <col min="7948" max="8192" width="9.140625" style="226"/>
    <col min="8193" max="8193" width="8.7109375" style="226" bestFit="1" customWidth="1"/>
    <col min="8194" max="8194" width="13.28515625" style="226" customWidth="1"/>
    <col min="8195" max="8195" width="16.140625" style="226" bestFit="1" customWidth="1"/>
    <col min="8196" max="8196" width="23.5703125" style="226" customWidth="1"/>
    <col min="8197" max="8197" width="17.28515625" style="226" customWidth="1"/>
    <col min="8198" max="8198" width="20.5703125" style="226" bestFit="1" customWidth="1"/>
    <col min="8199" max="8199" width="17.140625" style="226" customWidth="1"/>
    <col min="8200" max="8200" width="21.85546875" style="226" bestFit="1" customWidth="1"/>
    <col min="8201" max="8201" width="17.140625" style="226" bestFit="1" customWidth="1"/>
    <col min="8202" max="8202" width="18.140625" style="226" bestFit="1" customWidth="1"/>
    <col min="8203" max="8203" width="26.42578125" style="226" customWidth="1"/>
    <col min="8204" max="8448" width="9.140625" style="226"/>
    <col min="8449" max="8449" width="8.7109375" style="226" bestFit="1" customWidth="1"/>
    <col min="8450" max="8450" width="13.28515625" style="226" customWidth="1"/>
    <col min="8451" max="8451" width="16.140625" style="226" bestFit="1" customWidth="1"/>
    <col min="8452" max="8452" width="23.5703125" style="226" customWidth="1"/>
    <col min="8453" max="8453" width="17.28515625" style="226" customWidth="1"/>
    <col min="8454" max="8454" width="20.5703125" style="226" bestFit="1" customWidth="1"/>
    <col min="8455" max="8455" width="17.140625" style="226" customWidth="1"/>
    <col min="8456" max="8456" width="21.85546875" style="226" bestFit="1" customWidth="1"/>
    <col min="8457" max="8457" width="17.140625" style="226" bestFit="1" customWidth="1"/>
    <col min="8458" max="8458" width="18.140625" style="226" bestFit="1" customWidth="1"/>
    <col min="8459" max="8459" width="26.42578125" style="226" customWidth="1"/>
    <col min="8460" max="8704" width="9.140625" style="226"/>
    <col min="8705" max="8705" width="8.7109375" style="226" bestFit="1" customWidth="1"/>
    <col min="8706" max="8706" width="13.28515625" style="226" customWidth="1"/>
    <col min="8707" max="8707" width="16.140625" style="226" bestFit="1" customWidth="1"/>
    <col min="8708" max="8708" width="23.5703125" style="226" customWidth="1"/>
    <col min="8709" max="8709" width="17.28515625" style="226" customWidth="1"/>
    <col min="8710" max="8710" width="20.5703125" style="226" bestFit="1" customWidth="1"/>
    <col min="8711" max="8711" width="17.140625" style="226" customWidth="1"/>
    <col min="8712" max="8712" width="21.85546875" style="226" bestFit="1" customWidth="1"/>
    <col min="8713" max="8713" width="17.140625" style="226" bestFit="1" customWidth="1"/>
    <col min="8714" max="8714" width="18.140625" style="226" bestFit="1" customWidth="1"/>
    <col min="8715" max="8715" width="26.42578125" style="226" customWidth="1"/>
    <col min="8716" max="8960" width="9.140625" style="226"/>
    <col min="8961" max="8961" width="8.7109375" style="226" bestFit="1" customWidth="1"/>
    <col min="8962" max="8962" width="13.28515625" style="226" customWidth="1"/>
    <col min="8963" max="8963" width="16.140625" style="226" bestFit="1" customWidth="1"/>
    <col min="8964" max="8964" width="23.5703125" style="226" customWidth="1"/>
    <col min="8965" max="8965" width="17.28515625" style="226" customWidth="1"/>
    <col min="8966" max="8966" width="20.5703125" style="226" bestFit="1" customWidth="1"/>
    <col min="8967" max="8967" width="17.140625" style="226" customWidth="1"/>
    <col min="8968" max="8968" width="21.85546875" style="226" bestFit="1" customWidth="1"/>
    <col min="8969" max="8969" width="17.140625" style="226" bestFit="1" customWidth="1"/>
    <col min="8970" max="8970" width="18.140625" style="226" bestFit="1" customWidth="1"/>
    <col min="8971" max="8971" width="26.42578125" style="226" customWidth="1"/>
    <col min="8972" max="9216" width="9.140625" style="226"/>
    <col min="9217" max="9217" width="8.7109375" style="226" bestFit="1" customWidth="1"/>
    <col min="9218" max="9218" width="13.28515625" style="226" customWidth="1"/>
    <col min="9219" max="9219" width="16.140625" style="226" bestFit="1" customWidth="1"/>
    <col min="9220" max="9220" width="23.5703125" style="226" customWidth="1"/>
    <col min="9221" max="9221" width="17.28515625" style="226" customWidth="1"/>
    <col min="9222" max="9222" width="20.5703125" style="226" bestFit="1" customWidth="1"/>
    <col min="9223" max="9223" width="17.140625" style="226" customWidth="1"/>
    <col min="9224" max="9224" width="21.85546875" style="226" bestFit="1" customWidth="1"/>
    <col min="9225" max="9225" width="17.140625" style="226" bestFit="1" customWidth="1"/>
    <col min="9226" max="9226" width="18.140625" style="226" bestFit="1" customWidth="1"/>
    <col min="9227" max="9227" width="26.42578125" style="226" customWidth="1"/>
    <col min="9228" max="9472" width="9.140625" style="226"/>
    <col min="9473" max="9473" width="8.7109375" style="226" bestFit="1" customWidth="1"/>
    <col min="9474" max="9474" width="13.28515625" style="226" customWidth="1"/>
    <col min="9475" max="9475" width="16.140625" style="226" bestFit="1" customWidth="1"/>
    <col min="9476" max="9476" width="23.5703125" style="226" customWidth="1"/>
    <col min="9477" max="9477" width="17.28515625" style="226" customWidth="1"/>
    <col min="9478" max="9478" width="20.5703125" style="226" bestFit="1" customWidth="1"/>
    <col min="9479" max="9479" width="17.140625" style="226" customWidth="1"/>
    <col min="9480" max="9480" width="21.85546875" style="226" bestFit="1" customWidth="1"/>
    <col min="9481" max="9481" width="17.140625" style="226" bestFit="1" customWidth="1"/>
    <col min="9482" max="9482" width="18.140625" style="226" bestFit="1" customWidth="1"/>
    <col min="9483" max="9483" width="26.42578125" style="226" customWidth="1"/>
    <col min="9484" max="9728" width="9.140625" style="226"/>
    <col min="9729" max="9729" width="8.7109375" style="226" bestFit="1" customWidth="1"/>
    <col min="9730" max="9730" width="13.28515625" style="226" customWidth="1"/>
    <col min="9731" max="9731" width="16.140625" style="226" bestFit="1" customWidth="1"/>
    <col min="9732" max="9732" width="23.5703125" style="226" customWidth="1"/>
    <col min="9733" max="9733" width="17.28515625" style="226" customWidth="1"/>
    <col min="9734" max="9734" width="20.5703125" style="226" bestFit="1" customWidth="1"/>
    <col min="9735" max="9735" width="17.140625" style="226" customWidth="1"/>
    <col min="9736" max="9736" width="21.85546875" style="226" bestFit="1" customWidth="1"/>
    <col min="9737" max="9737" width="17.140625" style="226" bestFit="1" customWidth="1"/>
    <col min="9738" max="9738" width="18.140625" style="226" bestFit="1" customWidth="1"/>
    <col min="9739" max="9739" width="26.42578125" style="226" customWidth="1"/>
    <col min="9740" max="9984" width="9.140625" style="226"/>
    <col min="9985" max="9985" width="8.7109375" style="226" bestFit="1" customWidth="1"/>
    <col min="9986" max="9986" width="13.28515625" style="226" customWidth="1"/>
    <col min="9987" max="9987" width="16.140625" style="226" bestFit="1" customWidth="1"/>
    <col min="9988" max="9988" width="23.5703125" style="226" customWidth="1"/>
    <col min="9989" max="9989" width="17.28515625" style="226" customWidth="1"/>
    <col min="9990" max="9990" width="20.5703125" style="226" bestFit="1" customWidth="1"/>
    <col min="9991" max="9991" width="17.140625" style="226" customWidth="1"/>
    <col min="9992" max="9992" width="21.85546875" style="226" bestFit="1" customWidth="1"/>
    <col min="9993" max="9993" width="17.140625" style="226" bestFit="1" customWidth="1"/>
    <col min="9994" max="9994" width="18.140625" style="226" bestFit="1" customWidth="1"/>
    <col min="9995" max="9995" width="26.42578125" style="226" customWidth="1"/>
    <col min="9996" max="10240" width="9.140625" style="226"/>
    <col min="10241" max="10241" width="8.7109375" style="226" bestFit="1" customWidth="1"/>
    <col min="10242" max="10242" width="13.28515625" style="226" customWidth="1"/>
    <col min="10243" max="10243" width="16.140625" style="226" bestFit="1" customWidth="1"/>
    <col min="10244" max="10244" width="23.5703125" style="226" customWidth="1"/>
    <col min="10245" max="10245" width="17.28515625" style="226" customWidth="1"/>
    <col min="10246" max="10246" width="20.5703125" style="226" bestFit="1" customWidth="1"/>
    <col min="10247" max="10247" width="17.140625" style="226" customWidth="1"/>
    <col min="10248" max="10248" width="21.85546875" style="226" bestFit="1" customWidth="1"/>
    <col min="10249" max="10249" width="17.140625" style="226" bestFit="1" customWidth="1"/>
    <col min="10250" max="10250" width="18.140625" style="226" bestFit="1" customWidth="1"/>
    <col min="10251" max="10251" width="26.42578125" style="226" customWidth="1"/>
    <col min="10252" max="10496" width="9.140625" style="226"/>
    <col min="10497" max="10497" width="8.7109375" style="226" bestFit="1" customWidth="1"/>
    <col min="10498" max="10498" width="13.28515625" style="226" customWidth="1"/>
    <col min="10499" max="10499" width="16.140625" style="226" bestFit="1" customWidth="1"/>
    <col min="10500" max="10500" width="23.5703125" style="226" customWidth="1"/>
    <col min="10501" max="10501" width="17.28515625" style="226" customWidth="1"/>
    <col min="10502" max="10502" width="20.5703125" style="226" bestFit="1" customWidth="1"/>
    <col min="10503" max="10503" width="17.140625" style="226" customWidth="1"/>
    <col min="10504" max="10504" width="21.85546875" style="226" bestFit="1" customWidth="1"/>
    <col min="10505" max="10505" width="17.140625" style="226" bestFit="1" customWidth="1"/>
    <col min="10506" max="10506" width="18.140625" style="226" bestFit="1" customWidth="1"/>
    <col min="10507" max="10507" width="26.42578125" style="226" customWidth="1"/>
    <col min="10508" max="10752" width="9.140625" style="226"/>
    <col min="10753" max="10753" width="8.7109375" style="226" bestFit="1" customWidth="1"/>
    <col min="10754" max="10754" width="13.28515625" style="226" customWidth="1"/>
    <col min="10755" max="10755" width="16.140625" style="226" bestFit="1" customWidth="1"/>
    <col min="10756" max="10756" width="23.5703125" style="226" customWidth="1"/>
    <col min="10757" max="10757" width="17.28515625" style="226" customWidth="1"/>
    <col min="10758" max="10758" width="20.5703125" style="226" bestFit="1" customWidth="1"/>
    <col min="10759" max="10759" width="17.140625" style="226" customWidth="1"/>
    <col min="10760" max="10760" width="21.85546875" style="226" bestFit="1" customWidth="1"/>
    <col min="10761" max="10761" width="17.140625" style="226" bestFit="1" customWidth="1"/>
    <col min="10762" max="10762" width="18.140625" style="226" bestFit="1" customWidth="1"/>
    <col min="10763" max="10763" width="26.42578125" style="226" customWidth="1"/>
    <col min="10764" max="11008" width="9.140625" style="226"/>
    <col min="11009" max="11009" width="8.7109375" style="226" bestFit="1" customWidth="1"/>
    <col min="11010" max="11010" width="13.28515625" style="226" customWidth="1"/>
    <col min="11011" max="11011" width="16.140625" style="226" bestFit="1" customWidth="1"/>
    <col min="11012" max="11012" width="23.5703125" style="226" customWidth="1"/>
    <col min="11013" max="11013" width="17.28515625" style="226" customWidth="1"/>
    <col min="11014" max="11014" width="20.5703125" style="226" bestFit="1" customWidth="1"/>
    <col min="11015" max="11015" width="17.140625" style="226" customWidth="1"/>
    <col min="11016" max="11016" width="21.85546875" style="226" bestFit="1" customWidth="1"/>
    <col min="11017" max="11017" width="17.140625" style="226" bestFit="1" customWidth="1"/>
    <col min="11018" max="11018" width="18.140625" style="226" bestFit="1" customWidth="1"/>
    <col min="11019" max="11019" width="26.42578125" style="226" customWidth="1"/>
    <col min="11020" max="11264" width="9.140625" style="226"/>
    <col min="11265" max="11265" width="8.7109375" style="226" bestFit="1" customWidth="1"/>
    <col min="11266" max="11266" width="13.28515625" style="226" customWidth="1"/>
    <col min="11267" max="11267" width="16.140625" style="226" bestFit="1" customWidth="1"/>
    <col min="11268" max="11268" width="23.5703125" style="226" customWidth="1"/>
    <col min="11269" max="11269" width="17.28515625" style="226" customWidth="1"/>
    <col min="11270" max="11270" width="20.5703125" style="226" bestFit="1" customWidth="1"/>
    <col min="11271" max="11271" width="17.140625" style="226" customWidth="1"/>
    <col min="11272" max="11272" width="21.85546875" style="226" bestFit="1" customWidth="1"/>
    <col min="11273" max="11273" width="17.140625" style="226" bestFit="1" customWidth="1"/>
    <col min="11274" max="11274" width="18.140625" style="226" bestFit="1" customWidth="1"/>
    <col min="11275" max="11275" width="26.42578125" style="226" customWidth="1"/>
    <col min="11276" max="11520" width="9.140625" style="226"/>
    <col min="11521" max="11521" width="8.7109375" style="226" bestFit="1" customWidth="1"/>
    <col min="11522" max="11522" width="13.28515625" style="226" customWidth="1"/>
    <col min="11523" max="11523" width="16.140625" style="226" bestFit="1" customWidth="1"/>
    <col min="11524" max="11524" width="23.5703125" style="226" customWidth="1"/>
    <col min="11525" max="11525" width="17.28515625" style="226" customWidth="1"/>
    <col min="11526" max="11526" width="20.5703125" style="226" bestFit="1" customWidth="1"/>
    <col min="11527" max="11527" width="17.140625" style="226" customWidth="1"/>
    <col min="11528" max="11528" width="21.85546875" style="226" bestFit="1" customWidth="1"/>
    <col min="11529" max="11529" width="17.140625" style="226" bestFit="1" customWidth="1"/>
    <col min="11530" max="11530" width="18.140625" style="226" bestFit="1" customWidth="1"/>
    <col min="11531" max="11531" width="26.42578125" style="226" customWidth="1"/>
    <col min="11532" max="11776" width="9.140625" style="226"/>
    <col min="11777" max="11777" width="8.7109375" style="226" bestFit="1" customWidth="1"/>
    <col min="11778" max="11778" width="13.28515625" style="226" customWidth="1"/>
    <col min="11779" max="11779" width="16.140625" style="226" bestFit="1" customWidth="1"/>
    <col min="11780" max="11780" width="23.5703125" style="226" customWidth="1"/>
    <col min="11781" max="11781" width="17.28515625" style="226" customWidth="1"/>
    <col min="11782" max="11782" width="20.5703125" style="226" bestFit="1" customWidth="1"/>
    <col min="11783" max="11783" width="17.140625" style="226" customWidth="1"/>
    <col min="11784" max="11784" width="21.85546875" style="226" bestFit="1" customWidth="1"/>
    <col min="11785" max="11785" width="17.140625" style="226" bestFit="1" customWidth="1"/>
    <col min="11786" max="11786" width="18.140625" style="226" bestFit="1" customWidth="1"/>
    <col min="11787" max="11787" width="26.42578125" style="226" customWidth="1"/>
    <col min="11788" max="12032" width="9.140625" style="226"/>
    <col min="12033" max="12033" width="8.7109375" style="226" bestFit="1" customWidth="1"/>
    <col min="12034" max="12034" width="13.28515625" style="226" customWidth="1"/>
    <col min="12035" max="12035" width="16.140625" style="226" bestFit="1" customWidth="1"/>
    <col min="12036" max="12036" width="23.5703125" style="226" customWidth="1"/>
    <col min="12037" max="12037" width="17.28515625" style="226" customWidth="1"/>
    <col min="12038" max="12038" width="20.5703125" style="226" bestFit="1" customWidth="1"/>
    <col min="12039" max="12039" width="17.140625" style="226" customWidth="1"/>
    <col min="12040" max="12040" width="21.85546875" style="226" bestFit="1" customWidth="1"/>
    <col min="12041" max="12041" width="17.140625" style="226" bestFit="1" customWidth="1"/>
    <col min="12042" max="12042" width="18.140625" style="226" bestFit="1" customWidth="1"/>
    <col min="12043" max="12043" width="26.42578125" style="226" customWidth="1"/>
    <col min="12044" max="12288" width="9.140625" style="226"/>
    <col min="12289" max="12289" width="8.7109375" style="226" bestFit="1" customWidth="1"/>
    <col min="12290" max="12290" width="13.28515625" style="226" customWidth="1"/>
    <col min="12291" max="12291" width="16.140625" style="226" bestFit="1" customWidth="1"/>
    <col min="12292" max="12292" width="23.5703125" style="226" customWidth="1"/>
    <col min="12293" max="12293" width="17.28515625" style="226" customWidth="1"/>
    <col min="12294" max="12294" width="20.5703125" style="226" bestFit="1" customWidth="1"/>
    <col min="12295" max="12295" width="17.140625" style="226" customWidth="1"/>
    <col min="12296" max="12296" width="21.85546875" style="226" bestFit="1" customWidth="1"/>
    <col min="12297" max="12297" width="17.140625" style="226" bestFit="1" customWidth="1"/>
    <col min="12298" max="12298" width="18.140625" style="226" bestFit="1" customWidth="1"/>
    <col min="12299" max="12299" width="26.42578125" style="226" customWidth="1"/>
    <col min="12300" max="12544" width="9.140625" style="226"/>
    <col min="12545" max="12545" width="8.7109375" style="226" bestFit="1" customWidth="1"/>
    <col min="12546" max="12546" width="13.28515625" style="226" customWidth="1"/>
    <col min="12547" max="12547" width="16.140625" style="226" bestFit="1" customWidth="1"/>
    <col min="12548" max="12548" width="23.5703125" style="226" customWidth="1"/>
    <col min="12549" max="12549" width="17.28515625" style="226" customWidth="1"/>
    <col min="12550" max="12550" width="20.5703125" style="226" bestFit="1" customWidth="1"/>
    <col min="12551" max="12551" width="17.140625" style="226" customWidth="1"/>
    <col min="12552" max="12552" width="21.85546875" style="226" bestFit="1" customWidth="1"/>
    <col min="12553" max="12553" width="17.140625" style="226" bestFit="1" customWidth="1"/>
    <col min="12554" max="12554" width="18.140625" style="226" bestFit="1" customWidth="1"/>
    <col min="12555" max="12555" width="26.42578125" style="226" customWidth="1"/>
    <col min="12556" max="12800" width="9.140625" style="226"/>
    <col min="12801" max="12801" width="8.7109375" style="226" bestFit="1" customWidth="1"/>
    <col min="12802" max="12802" width="13.28515625" style="226" customWidth="1"/>
    <col min="12803" max="12803" width="16.140625" style="226" bestFit="1" customWidth="1"/>
    <col min="12804" max="12804" width="23.5703125" style="226" customWidth="1"/>
    <col min="12805" max="12805" width="17.28515625" style="226" customWidth="1"/>
    <col min="12806" max="12806" width="20.5703125" style="226" bestFit="1" customWidth="1"/>
    <col min="12807" max="12807" width="17.140625" style="226" customWidth="1"/>
    <col min="12808" max="12808" width="21.85546875" style="226" bestFit="1" customWidth="1"/>
    <col min="12809" max="12809" width="17.140625" style="226" bestFit="1" customWidth="1"/>
    <col min="12810" max="12810" width="18.140625" style="226" bestFit="1" customWidth="1"/>
    <col min="12811" max="12811" width="26.42578125" style="226" customWidth="1"/>
    <col min="12812" max="13056" width="9.140625" style="226"/>
    <col min="13057" max="13057" width="8.7109375" style="226" bestFit="1" customWidth="1"/>
    <col min="13058" max="13058" width="13.28515625" style="226" customWidth="1"/>
    <col min="13059" max="13059" width="16.140625" style="226" bestFit="1" customWidth="1"/>
    <col min="13060" max="13060" width="23.5703125" style="226" customWidth="1"/>
    <col min="13061" max="13061" width="17.28515625" style="226" customWidth="1"/>
    <col min="13062" max="13062" width="20.5703125" style="226" bestFit="1" customWidth="1"/>
    <col min="13063" max="13063" width="17.140625" style="226" customWidth="1"/>
    <col min="13064" max="13064" width="21.85546875" style="226" bestFit="1" customWidth="1"/>
    <col min="13065" max="13065" width="17.140625" style="226" bestFit="1" customWidth="1"/>
    <col min="13066" max="13066" width="18.140625" style="226" bestFit="1" customWidth="1"/>
    <col min="13067" max="13067" width="26.42578125" style="226" customWidth="1"/>
    <col min="13068" max="13312" width="9.140625" style="226"/>
    <col min="13313" max="13313" width="8.7109375" style="226" bestFit="1" customWidth="1"/>
    <col min="13314" max="13314" width="13.28515625" style="226" customWidth="1"/>
    <col min="13315" max="13315" width="16.140625" style="226" bestFit="1" customWidth="1"/>
    <col min="13316" max="13316" width="23.5703125" style="226" customWidth="1"/>
    <col min="13317" max="13317" width="17.28515625" style="226" customWidth="1"/>
    <col min="13318" max="13318" width="20.5703125" style="226" bestFit="1" customWidth="1"/>
    <col min="13319" max="13319" width="17.140625" style="226" customWidth="1"/>
    <col min="13320" max="13320" width="21.85546875" style="226" bestFit="1" customWidth="1"/>
    <col min="13321" max="13321" width="17.140625" style="226" bestFit="1" customWidth="1"/>
    <col min="13322" max="13322" width="18.140625" style="226" bestFit="1" customWidth="1"/>
    <col min="13323" max="13323" width="26.42578125" style="226" customWidth="1"/>
    <col min="13324" max="13568" width="9.140625" style="226"/>
    <col min="13569" max="13569" width="8.7109375" style="226" bestFit="1" customWidth="1"/>
    <col min="13570" max="13570" width="13.28515625" style="226" customWidth="1"/>
    <col min="13571" max="13571" width="16.140625" style="226" bestFit="1" customWidth="1"/>
    <col min="13572" max="13572" width="23.5703125" style="226" customWidth="1"/>
    <col min="13573" max="13573" width="17.28515625" style="226" customWidth="1"/>
    <col min="13574" max="13574" width="20.5703125" style="226" bestFit="1" customWidth="1"/>
    <col min="13575" max="13575" width="17.140625" style="226" customWidth="1"/>
    <col min="13576" max="13576" width="21.85546875" style="226" bestFit="1" customWidth="1"/>
    <col min="13577" max="13577" width="17.140625" style="226" bestFit="1" customWidth="1"/>
    <col min="13578" max="13578" width="18.140625" style="226" bestFit="1" customWidth="1"/>
    <col min="13579" max="13579" width="26.42578125" style="226" customWidth="1"/>
    <col min="13580" max="13824" width="9.140625" style="226"/>
    <col min="13825" max="13825" width="8.7109375" style="226" bestFit="1" customWidth="1"/>
    <col min="13826" max="13826" width="13.28515625" style="226" customWidth="1"/>
    <col min="13827" max="13827" width="16.140625" style="226" bestFit="1" customWidth="1"/>
    <col min="13828" max="13828" width="23.5703125" style="226" customWidth="1"/>
    <col min="13829" max="13829" width="17.28515625" style="226" customWidth="1"/>
    <col min="13830" max="13830" width="20.5703125" style="226" bestFit="1" customWidth="1"/>
    <col min="13831" max="13831" width="17.140625" style="226" customWidth="1"/>
    <col min="13832" max="13832" width="21.85546875" style="226" bestFit="1" customWidth="1"/>
    <col min="13833" max="13833" width="17.140625" style="226" bestFit="1" customWidth="1"/>
    <col min="13834" max="13834" width="18.140625" style="226" bestFit="1" customWidth="1"/>
    <col min="13835" max="13835" width="26.42578125" style="226" customWidth="1"/>
    <col min="13836" max="14080" width="9.140625" style="226"/>
    <col min="14081" max="14081" width="8.7109375" style="226" bestFit="1" customWidth="1"/>
    <col min="14082" max="14082" width="13.28515625" style="226" customWidth="1"/>
    <col min="14083" max="14083" width="16.140625" style="226" bestFit="1" customWidth="1"/>
    <col min="14084" max="14084" width="23.5703125" style="226" customWidth="1"/>
    <col min="14085" max="14085" width="17.28515625" style="226" customWidth="1"/>
    <col min="14086" max="14086" width="20.5703125" style="226" bestFit="1" customWidth="1"/>
    <col min="14087" max="14087" width="17.140625" style="226" customWidth="1"/>
    <col min="14088" max="14088" width="21.85546875" style="226" bestFit="1" customWidth="1"/>
    <col min="14089" max="14089" width="17.140625" style="226" bestFit="1" customWidth="1"/>
    <col min="14090" max="14090" width="18.140625" style="226" bestFit="1" customWidth="1"/>
    <col min="14091" max="14091" width="26.42578125" style="226" customWidth="1"/>
    <col min="14092" max="14336" width="9.140625" style="226"/>
    <col min="14337" max="14337" width="8.7109375" style="226" bestFit="1" customWidth="1"/>
    <col min="14338" max="14338" width="13.28515625" style="226" customWidth="1"/>
    <col min="14339" max="14339" width="16.140625" style="226" bestFit="1" customWidth="1"/>
    <col min="14340" max="14340" width="23.5703125" style="226" customWidth="1"/>
    <col min="14341" max="14341" width="17.28515625" style="226" customWidth="1"/>
    <col min="14342" max="14342" width="20.5703125" style="226" bestFit="1" customWidth="1"/>
    <col min="14343" max="14343" width="17.140625" style="226" customWidth="1"/>
    <col min="14344" max="14344" width="21.85546875" style="226" bestFit="1" customWidth="1"/>
    <col min="14345" max="14345" width="17.140625" style="226" bestFit="1" customWidth="1"/>
    <col min="14346" max="14346" width="18.140625" style="226" bestFit="1" customWidth="1"/>
    <col min="14347" max="14347" width="26.42578125" style="226" customWidth="1"/>
    <col min="14348" max="14592" width="9.140625" style="226"/>
    <col min="14593" max="14593" width="8.7109375" style="226" bestFit="1" customWidth="1"/>
    <col min="14594" max="14594" width="13.28515625" style="226" customWidth="1"/>
    <col min="14595" max="14595" width="16.140625" style="226" bestFit="1" customWidth="1"/>
    <col min="14596" max="14596" width="23.5703125" style="226" customWidth="1"/>
    <col min="14597" max="14597" width="17.28515625" style="226" customWidth="1"/>
    <col min="14598" max="14598" width="20.5703125" style="226" bestFit="1" customWidth="1"/>
    <col min="14599" max="14599" width="17.140625" style="226" customWidth="1"/>
    <col min="14600" max="14600" width="21.85546875" style="226" bestFit="1" customWidth="1"/>
    <col min="14601" max="14601" width="17.140625" style="226" bestFit="1" customWidth="1"/>
    <col min="14602" max="14602" width="18.140625" style="226" bestFit="1" customWidth="1"/>
    <col min="14603" max="14603" width="26.42578125" style="226" customWidth="1"/>
    <col min="14604" max="14848" width="9.140625" style="226"/>
    <col min="14849" max="14849" width="8.7109375" style="226" bestFit="1" customWidth="1"/>
    <col min="14850" max="14850" width="13.28515625" style="226" customWidth="1"/>
    <col min="14851" max="14851" width="16.140625" style="226" bestFit="1" customWidth="1"/>
    <col min="14852" max="14852" width="23.5703125" style="226" customWidth="1"/>
    <col min="14853" max="14853" width="17.28515625" style="226" customWidth="1"/>
    <col min="14854" max="14854" width="20.5703125" style="226" bestFit="1" customWidth="1"/>
    <col min="14855" max="14855" width="17.140625" style="226" customWidth="1"/>
    <col min="14856" max="14856" width="21.85546875" style="226" bestFit="1" customWidth="1"/>
    <col min="14857" max="14857" width="17.140625" style="226" bestFit="1" customWidth="1"/>
    <col min="14858" max="14858" width="18.140625" style="226" bestFit="1" customWidth="1"/>
    <col min="14859" max="14859" width="26.42578125" style="226" customWidth="1"/>
    <col min="14860" max="15104" width="9.140625" style="226"/>
    <col min="15105" max="15105" width="8.7109375" style="226" bestFit="1" customWidth="1"/>
    <col min="15106" max="15106" width="13.28515625" style="226" customWidth="1"/>
    <col min="15107" max="15107" width="16.140625" style="226" bestFit="1" customWidth="1"/>
    <col min="15108" max="15108" width="23.5703125" style="226" customWidth="1"/>
    <col min="15109" max="15109" width="17.28515625" style="226" customWidth="1"/>
    <col min="15110" max="15110" width="20.5703125" style="226" bestFit="1" customWidth="1"/>
    <col min="15111" max="15111" width="17.140625" style="226" customWidth="1"/>
    <col min="15112" max="15112" width="21.85546875" style="226" bestFit="1" customWidth="1"/>
    <col min="15113" max="15113" width="17.140625" style="226" bestFit="1" customWidth="1"/>
    <col min="15114" max="15114" width="18.140625" style="226" bestFit="1" customWidth="1"/>
    <col min="15115" max="15115" width="26.42578125" style="226" customWidth="1"/>
    <col min="15116" max="15360" width="9.140625" style="226"/>
    <col min="15361" max="15361" width="8.7109375" style="226" bestFit="1" customWidth="1"/>
    <col min="15362" max="15362" width="13.28515625" style="226" customWidth="1"/>
    <col min="15363" max="15363" width="16.140625" style="226" bestFit="1" customWidth="1"/>
    <col min="15364" max="15364" width="23.5703125" style="226" customWidth="1"/>
    <col min="15365" max="15365" width="17.28515625" style="226" customWidth="1"/>
    <col min="15366" max="15366" width="20.5703125" style="226" bestFit="1" customWidth="1"/>
    <col min="15367" max="15367" width="17.140625" style="226" customWidth="1"/>
    <col min="15368" max="15368" width="21.85546875" style="226" bestFit="1" customWidth="1"/>
    <col min="15369" max="15369" width="17.140625" style="226" bestFit="1" customWidth="1"/>
    <col min="15370" max="15370" width="18.140625" style="226" bestFit="1" customWidth="1"/>
    <col min="15371" max="15371" width="26.42578125" style="226" customWidth="1"/>
    <col min="15372" max="15616" width="9.140625" style="226"/>
    <col min="15617" max="15617" width="8.7109375" style="226" bestFit="1" customWidth="1"/>
    <col min="15618" max="15618" width="13.28515625" style="226" customWidth="1"/>
    <col min="15619" max="15619" width="16.140625" style="226" bestFit="1" customWidth="1"/>
    <col min="15620" max="15620" width="23.5703125" style="226" customWidth="1"/>
    <col min="15621" max="15621" width="17.28515625" style="226" customWidth="1"/>
    <col min="15622" max="15622" width="20.5703125" style="226" bestFit="1" customWidth="1"/>
    <col min="15623" max="15623" width="17.140625" style="226" customWidth="1"/>
    <col min="15624" max="15624" width="21.85546875" style="226" bestFit="1" customWidth="1"/>
    <col min="15625" max="15625" width="17.140625" style="226" bestFit="1" customWidth="1"/>
    <col min="15626" max="15626" width="18.140625" style="226" bestFit="1" customWidth="1"/>
    <col min="15627" max="15627" width="26.42578125" style="226" customWidth="1"/>
    <col min="15628" max="15872" width="9.140625" style="226"/>
    <col min="15873" max="15873" width="8.7109375" style="226" bestFit="1" customWidth="1"/>
    <col min="15874" max="15874" width="13.28515625" style="226" customWidth="1"/>
    <col min="15875" max="15875" width="16.140625" style="226" bestFit="1" customWidth="1"/>
    <col min="15876" max="15876" width="23.5703125" style="226" customWidth="1"/>
    <col min="15877" max="15877" width="17.28515625" style="226" customWidth="1"/>
    <col min="15878" max="15878" width="20.5703125" style="226" bestFit="1" customWidth="1"/>
    <col min="15879" max="15879" width="17.140625" style="226" customWidth="1"/>
    <col min="15880" max="15880" width="21.85546875" style="226" bestFit="1" customWidth="1"/>
    <col min="15881" max="15881" width="17.140625" style="226" bestFit="1" customWidth="1"/>
    <col min="15882" max="15882" width="18.140625" style="226" bestFit="1" customWidth="1"/>
    <col min="15883" max="15883" width="26.42578125" style="226" customWidth="1"/>
    <col min="15884" max="16128" width="9.140625" style="226"/>
    <col min="16129" max="16129" width="8.7109375" style="226" bestFit="1" customWidth="1"/>
    <col min="16130" max="16130" width="13.28515625" style="226" customWidth="1"/>
    <col min="16131" max="16131" width="16.140625" style="226" bestFit="1" customWidth="1"/>
    <col min="16132" max="16132" width="23.5703125" style="226" customWidth="1"/>
    <col min="16133" max="16133" width="17.28515625" style="226" customWidth="1"/>
    <col min="16134" max="16134" width="20.5703125" style="226" bestFit="1" customWidth="1"/>
    <col min="16135" max="16135" width="17.140625" style="226" customWidth="1"/>
    <col min="16136" max="16136" width="21.85546875" style="226" bestFit="1" customWidth="1"/>
    <col min="16137" max="16137" width="17.140625" style="226" bestFit="1" customWidth="1"/>
    <col min="16138" max="16138" width="18.140625" style="226" bestFit="1" customWidth="1"/>
    <col min="16139" max="16139" width="26.42578125" style="226" customWidth="1"/>
    <col min="16140" max="16384" width="9.140625" style="226"/>
  </cols>
  <sheetData>
    <row r="1" spans="13:13" s="261" customFormat="1" x14ac:dyDescent="0.2">
      <c r="M1" s="262"/>
    </row>
    <row r="2" spans="13:13" s="261" customFormat="1" x14ac:dyDescent="0.2">
      <c r="M2" s="262"/>
    </row>
    <row r="3" spans="13:13" s="261" customFormat="1" x14ac:dyDescent="0.2">
      <c r="M3" s="262"/>
    </row>
    <row r="4" spans="13:13" s="261" customFormat="1" x14ac:dyDescent="0.2">
      <c r="M4" s="262"/>
    </row>
    <row r="5" spans="13:13" s="261" customFormat="1" x14ac:dyDescent="0.2">
      <c r="M5" s="262"/>
    </row>
    <row r="6" spans="13:13" s="261" customFormat="1" x14ac:dyDescent="0.2">
      <c r="M6" s="262"/>
    </row>
    <row r="7" spans="13:13" s="261" customFormat="1" x14ac:dyDescent="0.2">
      <c r="M7" s="262"/>
    </row>
    <row r="8" spans="13:13" s="261" customFormat="1" x14ac:dyDescent="0.2">
      <c r="M8" s="262"/>
    </row>
    <row r="9" spans="13:13" s="261" customFormat="1" x14ac:dyDescent="0.2">
      <c r="M9" s="262"/>
    </row>
    <row r="10" spans="13:13" s="261" customFormat="1" x14ac:dyDescent="0.2">
      <c r="M10" s="262"/>
    </row>
    <row r="11" spans="13:13" s="261" customFormat="1" x14ac:dyDescent="0.2">
      <c r="M11" s="262"/>
    </row>
    <row r="12" spans="13:13" s="261" customFormat="1" x14ac:dyDescent="0.2">
      <c r="M12" s="262"/>
    </row>
    <row r="13" spans="13:13" s="261" customFormat="1" x14ac:dyDescent="0.2">
      <c r="M13" s="262"/>
    </row>
    <row r="14" spans="13:13" s="261" customFormat="1" x14ac:dyDescent="0.2">
      <c r="M14" s="262"/>
    </row>
    <row r="15" spans="13:13" s="261" customFormat="1" x14ac:dyDescent="0.2">
      <c r="M15" s="262"/>
    </row>
    <row r="16" spans="13:13" s="261" customFormat="1" x14ac:dyDescent="0.2">
      <c r="M16" s="262"/>
    </row>
    <row r="17" spans="13:13" s="261" customFormat="1" x14ac:dyDescent="0.2">
      <c r="M17" s="262"/>
    </row>
    <row r="18" spans="13:13" s="261" customFormat="1" x14ac:dyDescent="0.2">
      <c r="M18" s="262"/>
    </row>
    <row r="19" spans="13:13" s="261" customFormat="1" x14ac:dyDescent="0.2">
      <c r="M19" s="262"/>
    </row>
    <row r="20" spans="13:13" s="261" customFormat="1" x14ac:dyDescent="0.2">
      <c r="M20" s="262"/>
    </row>
    <row r="21" spans="13:13" s="261" customFormat="1" x14ac:dyDescent="0.2">
      <c r="M21" s="262"/>
    </row>
    <row r="22" spans="13:13" s="261" customFormat="1" x14ac:dyDescent="0.2">
      <c r="M22" s="262"/>
    </row>
    <row r="23" spans="13:13" s="261" customFormat="1" x14ac:dyDescent="0.2">
      <c r="M23" s="262"/>
    </row>
    <row r="24" spans="13:13" s="261" customFormat="1" x14ac:dyDescent="0.2">
      <c r="M24" s="262"/>
    </row>
    <row r="25" spans="13:13" s="261" customFormat="1" x14ac:dyDescent="0.2">
      <c r="M25" s="262"/>
    </row>
    <row r="26" spans="13:13" s="261" customFormat="1" x14ac:dyDescent="0.2">
      <c r="M26" s="262"/>
    </row>
    <row r="27" spans="13:13" s="261" customFormat="1" x14ac:dyDescent="0.2">
      <c r="M27" s="262"/>
    </row>
    <row r="28" spans="13:13" s="261" customFormat="1" x14ac:dyDescent="0.2">
      <c r="M28" s="262"/>
    </row>
    <row r="29" spans="13:13" s="261" customFormat="1" x14ac:dyDescent="0.2">
      <c r="M29" s="262"/>
    </row>
    <row r="30" spans="13:13" s="261" customFormat="1" x14ac:dyDescent="0.2">
      <c r="M30" s="262"/>
    </row>
    <row r="31" spans="13:13" s="261" customFormat="1" x14ac:dyDescent="0.2">
      <c r="M31" s="262"/>
    </row>
    <row r="32" spans="13:13" s="261" customFormat="1" x14ac:dyDescent="0.2">
      <c r="M32" s="262"/>
    </row>
    <row r="33" spans="1:13" s="261" customFormat="1" x14ac:dyDescent="0.2">
      <c r="M33" s="262"/>
    </row>
    <row r="34" spans="1:13" s="261" customFormat="1" x14ac:dyDescent="0.2">
      <c r="M34" s="262"/>
    </row>
    <row r="35" spans="1:13" s="261" customFormat="1" x14ac:dyDescent="0.2">
      <c r="M35" s="262"/>
    </row>
    <row r="36" spans="1:13" s="261" customFormat="1" x14ac:dyDescent="0.2">
      <c r="M36" s="262"/>
    </row>
    <row r="37" spans="1:13" s="261" customFormat="1" x14ac:dyDescent="0.2">
      <c r="M37" s="262"/>
    </row>
    <row r="38" spans="1:13" s="261" customFormat="1" x14ac:dyDescent="0.2">
      <c r="M38" s="262"/>
    </row>
    <row r="39" spans="1:13" s="261" customFormat="1" x14ac:dyDescent="0.2">
      <c r="M39" s="262"/>
    </row>
    <row r="40" spans="1:13" s="261" customFormat="1" x14ac:dyDescent="0.2">
      <c r="M40" s="262"/>
    </row>
    <row r="41" spans="1:13" s="261" customFormat="1" x14ac:dyDescent="0.2">
      <c r="M41" s="262"/>
    </row>
    <row r="42" spans="1:13" s="261" customFormat="1" x14ac:dyDescent="0.2">
      <c r="M42" s="262"/>
    </row>
    <row r="43" spans="1:13" s="261" customFormat="1" x14ac:dyDescent="0.2">
      <c r="M43" s="262"/>
    </row>
    <row r="44" spans="1:13" s="261" customFormat="1" ht="15.75" customHeight="1" x14ac:dyDescent="0.2"/>
    <row r="45" spans="1:13" s="261" customFormat="1" ht="23.25" customHeight="1" x14ac:dyDescent="0.2">
      <c r="B45" s="261" t="s">
        <v>958</v>
      </c>
    </row>
    <row r="46" spans="1:13" s="261" customFormat="1" ht="24.75" customHeight="1" x14ac:dyDescent="0.25">
      <c r="A46" s="266" t="str">
        <f>"VIN = "&amp;VIN_min&amp;" V to "&amp;VIN_max&amp;" V, VOUT = "&amp; Vout &amp;" V, IOUT = " &amp;Iout &amp; " A,  Fsw = " &amp; Fsw/1000 &amp;" kHz, Current Limit = "&amp;ROUNDUP(Ilimit_DC,0)&amp;" A"</f>
        <v>VIN = 9 V to 48 V, VOUT = 12.8 V, IOUT = 20 A,  Fsw = 250 kHz, Current Limit = 24 A</v>
      </c>
    </row>
    <row r="47" spans="1:13" ht="24.75" customHeight="1" thickBot="1" x14ac:dyDescent="0.25">
      <c r="A47" s="228" t="s">
        <v>657</v>
      </c>
    </row>
    <row r="48" spans="1:13" ht="18" customHeight="1" x14ac:dyDescent="0.2">
      <c r="A48" s="532" t="s">
        <v>326</v>
      </c>
      <c r="B48" s="533" t="s">
        <v>325</v>
      </c>
      <c r="C48" s="533" t="s">
        <v>8</v>
      </c>
      <c r="D48" s="671" t="s">
        <v>111</v>
      </c>
      <c r="E48" s="672"/>
      <c r="F48" s="672"/>
      <c r="G48" s="673"/>
      <c r="H48" s="534" t="s">
        <v>312</v>
      </c>
      <c r="I48" s="534" t="s">
        <v>190</v>
      </c>
      <c r="J48" s="534" t="s">
        <v>313</v>
      </c>
      <c r="L48" s="227"/>
      <c r="M48" s="226"/>
    </row>
    <row r="49" spans="1:12" s="233" customFormat="1" ht="15.75" customHeight="1" x14ac:dyDescent="0.2">
      <c r="A49" s="230">
        <v>2</v>
      </c>
      <c r="B49" s="231" t="s">
        <v>669</v>
      </c>
      <c r="C49" s="245">
        <v>0.1</v>
      </c>
      <c r="D49" s="653">
        <f t="shared" ref="D49:D59" si="0">C49</f>
        <v>0.1</v>
      </c>
      <c r="E49" s="654"/>
      <c r="F49" s="654"/>
      <c r="G49" s="246"/>
      <c r="H49" s="247" t="s">
        <v>317</v>
      </c>
      <c r="I49" s="232" t="s">
        <v>314</v>
      </c>
      <c r="J49" s="232" t="s">
        <v>314</v>
      </c>
      <c r="L49" s="234"/>
    </row>
    <row r="50" spans="1:12" s="233" customFormat="1" ht="15.75" x14ac:dyDescent="0.2">
      <c r="A50" s="229">
        <v>1</v>
      </c>
      <c r="B50" s="248" t="s">
        <v>318</v>
      </c>
      <c r="C50" s="257">
        <f>'Design Converter'!D79</f>
        <v>33</v>
      </c>
      <c r="D50" s="655">
        <f t="shared" si="0"/>
        <v>33</v>
      </c>
      <c r="E50" s="656"/>
      <c r="F50" s="656"/>
      <c r="G50" s="250"/>
      <c r="H50" s="251" t="s">
        <v>317</v>
      </c>
      <c r="I50" s="252" t="s">
        <v>314</v>
      </c>
      <c r="J50" s="252" t="s">
        <v>314</v>
      </c>
      <c r="L50" s="234"/>
    </row>
    <row r="51" spans="1:12" s="233" customFormat="1" ht="15.75" x14ac:dyDescent="0.2">
      <c r="A51" s="229">
        <v>1</v>
      </c>
      <c r="B51" s="248" t="s">
        <v>319</v>
      </c>
      <c r="C51" s="249">
        <f>'Design Converter'!D80</f>
        <v>1200</v>
      </c>
      <c r="D51" s="661">
        <f t="shared" si="0"/>
        <v>1200</v>
      </c>
      <c r="E51" s="662"/>
      <c r="F51" s="662"/>
      <c r="G51" s="250"/>
      <c r="H51" s="251" t="s">
        <v>317</v>
      </c>
      <c r="I51" s="252" t="s">
        <v>314</v>
      </c>
      <c r="J51" s="252" t="s">
        <v>314</v>
      </c>
      <c r="L51" s="234"/>
    </row>
    <row r="52" spans="1:12" s="233" customFormat="1" ht="15.75" x14ac:dyDescent="0.2">
      <c r="A52" s="229">
        <v>1</v>
      </c>
      <c r="B52" s="248" t="s">
        <v>661</v>
      </c>
      <c r="C52" s="249">
        <f>Cslope</f>
        <v>220</v>
      </c>
      <c r="D52" s="661">
        <f t="shared" si="0"/>
        <v>220</v>
      </c>
      <c r="E52" s="662"/>
      <c r="F52" s="662"/>
      <c r="G52" s="250"/>
      <c r="H52" s="251" t="s">
        <v>317</v>
      </c>
      <c r="I52" s="252" t="s">
        <v>314</v>
      </c>
      <c r="J52" s="252" t="s">
        <v>314</v>
      </c>
      <c r="L52" s="234"/>
    </row>
    <row r="53" spans="1:12" s="233" customFormat="1" ht="15.75" x14ac:dyDescent="0.2">
      <c r="A53" s="240">
        <v>1</v>
      </c>
      <c r="B53" s="241" t="s">
        <v>320</v>
      </c>
      <c r="C53" s="253">
        <v>100</v>
      </c>
      <c r="D53" s="663">
        <f>C53</f>
        <v>100</v>
      </c>
      <c r="E53" s="664"/>
      <c r="F53" s="664"/>
      <c r="G53" s="254"/>
      <c r="H53" s="243" t="s">
        <v>317</v>
      </c>
      <c r="I53" s="244" t="s">
        <v>314</v>
      </c>
      <c r="J53" s="244" t="s">
        <v>314</v>
      </c>
      <c r="L53" s="234"/>
    </row>
    <row r="54" spans="1:12" s="233" customFormat="1" ht="15.75" x14ac:dyDescent="0.2">
      <c r="A54" s="235">
        <v>1</v>
      </c>
      <c r="B54" s="236" t="s">
        <v>668</v>
      </c>
      <c r="C54" s="480">
        <f>Cdither*1000000000</f>
        <v>39</v>
      </c>
      <c r="D54" s="674">
        <f>C54</f>
        <v>39</v>
      </c>
      <c r="E54" s="675"/>
      <c r="F54" s="675"/>
      <c r="G54" s="481"/>
      <c r="H54" s="238" t="s">
        <v>317</v>
      </c>
      <c r="I54" s="239" t="s">
        <v>314</v>
      </c>
      <c r="J54" s="239" t="s">
        <v>314</v>
      </c>
      <c r="L54" s="234"/>
    </row>
    <row r="55" spans="1:12" s="233" customFormat="1" ht="15.75" x14ac:dyDescent="0.2">
      <c r="A55" s="229">
        <f>ROUNDUP('Design Converter'!E51/10,0)</f>
        <v>29</v>
      </c>
      <c r="B55" s="248" t="s">
        <v>321</v>
      </c>
      <c r="C55" s="256">
        <v>10</v>
      </c>
      <c r="D55" s="667">
        <f>C55</f>
        <v>10</v>
      </c>
      <c r="E55" s="668"/>
      <c r="F55" s="668"/>
      <c r="G55" s="250"/>
      <c r="H55" s="251">
        <v>1210</v>
      </c>
      <c r="I55" s="252" t="s">
        <v>314</v>
      </c>
      <c r="J55" s="252" t="s">
        <v>314</v>
      </c>
      <c r="L55" s="234"/>
    </row>
    <row r="56" spans="1:12" s="233" customFormat="1" ht="15.75" x14ac:dyDescent="0.2">
      <c r="A56" s="229">
        <f>ROUNDUP('Design Converter'!E42/22,0)</f>
        <v>45</v>
      </c>
      <c r="B56" s="248" t="s">
        <v>322</v>
      </c>
      <c r="C56" s="256">
        <v>22</v>
      </c>
      <c r="D56" s="657">
        <f>C56</f>
        <v>22</v>
      </c>
      <c r="E56" s="658"/>
      <c r="F56" s="658"/>
      <c r="G56" s="250"/>
      <c r="H56" s="251">
        <v>1210</v>
      </c>
      <c r="I56" s="252" t="s">
        <v>314</v>
      </c>
      <c r="J56" s="252" t="s">
        <v>314</v>
      </c>
      <c r="L56" s="234"/>
    </row>
    <row r="57" spans="1:12" s="233" customFormat="1" ht="15.75" x14ac:dyDescent="0.2">
      <c r="A57" s="229">
        <v>1</v>
      </c>
      <c r="B57" s="248" t="s">
        <v>323</v>
      </c>
      <c r="C57" s="257">
        <f>'Design Converter'!E59</f>
        <v>220</v>
      </c>
      <c r="D57" s="655">
        <f>C57</f>
        <v>220</v>
      </c>
      <c r="E57" s="656"/>
      <c r="F57" s="656"/>
      <c r="G57" s="250"/>
      <c r="H57" s="251" t="s">
        <v>317</v>
      </c>
      <c r="I57" s="252" t="s">
        <v>314</v>
      </c>
      <c r="J57" s="252" t="s">
        <v>314</v>
      </c>
      <c r="L57" s="234"/>
    </row>
    <row r="58" spans="1:12" s="233" customFormat="1" ht="15.75" x14ac:dyDescent="0.2">
      <c r="A58" s="240">
        <v>1</v>
      </c>
      <c r="B58" s="241" t="s">
        <v>670</v>
      </c>
      <c r="C58" s="255">
        <v>1</v>
      </c>
      <c r="D58" s="665">
        <f t="shared" si="0"/>
        <v>1</v>
      </c>
      <c r="E58" s="666"/>
      <c r="F58" s="666"/>
      <c r="G58" s="254"/>
      <c r="H58" s="243" t="s">
        <v>317</v>
      </c>
      <c r="I58" s="244" t="s">
        <v>314</v>
      </c>
      <c r="J58" s="244" t="s">
        <v>314</v>
      </c>
      <c r="L58" s="234"/>
    </row>
    <row r="59" spans="1:12" s="233" customFormat="1" ht="15.75" x14ac:dyDescent="0.2">
      <c r="A59" s="240">
        <v>1</v>
      </c>
      <c r="B59" s="241" t="s">
        <v>324</v>
      </c>
      <c r="C59" s="255">
        <v>0.1</v>
      </c>
      <c r="D59" s="659">
        <f t="shared" si="0"/>
        <v>0.1</v>
      </c>
      <c r="E59" s="660"/>
      <c r="F59" s="660"/>
      <c r="G59" s="254"/>
      <c r="H59" s="243" t="s">
        <v>317</v>
      </c>
      <c r="I59" s="244" t="s">
        <v>314</v>
      </c>
      <c r="J59" s="244" t="s">
        <v>314</v>
      </c>
      <c r="L59" s="234"/>
    </row>
    <row r="60" spans="1:12" s="233" customFormat="1" ht="15.75" customHeight="1" x14ac:dyDescent="0.2">
      <c r="A60" s="240">
        <v>3</v>
      </c>
      <c r="B60" s="241" t="s">
        <v>667</v>
      </c>
      <c r="C60" s="258" t="s">
        <v>315</v>
      </c>
      <c r="D60" s="669" t="s">
        <v>666</v>
      </c>
      <c r="E60" s="670"/>
      <c r="F60" s="670"/>
      <c r="G60" s="254"/>
      <c r="H60" s="259" t="s">
        <v>328</v>
      </c>
      <c r="I60" s="244" t="s">
        <v>328</v>
      </c>
      <c r="J60" s="244" t="s">
        <v>327</v>
      </c>
      <c r="L60" s="234"/>
    </row>
    <row r="61" spans="1:12" s="233" customFormat="1" ht="15.75" x14ac:dyDescent="0.2">
      <c r="A61" s="229">
        <v>1</v>
      </c>
      <c r="B61" s="248" t="s">
        <v>662</v>
      </c>
      <c r="C61" s="260">
        <f>'Design Converter'!E16</f>
        <v>2</v>
      </c>
      <c r="D61" s="685" t="str">
        <f>"Inductor, "&amp;Lf*1000000&amp;"µH, "&amp;Rdcr*1000&amp;"mΩ, &gt;"&amp;ROUNDUP(IL_peak_OCP*1.1,0)&amp;"A"</f>
        <v>Inductor, 2µH, 2.29mΩ, &gt;51A</v>
      </c>
      <c r="E61" s="686"/>
      <c r="F61" s="686"/>
      <c r="G61" s="687"/>
      <c r="H61" s="252" t="s">
        <v>328</v>
      </c>
      <c r="I61" s="252" t="s">
        <v>328</v>
      </c>
      <c r="J61" s="252" t="s">
        <v>327</v>
      </c>
      <c r="L61" s="234"/>
    </row>
    <row r="62" spans="1:12" s="233" customFormat="1" ht="15.75" x14ac:dyDescent="0.2">
      <c r="A62" s="240">
        <v>2</v>
      </c>
      <c r="B62" s="241" t="s">
        <v>763</v>
      </c>
      <c r="C62" s="258" t="s">
        <v>315</v>
      </c>
      <c r="D62" s="679">
        <f>'Design Converter'!E87</f>
        <v>1.9</v>
      </c>
      <c r="E62" s="680"/>
      <c r="F62" s="680"/>
      <c r="G62" s="681"/>
      <c r="H62" s="244" t="s">
        <v>314</v>
      </c>
      <c r="I62" s="244" t="str">
        <f>'Design Converter'!E85</f>
        <v>CSD19502Q5B</v>
      </c>
      <c r="J62" s="244" t="s">
        <v>328</v>
      </c>
      <c r="L62" s="234"/>
    </row>
    <row r="63" spans="1:12" s="233" customFormat="1" ht="15.75" x14ac:dyDescent="0.2">
      <c r="A63" s="240">
        <v>2</v>
      </c>
      <c r="B63" s="241" t="s">
        <v>764</v>
      </c>
      <c r="C63" s="258" t="s">
        <v>315</v>
      </c>
      <c r="D63" s="679">
        <f>'Design Converter'!E100</f>
        <v>0.5</v>
      </c>
      <c r="E63" s="680"/>
      <c r="F63" s="680"/>
      <c r="G63" s="681"/>
      <c r="H63" s="244" t="s">
        <v>314</v>
      </c>
      <c r="I63" s="244" t="str">
        <f>'Design Converter'!E98</f>
        <v>CSD17573Q5B</v>
      </c>
      <c r="J63" s="244" t="s">
        <v>328</v>
      </c>
      <c r="L63" s="234"/>
    </row>
    <row r="64" spans="1:12" s="233" customFormat="1" ht="15.75" x14ac:dyDescent="0.2">
      <c r="A64" s="235">
        <v>1</v>
      </c>
      <c r="B64" s="236" t="s">
        <v>329</v>
      </c>
      <c r="C64" s="237">
        <f>'Design Converter'!D78</f>
        <v>6.04</v>
      </c>
      <c r="D64" s="647">
        <f t="shared" ref="D64:D74" si="1">C64</f>
        <v>6.04</v>
      </c>
      <c r="E64" s="648"/>
      <c r="F64" s="648"/>
      <c r="G64" s="649"/>
      <c r="H64" s="238" t="s">
        <v>317</v>
      </c>
      <c r="I64" s="239" t="s">
        <v>314</v>
      </c>
      <c r="J64" s="239" t="s">
        <v>314</v>
      </c>
      <c r="L64" s="234"/>
    </row>
    <row r="65" spans="1:12" s="233" customFormat="1" ht="15.75" x14ac:dyDescent="0.2">
      <c r="A65" s="235">
        <v>1</v>
      </c>
      <c r="B65" s="236" t="s">
        <v>333</v>
      </c>
      <c r="C65" s="479">
        <f>Rs*1000</f>
        <v>3</v>
      </c>
      <c r="D65" s="682">
        <f t="shared" si="1"/>
        <v>3</v>
      </c>
      <c r="E65" s="683"/>
      <c r="F65" s="683"/>
      <c r="G65" s="684"/>
      <c r="H65" s="238">
        <v>2512</v>
      </c>
      <c r="I65" s="239" t="s">
        <v>314</v>
      </c>
      <c r="J65" s="239" t="s">
        <v>314</v>
      </c>
      <c r="L65" s="234"/>
    </row>
    <row r="66" spans="1:12" s="233" customFormat="1" ht="15.75" x14ac:dyDescent="0.2">
      <c r="A66" s="235">
        <v>1</v>
      </c>
      <c r="B66" s="236" t="s">
        <v>791</v>
      </c>
      <c r="C66" s="479" t="e">
        <f>'Standard Value Calculator'!O21</f>
        <v>#VALUE!</v>
      </c>
      <c r="D66" s="682" t="e">
        <f>C66</f>
        <v>#VALUE!</v>
      </c>
      <c r="E66" s="683"/>
      <c r="F66" s="683"/>
      <c r="G66" s="684"/>
      <c r="H66" s="238">
        <v>2512</v>
      </c>
      <c r="I66" s="239" t="s">
        <v>314</v>
      </c>
      <c r="J66" s="239" t="s">
        <v>314</v>
      </c>
      <c r="L66" s="234"/>
    </row>
    <row r="67" spans="1:12" s="233" customFormat="1" ht="15.75" x14ac:dyDescent="0.2">
      <c r="A67" s="235">
        <v>1</v>
      </c>
      <c r="B67" s="236" t="s">
        <v>664</v>
      </c>
      <c r="C67" s="237">
        <f>'Design Converter'!E12</f>
        <v>33.200000000000003</v>
      </c>
      <c r="D67" s="647">
        <f t="shared" si="1"/>
        <v>33.200000000000003</v>
      </c>
      <c r="E67" s="648"/>
      <c r="F67" s="648"/>
      <c r="G67" s="649"/>
      <c r="H67" s="238" t="s">
        <v>317</v>
      </c>
      <c r="I67" s="239" t="s">
        <v>314</v>
      </c>
      <c r="J67" s="239" t="s">
        <v>314</v>
      </c>
      <c r="L67" s="234"/>
    </row>
    <row r="68" spans="1:12" s="233" customFormat="1" ht="15.75" x14ac:dyDescent="0.2">
      <c r="A68" s="235">
        <v>1</v>
      </c>
      <c r="B68" s="236" t="s">
        <v>335</v>
      </c>
      <c r="C68" s="237">
        <f>'Design Converter'!E73</f>
        <v>310</v>
      </c>
      <c r="D68" s="647">
        <f t="shared" si="1"/>
        <v>310</v>
      </c>
      <c r="E68" s="648"/>
      <c r="F68" s="648"/>
      <c r="G68" s="649"/>
      <c r="H68" s="238" t="s">
        <v>317</v>
      </c>
      <c r="I68" s="239" t="s">
        <v>314</v>
      </c>
      <c r="J68" s="239" t="s">
        <v>314</v>
      </c>
      <c r="L68" s="234"/>
    </row>
    <row r="69" spans="1:12" s="233" customFormat="1" ht="15.75" x14ac:dyDescent="0.2">
      <c r="A69" s="235">
        <v>1</v>
      </c>
      <c r="B69" s="236" t="s">
        <v>336</v>
      </c>
      <c r="C69" s="237">
        <f>'Design Converter'!E74</f>
        <v>20.5</v>
      </c>
      <c r="D69" s="647">
        <f t="shared" si="1"/>
        <v>20.5</v>
      </c>
      <c r="E69" s="648"/>
      <c r="F69" s="648"/>
      <c r="G69" s="649"/>
      <c r="H69" s="238" t="s">
        <v>317</v>
      </c>
      <c r="I69" s="239" t="s">
        <v>314</v>
      </c>
      <c r="J69" s="239" t="s">
        <v>314</v>
      </c>
      <c r="L69" s="234"/>
    </row>
    <row r="70" spans="1:12" s="233" customFormat="1" ht="15.75" x14ac:dyDescent="0.2">
      <c r="A70" s="240">
        <v>1</v>
      </c>
      <c r="B70" s="241" t="s">
        <v>334</v>
      </c>
      <c r="C70" s="242">
        <v>20</v>
      </c>
      <c r="D70" s="676">
        <f t="shared" si="1"/>
        <v>20</v>
      </c>
      <c r="E70" s="677"/>
      <c r="F70" s="677"/>
      <c r="G70" s="678"/>
      <c r="H70" s="243" t="s">
        <v>317</v>
      </c>
      <c r="I70" s="244" t="s">
        <v>314</v>
      </c>
      <c r="J70" s="244" t="s">
        <v>314</v>
      </c>
      <c r="L70" s="234"/>
    </row>
    <row r="71" spans="1:12" s="477" customFormat="1" ht="15.75" x14ac:dyDescent="0.2">
      <c r="A71" s="240">
        <v>2</v>
      </c>
      <c r="B71" s="241" t="s">
        <v>663</v>
      </c>
      <c r="C71" s="258">
        <v>100</v>
      </c>
      <c r="D71" s="650">
        <f t="shared" si="1"/>
        <v>100</v>
      </c>
      <c r="E71" s="651"/>
      <c r="F71" s="651"/>
      <c r="G71" s="652"/>
      <c r="H71" s="243" t="s">
        <v>317</v>
      </c>
      <c r="I71" s="244" t="s">
        <v>314</v>
      </c>
      <c r="J71" s="244" t="s">
        <v>314</v>
      </c>
      <c r="L71" s="478"/>
    </row>
    <row r="72" spans="1:12" s="233" customFormat="1" ht="15.75" x14ac:dyDescent="0.2">
      <c r="A72" s="235">
        <v>1</v>
      </c>
      <c r="B72" s="236" t="s">
        <v>330</v>
      </c>
      <c r="C72" s="237">
        <f>'Design Converter'!E64</f>
        <v>249</v>
      </c>
      <c r="D72" s="647">
        <f t="shared" si="1"/>
        <v>249</v>
      </c>
      <c r="E72" s="648"/>
      <c r="F72" s="648"/>
      <c r="G72" s="649"/>
      <c r="H72" s="238" t="s">
        <v>317</v>
      </c>
      <c r="I72" s="239" t="s">
        <v>314</v>
      </c>
      <c r="J72" s="239" t="s">
        <v>314</v>
      </c>
      <c r="L72" s="234"/>
    </row>
    <row r="73" spans="1:12" s="233" customFormat="1" ht="15.75" x14ac:dyDescent="0.2">
      <c r="A73" s="235">
        <v>1</v>
      </c>
      <c r="B73" s="236" t="s">
        <v>331</v>
      </c>
      <c r="C73" s="237">
        <f>'Design Converter'!E65</f>
        <v>36.5</v>
      </c>
      <c r="D73" s="647">
        <f t="shared" si="1"/>
        <v>36.5</v>
      </c>
      <c r="E73" s="648"/>
      <c r="F73" s="648"/>
      <c r="G73" s="649"/>
      <c r="H73" s="238" t="s">
        <v>317</v>
      </c>
      <c r="I73" s="239" t="s">
        <v>314</v>
      </c>
      <c r="J73" s="239" t="s">
        <v>314</v>
      </c>
      <c r="L73" s="234"/>
    </row>
    <row r="74" spans="1:12" s="233" customFormat="1" ht="15.75" x14ac:dyDescent="0.2">
      <c r="A74" s="240">
        <v>1</v>
      </c>
      <c r="B74" s="241" t="s">
        <v>332</v>
      </c>
      <c r="C74" s="258">
        <v>2.2000000000000002</v>
      </c>
      <c r="D74" s="650">
        <f t="shared" si="1"/>
        <v>2.2000000000000002</v>
      </c>
      <c r="E74" s="651"/>
      <c r="F74" s="651"/>
      <c r="G74" s="652"/>
      <c r="H74" s="243" t="s">
        <v>317</v>
      </c>
      <c r="I74" s="244" t="s">
        <v>314</v>
      </c>
      <c r="J74" s="244" t="s">
        <v>314</v>
      </c>
      <c r="L74" s="234"/>
    </row>
    <row r="75" spans="1:12" s="233" customFormat="1" ht="14.25" customHeight="1" x14ac:dyDescent="0.2">
      <c r="A75" s="688">
        <v>1</v>
      </c>
      <c r="B75" s="700" t="s">
        <v>337</v>
      </c>
      <c r="C75" s="698" t="s">
        <v>960</v>
      </c>
      <c r="D75" s="692" t="s">
        <v>961</v>
      </c>
      <c r="E75" s="693"/>
      <c r="F75" s="693"/>
      <c r="G75" s="694"/>
      <c r="H75" s="690" t="s">
        <v>930</v>
      </c>
      <c r="I75" s="690" t="s">
        <v>962</v>
      </c>
      <c r="J75" s="690" t="s">
        <v>316</v>
      </c>
      <c r="L75" s="234"/>
    </row>
    <row r="76" spans="1:12" x14ac:dyDescent="0.2">
      <c r="A76" s="689"/>
      <c r="B76" s="701"/>
      <c r="C76" s="699"/>
      <c r="D76" s="695"/>
      <c r="E76" s="696"/>
      <c r="F76" s="696"/>
      <c r="G76" s="697"/>
      <c r="H76" s="691"/>
      <c r="I76" s="691"/>
      <c r="J76" s="691"/>
    </row>
    <row r="78" spans="1:12" x14ac:dyDescent="0.2">
      <c r="A78" s="268" t="s">
        <v>348</v>
      </c>
    </row>
    <row r="79" spans="1:12" ht="14.25" x14ac:dyDescent="0.2">
      <c r="A79" s="132" t="s">
        <v>931</v>
      </c>
      <c r="D79" s="616" t="s">
        <v>929</v>
      </c>
      <c r="E79" s="226" t="s">
        <v>932</v>
      </c>
    </row>
    <row r="80" spans="1:12" x14ac:dyDescent="0.2">
      <c r="A80" s="226" t="s">
        <v>672</v>
      </c>
    </row>
    <row r="81" spans="1:1" x14ac:dyDescent="0.2">
      <c r="A81" s="226" t="s">
        <v>665</v>
      </c>
    </row>
  </sheetData>
  <sheetProtection algorithmName="SHA-512" hashValue="zj1ZOnG5ZLGSkkI2DY+gLCmMrw8P71rfXz4EjDqFTQDrzLYAT9t914azVd1TpbpUEWgsBhQAsjkRT2W6kuKRPg==" saltValue="T/kYANAVyhg7qATEXom6mA==" spinCount="100000" sheet="1" objects="1" selectLockedCells="1" selectUnlockedCells="1"/>
  <mergeCells count="34">
    <mergeCell ref="A75:A76"/>
    <mergeCell ref="J75:J76"/>
    <mergeCell ref="D75:G76"/>
    <mergeCell ref="C75:C76"/>
    <mergeCell ref="B75:B76"/>
    <mergeCell ref="H75:H76"/>
    <mergeCell ref="I75:I76"/>
    <mergeCell ref="D48:G48"/>
    <mergeCell ref="D54:F54"/>
    <mergeCell ref="D70:G70"/>
    <mergeCell ref="D68:G68"/>
    <mergeCell ref="D69:G69"/>
    <mergeCell ref="D62:G62"/>
    <mergeCell ref="D63:G63"/>
    <mergeCell ref="D67:G67"/>
    <mergeCell ref="D65:G65"/>
    <mergeCell ref="D66:G66"/>
    <mergeCell ref="D61:G61"/>
    <mergeCell ref="D72:G72"/>
    <mergeCell ref="D73:G73"/>
    <mergeCell ref="D74:G74"/>
    <mergeCell ref="D71:G71"/>
    <mergeCell ref="D49:F49"/>
    <mergeCell ref="D50:F50"/>
    <mergeCell ref="D56:F56"/>
    <mergeCell ref="D57:F57"/>
    <mergeCell ref="D59:F59"/>
    <mergeCell ref="D51:F51"/>
    <mergeCell ref="D52:F52"/>
    <mergeCell ref="D53:F53"/>
    <mergeCell ref="D58:F58"/>
    <mergeCell ref="D55:F55"/>
    <mergeCell ref="D60:F60"/>
    <mergeCell ref="D64:G64"/>
  </mergeCells>
  <hyperlinks>
    <hyperlink ref="D79" r:id="rId1" xr:uid="{00000000-0004-0000-0100-000000000000}"/>
  </hyperlinks>
  <printOptions horizontalCentered="1"/>
  <pageMargins left="0.23" right="0.23" top="0.7" bottom="0.61" header="0.3" footer="0.5"/>
  <pageSetup scale="46" fitToHeight="2" orientation="landscape" r:id="rId2"/>
  <headerFooter alignWithMargins="0"/>
  <ignoredErrors>
    <ignoredError sqref="H49:H54 H72:H74 H68:H70 H64 H58:H59 H57 H61 H67 H71" numberStoredAsText="1"/>
  </ignoredError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0894D-E924-457D-9952-A79F2715328C}">
  <sheetPr codeName="Sheet11"/>
  <dimension ref="A1:AM47"/>
  <sheetViews>
    <sheetView showGridLines="0" showRowColHeaders="0" zoomScaleNormal="100" workbookViewId="0">
      <selection activeCell="M27" sqref="M27"/>
    </sheetView>
  </sheetViews>
  <sheetFormatPr defaultColWidth="9.140625" defaultRowHeight="14.25" x14ac:dyDescent="0.2"/>
  <cols>
    <col min="1" max="1" width="25.7109375" style="629" bestFit="1" customWidth="1"/>
    <col min="2" max="2" width="56.5703125" style="630" customWidth="1"/>
    <col min="3" max="11" width="9.140625" style="623"/>
    <col min="12" max="12" width="20.42578125" style="623" customWidth="1"/>
    <col min="13" max="16384" width="9.140625" style="623"/>
  </cols>
  <sheetData>
    <row r="1" spans="1:12" x14ac:dyDescent="0.2">
      <c r="A1" s="703"/>
      <c r="B1" s="703"/>
      <c r="C1" s="703"/>
      <c r="D1" s="703"/>
      <c r="E1" s="703"/>
      <c r="F1" s="703"/>
      <c r="G1" s="703"/>
      <c r="H1" s="703"/>
      <c r="I1" s="703"/>
      <c r="J1" s="703"/>
      <c r="K1" s="703"/>
      <c r="L1" s="703"/>
    </row>
    <row r="2" spans="1:12" x14ac:dyDescent="0.2">
      <c r="A2" s="703"/>
      <c r="B2" s="703"/>
      <c r="C2" s="703"/>
      <c r="D2" s="703"/>
      <c r="E2" s="703"/>
      <c r="F2" s="703"/>
      <c r="G2" s="703"/>
      <c r="H2" s="703"/>
      <c r="I2" s="703"/>
      <c r="J2" s="703"/>
      <c r="K2" s="703"/>
      <c r="L2" s="703"/>
    </row>
    <row r="3" spans="1:12" x14ac:dyDescent="0.2">
      <c r="A3" s="703"/>
      <c r="B3" s="703"/>
      <c r="C3" s="703"/>
      <c r="D3" s="703"/>
      <c r="E3" s="703"/>
      <c r="F3" s="703"/>
      <c r="G3" s="703"/>
      <c r="H3" s="703"/>
      <c r="I3" s="703"/>
      <c r="J3" s="703"/>
      <c r="K3" s="703"/>
      <c r="L3" s="703"/>
    </row>
    <row r="4" spans="1:12" ht="12.75" customHeight="1" x14ac:dyDescent="0.2">
      <c r="A4" s="704"/>
      <c r="B4" s="704"/>
      <c r="C4" s="704"/>
      <c r="D4" s="704"/>
      <c r="E4" s="704"/>
      <c r="F4" s="704"/>
      <c r="G4" s="704"/>
      <c r="H4" s="704"/>
      <c r="I4" s="704"/>
      <c r="J4" s="704"/>
      <c r="K4" s="704"/>
      <c r="L4" s="704"/>
    </row>
    <row r="5" spans="1:12" x14ac:dyDescent="0.2">
      <c r="A5" s="624" t="s">
        <v>968</v>
      </c>
      <c r="B5" s="625" t="s">
        <v>974</v>
      </c>
      <c r="C5" s="626"/>
      <c r="D5" s="626"/>
      <c r="E5" s="626"/>
      <c r="F5" s="626"/>
      <c r="G5" s="626"/>
      <c r="H5" s="626"/>
      <c r="I5" s="626"/>
      <c r="J5" s="626"/>
      <c r="K5" s="627"/>
      <c r="L5" s="628"/>
    </row>
    <row r="6" spans="1:12" x14ac:dyDescent="0.2">
      <c r="A6" s="624"/>
      <c r="B6" s="625"/>
      <c r="C6" s="626"/>
      <c r="D6" s="626"/>
      <c r="E6" s="626"/>
      <c r="F6" s="626"/>
      <c r="G6" s="626"/>
      <c r="H6" s="626"/>
      <c r="I6" s="626"/>
      <c r="J6" s="628"/>
      <c r="K6" s="628"/>
      <c r="L6" s="628"/>
    </row>
    <row r="35" spans="1:39" x14ac:dyDescent="0.2">
      <c r="A35" s="631" t="s">
        <v>970</v>
      </c>
      <c r="B35" s="632"/>
      <c r="C35" s="626"/>
      <c r="D35" s="626"/>
      <c r="E35" s="626"/>
      <c r="F35" s="626"/>
      <c r="G35" s="626"/>
      <c r="H35" s="626"/>
      <c r="I35" s="626"/>
      <c r="J35" s="626"/>
      <c r="K35" s="626"/>
    </row>
    <row r="36" spans="1:39" x14ac:dyDescent="0.2">
      <c r="A36" s="633" t="s">
        <v>971</v>
      </c>
      <c r="B36" s="705" t="s">
        <v>972</v>
      </c>
      <c r="C36" s="705"/>
      <c r="D36" s="705"/>
      <c r="E36" s="705"/>
      <c r="F36" s="705"/>
      <c r="G36" s="705"/>
      <c r="H36" s="705"/>
      <c r="I36" s="705"/>
      <c r="J36" s="705"/>
      <c r="K36" s="705"/>
    </row>
    <row r="37" spans="1:39" x14ac:dyDescent="0.2">
      <c r="A37" s="631" t="s">
        <v>969</v>
      </c>
      <c r="B37" s="706" t="s">
        <v>973</v>
      </c>
      <c r="C37" s="706"/>
      <c r="D37" s="706"/>
      <c r="E37" s="706"/>
      <c r="F37" s="706"/>
      <c r="G37" s="706"/>
      <c r="H37" s="706"/>
      <c r="I37" s="706"/>
      <c r="J37" s="706"/>
      <c r="K37" s="706"/>
    </row>
    <row r="38" spans="1:39" ht="14.25" customHeight="1" x14ac:dyDescent="0.2">
      <c r="A38" s="631" t="s">
        <v>974</v>
      </c>
      <c r="B38" s="702" t="s">
        <v>978</v>
      </c>
      <c r="C38" s="702"/>
      <c r="D38" s="702"/>
      <c r="E38" s="702"/>
      <c r="F38" s="702"/>
      <c r="G38" s="702"/>
      <c r="H38" s="702"/>
      <c r="I38" s="702"/>
      <c r="J38" s="702"/>
      <c r="K38" s="702"/>
    </row>
    <row r="39" spans="1:39" ht="14.25" customHeight="1" x14ac:dyDescent="0.2">
      <c r="A39" s="631"/>
      <c r="B39" s="702"/>
      <c r="C39" s="702"/>
      <c r="D39" s="702"/>
      <c r="E39" s="702"/>
      <c r="F39" s="702"/>
      <c r="G39" s="702"/>
      <c r="H39" s="702"/>
      <c r="I39" s="702"/>
      <c r="J39" s="702"/>
      <c r="K39" s="702"/>
    </row>
    <row r="40" spans="1:39" ht="14.25" customHeight="1" x14ac:dyDescent="0.2">
      <c r="A40" s="631"/>
      <c r="B40" s="702"/>
      <c r="C40" s="702"/>
      <c r="D40" s="702"/>
      <c r="E40" s="702"/>
      <c r="F40" s="702"/>
      <c r="G40" s="702"/>
      <c r="H40" s="702"/>
      <c r="I40" s="702"/>
      <c r="J40" s="702"/>
      <c r="K40" s="702"/>
    </row>
    <row r="41" spans="1:39" ht="14.25" customHeight="1" x14ac:dyDescent="0.2">
      <c r="A41" s="631"/>
      <c r="B41" s="702"/>
      <c r="C41" s="702"/>
      <c r="D41" s="702"/>
      <c r="E41" s="702"/>
      <c r="F41" s="702"/>
      <c r="G41" s="702"/>
      <c r="H41" s="702"/>
      <c r="I41" s="702"/>
      <c r="J41" s="702"/>
      <c r="K41" s="702"/>
    </row>
    <row r="42" spans="1:39" x14ac:dyDescent="0.2">
      <c r="A42" s="631"/>
      <c r="B42" s="702"/>
      <c r="C42" s="702"/>
      <c r="D42" s="702"/>
      <c r="E42" s="702"/>
      <c r="F42" s="702"/>
      <c r="G42" s="702"/>
      <c r="H42" s="702"/>
      <c r="I42" s="702"/>
      <c r="J42" s="702"/>
      <c r="K42" s="702"/>
    </row>
    <row r="43" spans="1:39" x14ac:dyDescent="0.2">
      <c r="A43" s="631"/>
      <c r="B43" s="702"/>
      <c r="C43" s="702"/>
      <c r="D43" s="702"/>
      <c r="E43" s="702"/>
      <c r="F43" s="702"/>
      <c r="G43" s="702"/>
      <c r="H43" s="702"/>
      <c r="I43" s="702"/>
      <c r="J43" s="702"/>
      <c r="K43" s="702"/>
    </row>
    <row r="44" spans="1:39" ht="15" x14ac:dyDescent="0.2">
      <c r="A44" s="631"/>
      <c r="B44" s="702"/>
      <c r="C44" s="702"/>
      <c r="D44" s="702"/>
      <c r="E44" s="702"/>
      <c r="F44" s="702"/>
      <c r="G44" s="702"/>
      <c r="H44" s="702"/>
      <c r="I44" s="702"/>
      <c r="J44" s="702"/>
      <c r="K44" s="702"/>
      <c r="L44" s="634"/>
      <c r="M44" s="634"/>
      <c r="N44" s="634"/>
      <c r="O44" s="634"/>
      <c r="P44" s="634"/>
      <c r="Q44" s="634"/>
      <c r="R44" s="634"/>
      <c r="S44" s="634"/>
      <c r="T44" s="634"/>
      <c r="U44" s="634"/>
      <c r="V44" s="634"/>
      <c r="W44" s="634"/>
      <c r="X44" s="634"/>
      <c r="Y44" s="634"/>
      <c r="Z44" s="634"/>
      <c r="AA44" s="634"/>
      <c r="AB44" s="634"/>
      <c r="AC44" s="634"/>
      <c r="AD44" s="634"/>
      <c r="AE44" s="634"/>
      <c r="AF44" s="634"/>
      <c r="AG44" s="634"/>
      <c r="AH44" s="634"/>
      <c r="AI44" s="634"/>
      <c r="AJ44" s="634"/>
      <c r="AK44" s="634"/>
      <c r="AL44" s="634"/>
      <c r="AM44" s="634"/>
    </row>
    <row r="45" spans="1:39" x14ac:dyDescent="0.2">
      <c r="A45" s="631"/>
      <c r="B45" s="702"/>
      <c r="C45" s="702"/>
      <c r="D45" s="702"/>
      <c r="E45" s="702"/>
      <c r="F45" s="702"/>
      <c r="G45" s="702"/>
      <c r="H45" s="702"/>
      <c r="I45" s="702"/>
      <c r="J45" s="702"/>
      <c r="K45" s="702"/>
    </row>
    <row r="46" spans="1:39" x14ac:dyDescent="0.2">
      <c r="A46" s="631"/>
      <c r="B46" s="702"/>
      <c r="C46" s="702"/>
      <c r="D46" s="702"/>
      <c r="E46" s="702"/>
      <c r="F46" s="702"/>
      <c r="G46" s="702"/>
      <c r="H46" s="702"/>
      <c r="I46" s="702"/>
      <c r="J46" s="702"/>
      <c r="K46" s="702"/>
    </row>
    <row r="47" spans="1:39" x14ac:dyDescent="0.2">
      <c r="A47" s="631"/>
      <c r="B47" s="702"/>
      <c r="C47" s="702"/>
      <c r="D47" s="702"/>
      <c r="E47" s="702"/>
      <c r="F47" s="702"/>
      <c r="G47" s="702"/>
      <c r="H47" s="702"/>
      <c r="I47" s="702"/>
      <c r="J47" s="702"/>
      <c r="K47" s="702"/>
    </row>
  </sheetData>
  <sheetProtection algorithmName="SHA-512" hashValue="cfqtYbv5L/P3/EvlO4ZIWUDPNcy1XoRKIFbmzynkTPAfUklDtPiwHs0U8t4otRD/AXw08QtAHLwGeN91s7MqPg==" saltValue="yZicFNltpoIGlnl26ZwJ1g==" spinCount="100000" sheet="1" objects="1" selectLockedCells="1" selectUnlockedCells="1"/>
  <mergeCells count="14">
    <mergeCell ref="B39:K39"/>
    <mergeCell ref="A1:L3"/>
    <mergeCell ref="A4:L4"/>
    <mergeCell ref="B36:K36"/>
    <mergeCell ref="B37:K37"/>
    <mergeCell ref="B38:K38"/>
    <mergeCell ref="B46:K46"/>
    <mergeCell ref="B47:K47"/>
    <mergeCell ref="B40:K40"/>
    <mergeCell ref="B41:K41"/>
    <mergeCell ref="B42:K42"/>
    <mergeCell ref="B43:K43"/>
    <mergeCell ref="B44:K44"/>
    <mergeCell ref="B45:K45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tabColor rgb="FF0000FF"/>
    <pageSetUpPr fitToPage="1"/>
  </sheetPr>
  <dimension ref="A1:W6"/>
  <sheetViews>
    <sheetView zoomScale="85" zoomScaleNormal="85" zoomScaleSheetLayoutView="80" workbookViewId="0">
      <selection activeCell="L63" sqref="L63"/>
    </sheetView>
  </sheetViews>
  <sheetFormatPr defaultColWidth="9.140625" defaultRowHeight="12.75" x14ac:dyDescent="0.2"/>
  <cols>
    <col min="1" max="13" width="9.140625" style="125"/>
    <col min="14" max="14" width="11.85546875" style="125" customWidth="1"/>
    <col min="15" max="16" width="9.140625" style="125"/>
    <col min="17" max="17" width="15.7109375" style="125" customWidth="1"/>
    <col min="18" max="16384" width="9.140625" style="125"/>
  </cols>
  <sheetData>
    <row r="1" spans="1:23" s="117" customFormat="1" ht="47.25" customHeight="1" x14ac:dyDescent="0.2">
      <c r="A1" s="707" t="s">
        <v>928</v>
      </c>
      <c r="B1" s="708"/>
      <c r="C1" s="708"/>
      <c r="D1" s="708"/>
      <c r="E1" s="708"/>
      <c r="F1" s="708"/>
      <c r="G1" s="708"/>
      <c r="H1" s="708"/>
      <c r="I1" s="708"/>
      <c r="J1" s="708"/>
      <c r="K1" s="708"/>
      <c r="L1" s="708"/>
      <c r="M1" s="708"/>
      <c r="N1" s="708"/>
      <c r="O1" s="708"/>
      <c r="P1" s="708"/>
      <c r="Q1" s="708"/>
    </row>
    <row r="6" spans="1:23" ht="20.25" x14ac:dyDescent="0.3">
      <c r="B6" s="126" t="s">
        <v>812</v>
      </c>
      <c r="M6" s="126" t="s">
        <v>813</v>
      </c>
      <c r="W6" s="126" t="s">
        <v>814</v>
      </c>
    </row>
  </sheetData>
  <mergeCells count="1">
    <mergeCell ref="A1:Q1"/>
  </mergeCells>
  <pageMargins left="0.19" right="0.2" top="0.75" bottom="0.75" header="0.3" footer="0.3"/>
  <pageSetup scale="3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P495"/>
  <sheetViews>
    <sheetView workbookViewId="0">
      <pane ySplit="5" topLeftCell="A33" activePane="bottomLeft" state="frozenSplit"/>
      <selection pane="bottomLeft" activeCell="D65" sqref="D65"/>
    </sheetView>
  </sheetViews>
  <sheetFormatPr defaultRowHeight="12.75" x14ac:dyDescent="0.2"/>
  <cols>
    <col min="1" max="1" width="38.85546875" customWidth="1"/>
    <col min="2" max="2" width="12" customWidth="1"/>
    <col min="3" max="3" width="10" style="2" customWidth="1"/>
    <col min="4" max="4" width="13.42578125" customWidth="1"/>
    <col min="5" max="5" width="11.5703125" customWidth="1"/>
    <col min="7" max="7" width="12.42578125" bestFit="1" customWidth="1"/>
    <col min="8" max="8" width="34.7109375" customWidth="1"/>
    <col min="10" max="10" width="12.42578125" bestFit="1" customWidth="1"/>
    <col min="11" max="11" width="15.140625" customWidth="1"/>
    <col min="12" max="12" width="13.28515625" customWidth="1"/>
    <col min="14" max="14" width="7.85546875" customWidth="1"/>
    <col min="16" max="16" width="8.28515625" customWidth="1"/>
  </cols>
  <sheetData>
    <row r="1" spans="1:16" ht="30.75" customHeight="1" x14ac:dyDescent="0.4">
      <c r="A1" s="710" t="s">
        <v>545</v>
      </c>
      <c r="B1" s="710"/>
      <c r="C1" s="710"/>
      <c r="D1" s="710"/>
      <c r="E1" s="710"/>
      <c r="F1" s="710"/>
      <c r="G1" s="710"/>
      <c r="H1" s="710"/>
      <c r="I1" s="710"/>
    </row>
    <row r="2" spans="1:16" ht="12" customHeight="1" x14ac:dyDescent="0.2">
      <c r="A2" s="49"/>
      <c r="B2" s="49" t="s">
        <v>227</v>
      </c>
      <c r="C2" s="50"/>
      <c r="E2" s="49"/>
      <c r="F2" s="49"/>
      <c r="G2" s="49"/>
      <c r="H2" s="49"/>
      <c r="I2" s="49"/>
    </row>
    <row r="3" spans="1:16" ht="11.25" customHeight="1" x14ac:dyDescent="0.2">
      <c r="A3" s="49"/>
      <c r="B3" s="49" t="s">
        <v>276</v>
      </c>
      <c r="C3" s="51"/>
      <c r="E3" s="49"/>
      <c r="F3" s="49"/>
      <c r="G3" s="49"/>
      <c r="H3" s="49"/>
      <c r="I3" s="49"/>
    </row>
    <row r="4" spans="1:16" ht="11.25" customHeight="1" x14ac:dyDescent="0.2">
      <c r="A4" s="49"/>
      <c r="B4" s="49" t="s">
        <v>228</v>
      </c>
      <c r="C4" s="52"/>
      <c r="E4" s="49"/>
      <c r="F4" s="49"/>
      <c r="G4" s="49"/>
      <c r="H4" s="49"/>
      <c r="I4" s="49"/>
    </row>
    <row r="5" spans="1:16" x14ac:dyDescent="0.2">
      <c r="A5" s="2" t="s">
        <v>51</v>
      </c>
      <c r="B5" s="2" t="s">
        <v>8</v>
      </c>
      <c r="C5" s="2" t="s">
        <v>9</v>
      </c>
      <c r="E5" s="709" t="s">
        <v>13</v>
      </c>
      <c r="F5" s="709"/>
      <c r="G5" s="709"/>
      <c r="H5" s="709"/>
      <c r="I5" s="2" t="s">
        <v>573</v>
      </c>
    </row>
    <row r="6" spans="1:16" ht="16.5" thickBot="1" x14ac:dyDescent="0.3">
      <c r="A6" s="580" t="s">
        <v>179</v>
      </c>
      <c r="B6" s="2"/>
      <c r="D6" s="2"/>
      <c r="E6" s="49"/>
      <c r="F6" s="49"/>
      <c r="G6" s="49"/>
      <c r="H6" s="49"/>
      <c r="I6" s="2"/>
    </row>
    <row r="7" spans="1:16" x14ac:dyDescent="0.2">
      <c r="A7" s="222" t="s">
        <v>373</v>
      </c>
      <c r="B7" s="12">
        <f>'Design Converter'!E6</f>
        <v>9</v>
      </c>
      <c r="C7" s="63" t="s">
        <v>0</v>
      </c>
      <c r="D7" s="121" t="s">
        <v>374</v>
      </c>
      <c r="E7" s="63"/>
      <c r="F7" s="63"/>
      <c r="G7" s="63"/>
      <c r="H7" s="63"/>
      <c r="I7" s="64">
        <v>1</v>
      </c>
    </row>
    <row r="8" spans="1:16" x14ac:dyDescent="0.2">
      <c r="A8" s="223"/>
      <c r="B8" s="29">
        <f>'Design Converter'!E7</f>
        <v>12</v>
      </c>
      <c r="C8" t="s">
        <v>0</v>
      </c>
      <c r="D8" t="s">
        <v>14</v>
      </c>
      <c r="I8" s="57"/>
      <c r="K8" s="313" t="s">
        <v>926</v>
      </c>
      <c r="L8" s="120">
        <v>1</v>
      </c>
      <c r="M8" s="118" t="s">
        <v>937</v>
      </c>
      <c r="O8" s="120">
        <v>1</v>
      </c>
    </row>
    <row r="9" spans="1:16" x14ac:dyDescent="0.2">
      <c r="A9" s="223" t="s">
        <v>372</v>
      </c>
      <c r="B9" s="29">
        <f>'Design Converter'!E8</f>
        <v>48</v>
      </c>
      <c r="C9" t="s">
        <v>0</v>
      </c>
      <c r="D9" s="118" t="s">
        <v>375</v>
      </c>
      <c r="I9" s="57"/>
      <c r="K9" s="313" t="s">
        <v>927</v>
      </c>
      <c r="L9" s="120">
        <v>2</v>
      </c>
      <c r="M9" s="118" t="s">
        <v>936</v>
      </c>
      <c r="O9" s="120">
        <v>2</v>
      </c>
    </row>
    <row r="10" spans="1:16" x14ac:dyDescent="0.2">
      <c r="A10" s="223" t="s">
        <v>809</v>
      </c>
      <c r="B10" s="585">
        <f>B40</f>
        <v>11.303896103896104</v>
      </c>
      <c r="C10" t="s">
        <v>0</v>
      </c>
      <c r="D10" s="118"/>
      <c r="I10" s="57"/>
      <c r="K10" s="597" t="s">
        <v>886</v>
      </c>
      <c r="L10" s="598">
        <v>1</v>
      </c>
      <c r="M10" s="388" t="s">
        <v>934</v>
      </c>
      <c r="O10" s="598">
        <v>2</v>
      </c>
      <c r="P10" s="118" t="s">
        <v>935</v>
      </c>
    </row>
    <row r="11" spans="1:16" x14ac:dyDescent="0.2">
      <c r="A11" s="223"/>
      <c r="B11" s="546"/>
      <c r="C11"/>
      <c r="D11" s="118"/>
      <c r="I11" s="57"/>
    </row>
    <row r="12" spans="1:16" x14ac:dyDescent="0.2">
      <c r="A12" s="56" t="s">
        <v>5</v>
      </c>
      <c r="B12" s="29">
        <f>'Design Converter'!E9</f>
        <v>12.8</v>
      </c>
      <c r="C12" t="s">
        <v>0</v>
      </c>
      <c r="D12" t="s">
        <v>1</v>
      </c>
      <c r="I12" s="57">
        <v>1</v>
      </c>
    </row>
    <row r="13" spans="1:16" x14ac:dyDescent="0.2">
      <c r="A13" s="56" t="s">
        <v>6</v>
      </c>
      <c r="B13" s="29">
        <f>'Design Converter'!E10</f>
        <v>20</v>
      </c>
      <c r="C13" t="s">
        <v>2</v>
      </c>
      <c r="D13" s="118" t="s">
        <v>376</v>
      </c>
      <c r="I13" s="57">
        <v>1</v>
      </c>
    </row>
    <row r="14" spans="1:16" x14ac:dyDescent="0.2">
      <c r="A14" s="223" t="s">
        <v>470</v>
      </c>
      <c r="B14" s="312">
        <f>Vout/Iout</f>
        <v>0.64</v>
      </c>
      <c r="C14" s="225" t="s">
        <v>120</v>
      </c>
      <c r="D14" s="118" t="s">
        <v>471</v>
      </c>
      <c r="I14" s="57"/>
    </row>
    <row r="15" spans="1:16" x14ac:dyDescent="0.2">
      <c r="A15" s="223" t="s">
        <v>394</v>
      </c>
      <c r="B15" s="312">
        <f>Vout*Iout</f>
        <v>256</v>
      </c>
      <c r="C15" t="s">
        <v>120</v>
      </c>
      <c r="D15" s="118" t="s">
        <v>426</v>
      </c>
      <c r="I15" s="57"/>
    </row>
    <row r="16" spans="1:16" x14ac:dyDescent="0.2">
      <c r="A16" s="223" t="s">
        <v>152</v>
      </c>
      <c r="B16" s="336">
        <v>0.9</v>
      </c>
      <c r="C16"/>
      <c r="D16" s="621" t="s">
        <v>950</v>
      </c>
      <c r="I16" s="57"/>
    </row>
    <row r="17" spans="1:9" x14ac:dyDescent="0.2">
      <c r="A17" s="223" t="s">
        <v>398</v>
      </c>
      <c r="B17" s="337">
        <f>Pout/Efficiency</f>
        <v>284.44444444444446</v>
      </c>
      <c r="C17" t="s">
        <v>120</v>
      </c>
      <c r="D17" s="118" t="s">
        <v>425</v>
      </c>
      <c r="I17" s="57"/>
    </row>
    <row r="18" spans="1:9" x14ac:dyDescent="0.2">
      <c r="A18" s="223" t="s">
        <v>395</v>
      </c>
      <c r="B18" s="327">
        <f>Pin/VIN_min</f>
        <v>31.60493827160494</v>
      </c>
      <c r="C18" t="s">
        <v>2</v>
      </c>
      <c r="D18" s="118"/>
      <c r="I18" s="57"/>
    </row>
    <row r="19" spans="1:9" x14ac:dyDescent="0.2">
      <c r="A19" s="223" t="s">
        <v>396</v>
      </c>
      <c r="B19" s="327">
        <f>Pin/VIN_nom</f>
        <v>23.703703703703706</v>
      </c>
      <c r="C19" t="s">
        <v>2</v>
      </c>
      <c r="D19" s="118" t="s">
        <v>427</v>
      </c>
      <c r="I19" s="57"/>
    </row>
    <row r="20" spans="1:9" x14ac:dyDescent="0.2">
      <c r="A20" s="223" t="s">
        <v>397</v>
      </c>
      <c r="B20" s="327">
        <f>Pin/VIN_max</f>
        <v>5.9259259259259265</v>
      </c>
      <c r="C20" t="s">
        <v>2</v>
      </c>
      <c r="D20" s="118"/>
      <c r="I20" s="57"/>
    </row>
    <row r="21" spans="1:9" x14ac:dyDescent="0.2">
      <c r="A21" s="223"/>
      <c r="C21"/>
      <c r="D21" s="118"/>
      <c r="I21" s="57"/>
    </row>
    <row r="22" spans="1:9" x14ac:dyDescent="0.2">
      <c r="A22" s="58" t="s">
        <v>7</v>
      </c>
      <c r="B22" s="270">
        <f>'Design Converter'!E11*1000</f>
        <v>250000</v>
      </c>
      <c r="C22" s="118" t="s">
        <v>10</v>
      </c>
      <c r="D22" s="118" t="s">
        <v>377</v>
      </c>
      <c r="I22" s="57">
        <v>1</v>
      </c>
    </row>
    <row r="23" spans="1:9" x14ac:dyDescent="0.2">
      <c r="A23" s="223" t="s">
        <v>851</v>
      </c>
      <c r="B23" s="583">
        <f>1/Fsw</f>
        <v>3.9999999999999998E-6</v>
      </c>
      <c r="C23" s="118" t="s">
        <v>800</v>
      </c>
      <c r="D23" s="118" t="s">
        <v>850</v>
      </c>
      <c r="I23" s="57"/>
    </row>
    <row r="24" spans="1:9" x14ac:dyDescent="0.2">
      <c r="A24" s="58" t="s">
        <v>44</v>
      </c>
      <c r="B24" s="59">
        <v>0.8</v>
      </c>
      <c r="C24" t="s">
        <v>0</v>
      </c>
      <c r="D24" t="s">
        <v>45</v>
      </c>
      <c r="I24" s="57"/>
    </row>
    <row r="25" spans="1:9" x14ac:dyDescent="0.2">
      <c r="A25" s="223" t="s">
        <v>359</v>
      </c>
      <c r="B25" s="328">
        <f>((1/Fsw)-190*10^-9)/(116*10^-12)</f>
        <v>32844.827586206899</v>
      </c>
      <c r="C25" s="225" t="s">
        <v>120</v>
      </c>
      <c r="D25" t="s">
        <v>428</v>
      </c>
      <c r="F25" s="620" t="s">
        <v>946</v>
      </c>
      <c r="I25" s="57"/>
    </row>
    <row r="26" spans="1:9" x14ac:dyDescent="0.2">
      <c r="A26" s="223"/>
      <c r="B26" s="333"/>
      <c r="C26" s="225"/>
      <c r="I26" s="57"/>
    </row>
    <row r="27" spans="1:9" x14ac:dyDescent="0.2">
      <c r="A27" s="223"/>
      <c r="B27" s="333"/>
      <c r="C27" s="225"/>
      <c r="I27" s="57"/>
    </row>
    <row r="28" spans="1:9" x14ac:dyDescent="0.2">
      <c r="A28" s="118" t="s">
        <v>854</v>
      </c>
      <c r="B28" s="30">
        <v>2.9999999999999999E-7</v>
      </c>
      <c r="C28" s="118" t="s">
        <v>800</v>
      </c>
      <c r="D28" s="118" t="s">
        <v>855</v>
      </c>
      <c r="E28" s="2" t="s">
        <v>860</v>
      </c>
      <c r="I28" s="57"/>
    </row>
    <row r="29" spans="1:9" x14ac:dyDescent="0.2">
      <c r="A29" s="118" t="s">
        <v>849</v>
      </c>
      <c r="B29" s="397">
        <f>0.0000003</f>
        <v>2.9999999999999999E-7</v>
      </c>
      <c r="C29" s="118" t="s">
        <v>800</v>
      </c>
      <c r="D29" s="118" t="s">
        <v>856</v>
      </c>
      <c r="E29" s="2" t="s">
        <v>861</v>
      </c>
      <c r="I29" s="57"/>
    </row>
    <row r="30" spans="1:9" x14ac:dyDescent="0.2">
      <c r="A30" s="118" t="s">
        <v>863</v>
      </c>
      <c r="B30" s="584">
        <v>1.1999999999999999E-6</v>
      </c>
      <c r="C30" s="118" t="s">
        <v>800</v>
      </c>
      <c r="E30" s="2" t="s">
        <v>864</v>
      </c>
      <c r="I30" s="57"/>
    </row>
    <row r="31" spans="1:9" x14ac:dyDescent="0.2">
      <c r="A31" s="118"/>
      <c r="B31" s="584"/>
      <c r="C31" s="118"/>
      <c r="E31" s="118"/>
      <c r="I31" s="57"/>
    </row>
    <row r="32" spans="1:9" x14ac:dyDescent="0.2">
      <c r="A32" s="118" t="s">
        <v>859</v>
      </c>
      <c r="B32" s="590">
        <f>Ton_min_boost/Ts</f>
        <v>7.4999999999999997E-2</v>
      </c>
      <c r="C32"/>
      <c r="E32" s="118"/>
      <c r="I32" s="57"/>
    </row>
    <row r="33" spans="1:9" x14ac:dyDescent="0.2">
      <c r="A33" s="118" t="s">
        <v>905</v>
      </c>
      <c r="B33" s="590">
        <f>B30/(2*Ts)</f>
        <v>0.15</v>
      </c>
      <c r="C33"/>
      <c r="E33" s="118"/>
      <c r="I33" s="57"/>
    </row>
    <row r="34" spans="1:9" x14ac:dyDescent="0.2">
      <c r="A34" s="118" t="s">
        <v>862</v>
      </c>
      <c r="B34" s="589">
        <f>1-B28/(2*Ts)</f>
        <v>0.96250000000000002</v>
      </c>
      <c r="C34"/>
      <c r="E34" s="118"/>
      <c r="I34" s="57"/>
    </row>
    <row r="35" spans="1:9" x14ac:dyDescent="0.2">
      <c r="A35" s="223"/>
      <c r="B35" s="586"/>
      <c r="C35" s="225"/>
      <c r="I35" s="57"/>
    </row>
    <row r="36" spans="1:9" x14ac:dyDescent="0.2">
      <c r="A36" s="118" t="s">
        <v>911</v>
      </c>
      <c r="B36" s="589">
        <f>Ton_min_boost/(2*Ts)</f>
        <v>3.7499999999999999E-2</v>
      </c>
      <c r="C36"/>
      <c r="I36" s="57"/>
    </row>
    <row r="37" spans="1:9" x14ac:dyDescent="0.2">
      <c r="A37" s="118" t="s">
        <v>906</v>
      </c>
      <c r="B37" s="589">
        <f>1-B30/(2*Ts)</f>
        <v>0.85</v>
      </c>
      <c r="C37"/>
      <c r="I37" s="57"/>
    </row>
    <row r="38" spans="1:9" x14ac:dyDescent="0.2">
      <c r="A38" s="118" t="s">
        <v>865</v>
      </c>
      <c r="B38" s="589">
        <f>1-Toff_min_buck/Ts</f>
        <v>0.92500000000000004</v>
      </c>
      <c r="C38"/>
      <c r="I38" s="57"/>
    </row>
    <row r="39" spans="1:9" x14ac:dyDescent="0.2">
      <c r="I39" s="57"/>
    </row>
    <row r="40" spans="1:9" x14ac:dyDescent="0.2">
      <c r="A40" s="118" t="s">
        <v>853</v>
      </c>
      <c r="B40" s="587">
        <f>Vout*(1-B33)/B34</f>
        <v>11.303896103896104</v>
      </c>
      <c r="C40" s="118" t="s">
        <v>0</v>
      </c>
      <c r="I40" s="57"/>
    </row>
    <row r="41" spans="1:9" x14ac:dyDescent="0.2">
      <c r="A41" s="118" t="s">
        <v>852</v>
      </c>
      <c r="B41" s="319">
        <f>Vout*(1-B32)</f>
        <v>11.840000000000002</v>
      </c>
      <c r="C41" s="118" t="s">
        <v>0</v>
      </c>
      <c r="I41" s="57"/>
    </row>
    <row r="42" spans="1:9" x14ac:dyDescent="0.2">
      <c r="A42" s="118" t="s">
        <v>858</v>
      </c>
      <c r="B42" s="587">
        <f>Vout/B38</f>
        <v>13.837837837837839</v>
      </c>
      <c r="C42" s="118" t="s">
        <v>0</v>
      </c>
      <c r="I42" s="57"/>
    </row>
    <row r="43" spans="1:9" x14ac:dyDescent="0.2">
      <c r="A43" s="118" t="s">
        <v>857</v>
      </c>
      <c r="B43" s="587">
        <f>Vout/B37*(1-B36)</f>
        <v>14.494117647058825</v>
      </c>
      <c r="C43" s="118" t="s">
        <v>0</v>
      </c>
      <c r="I43" s="57"/>
    </row>
    <row r="44" spans="1:9" ht="13.5" thickBot="1" x14ac:dyDescent="0.25">
      <c r="A44" s="60"/>
      <c r="B44" s="588"/>
      <c r="C44" s="61"/>
      <c r="D44" s="61"/>
      <c r="E44" s="61"/>
      <c r="F44" s="61"/>
      <c r="G44" s="61"/>
      <c r="H44" s="61"/>
      <c r="I44" s="62"/>
    </row>
    <row r="47" spans="1:9" ht="16.5" thickBot="1" x14ac:dyDescent="0.3">
      <c r="A47" s="580" t="s">
        <v>280</v>
      </c>
      <c r="B47" s="2"/>
    </row>
    <row r="48" spans="1:9" x14ac:dyDescent="0.2">
      <c r="A48" s="222" t="s">
        <v>15</v>
      </c>
      <c r="B48" s="307">
        <f>Vout/VIN_nom</f>
        <v>1.0666666666666667</v>
      </c>
      <c r="C48" s="322">
        <f>(Vout-VIN_nom)/Vout</f>
        <v>6.2500000000000056E-2</v>
      </c>
      <c r="D48" s="311"/>
      <c r="E48" s="121" t="s">
        <v>387</v>
      </c>
      <c r="F48" s="63"/>
      <c r="G48" s="63"/>
      <c r="H48" s="63"/>
      <c r="I48" s="64">
        <v>1</v>
      </c>
    </row>
    <row r="49" spans="1:9" x14ac:dyDescent="0.2">
      <c r="A49" s="223" t="s">
        <v>16</v>
      </c>
      <c r="B49" s="308">
        <f>1-48:48</f>
        <v>-6.6666666666666652E-2</v>
      </c>
      <c r="C49"/>
      <c r="E49" s="118" t="s">
        <v>388</v>
      </c>
      <c r="I49" s="57">
        <v>1</v>
      </c>
    </row>
    <row r="50" spans="1:9" x14ac:dyDescent="0.2">
      <c r="A50" s="118"/>
      <c r="C50"/>
      <c r="E50" s="118"/>
      <c r="I50" s="57"/>
    </row>
    <row r="51" spans="1:9" x14ac:dyDescent="0.2">
      <c r="A51" s="223" t="s">
        <v>389</v>
      </c>
      <c r="B51" s="320">
        <f>IF(VIN_min&gt;Vout, Vout/VIN_min, (Vout-VIN_min)/Vout)</f>
        <v>0.29687500000000006</v>
      </c>
      <c r="C51" t="str">
        <f>IF(VIN_min&gt;Vout, "BUCK", "BOOST")</f>
        <v>BOOST</v>
      </c>
      <c r="E51" s="118"/>
      <c r="I51" s="57"/>
    </row>
    <row r="52" spans="1:9" x14ac:dyDescent="0.2">
      <c r="A52" s="223" t="s">
        <v>407</v>
      </c>
      <c r="B52" s="320">
        <f>IF(VIN_nom&gt;Vout, Vout/VIN_nom, (Vout-VIN_nom)/Vout)</f>
        <v>6.2500000000000056E-2</v>
      </c>
      <c r="C52" t="str">
        <f>IF(VIN_nom&gt;Vout, "BUCK", "BOOST")</f>
        <v>BOOST</v>
      </c>
      <c r="I52" s="57"/>
    </row>
    <row r="53" spans="1:9" x14ac:dyDescent="0.2">
      <c r="A53" s="223" t="s">
        <v>390</v>
      </c>
      <c r="B53" s="320">
        <f>IF(VIN_max&gt;Vout, Vout/VIN_max, (Vout-VIN_max)/Vout)</f>
        <v>0.26666666666666666</v>
      </c>
      <c r="C53" t="str">
        <f>IF(VIN_max&gt;Vout, "BUCK", "BOOST")</f>
        <v>BUCK</v>
      </c>
      <c r="E53" s="118"/>
      <c r="I53" s="57"/>
    </row>
    <row r="54" spans="1:9" x14ac:dyDescent="0.2">
      <c r="A54" s="118" t="s">
        <v>807</v>
      </c>
      <c r="B54" s="320">
        <f>B33</f>
        <v>0.15</v>
      </c>
      <c r="C54" s="118" t="s">
        <v>806</v>
      </c>
      <c r="E54" s="118"/>
      <c r="I54" s="57"/>
    </row>
    <row r="55" spans="1:9" x14ac:dyDescent="0.2">
      <c r="A55" s="118"/>
      <c r="C55"/>
      <c r="E55" s="118"/>
      <c r="I55" s="57"/>
    </row>
    <row r="56" spans="1:9" x14ac:dyDescent="0.2">
      <c r="A56" s="223" t="s">
        <v>391</v>
      </c>
      <c r="B56" s="310">
        <f>(VIN_min-Vout)*Don_Vinmin/(Fsw*Iout*0.3)</f>
        <v>-7.5208333333333369E-7</v>
      </c>
      <c r="C56" s="310">
        <f>VIN_min/(Iin_Vinmin*0.3*Fsw)*(1-VIN_min/Vout)</f>
        <v>1.1271972656249999E-6</v>
      </c>
      <c r="D56" s="118" t="s">
        <v>20</v>
      </c>
      <c r="I56" s="57"/>
    </row>
    <row r="57" spans="1:9" x14ac:dyDescent="0.2">
      <c r="A57" s="223" t="s">
        <v>405</v>
      </c>
      <c r="B57" s="310">
        <f>(VIN_nom-Vout)*Don_Vinnom/(Fsw*Iout*0.4)</f>
        <v>-2.5000000000000042E-8</v>
      </c>
      <c r="C57" s="310">
        <f>VIN_nom/(Iin_Vinnom*0.4*Fsw)*(1-VIN_nom/Vout)</f>
        <v>3.1640624999999996E-7</v>
      </c>
      <c r="D57" t="s">
        <v>20</v>
      </c>
      <c r="I57" s="57">
        <v>1</v>
      </c>
    </row>
    <row r="58" spans="1:9" x14ac:dyDescent="0.2">
      <c r="A58" s="223" t="s">
        <v>392</v>
      </c>
      <c r="B58" s="310">
        <f>(VIN_max-Vout)*Don_Vinmax/(Fsw*Iout*0.3)</f>
        <v>6.2577777777777776E-6</v>
      </c>
      <c r="C58" s="310">
        <f>VIN_max/(Iin_Vinmax*0.3*Fsw)*(1-VIN_max/Vout)</f>
        <v>-2.9699999999999996E-4</v>
      </c>
      <c r="D58" s="118" t="s">
        <v>20</v>
      </c>
      <c r="I58" s="57"/>
    </row>
    <row r="59" spans="1:9" x14ac:dyDescent="0.2">
      <c r="A59" s="118"/>
      <c r="C59"/>
      <c r="I59" s="57"/>
    </row>
    <row r="60" spans="1:9" x14ac:dyDescent="0.2">
      <c r="A60" s="118" t="s">
        <v>402</v>
      </c>
      <c r="B60" s="309">
        <f>IF(VIN_min&gt;Vout, (VIN_min-Vout)*Don_Vinmin/(Fsw*Iout*0.3), VIN_min/(Iin_Vinmin*0.3*Fsw)*(1-VIN_min/Vout))</f>
        <v>1.1271972656249999E-6</v>
      </c>
      <c r="C60" s="118" t="s">
        <v>20</v>
      </c>
      <c r="D60" t="str">
        <f>IF(VIN_min&gt;Vout, "BUCK", "BOOST")</f>
        <v>BOOST</v>
      </c>
      <c r="E60" s="118" t="s">
        <v>816</v>
      </c>
      <c r="I60" s="57"/>
    </row>
    <row r="61" spans="1:9" x14ac:dyDescent="0.2">
      <c r="A61" s="118" t="s">
        <v>403</v>
      </c>
      <c r="B61" s="309">
        <f>IF(VIN_nom&gt;Vout, (VIN_nom-Vout)*Don_Vinnom/(Fsw*Iout*0.4), VIN_nom/(Iin_Vinnom*0.4*Fsw)*(1-VIN_nom/Vout))</f>
        <v>3.1640624999999996E-7</v>
      </c>
      <c r="C61" t="s">
        <v>20</v>
      </c>
      <c r="D61" t="str">
        <f>IF(VIN_nom&gt;Vout, "BUCK", "BOOST")</f>
        <v>BOOST</v>
      </c>
      <c r="E61" s="118" t="s">
        <v>817</v>
      </c>
      <c r="I61" s="57"/>
    </row>
    <row r="62" spans="1:9" x14ac:dyDescent="0.2">
      <c r="A62" s="118" t="s">
        <v>404</v>
      </c>
      <c r="B62" s="309">
        <f>IF(VIN_max&gt;Vout, (VIN_max-Vout)*Don_Vinmax/(Fsw*Iout*0.8), VIN_max/(Iin_Vinmax*0.8*Fsw)*(1-VIN_max/Vout))</f>
        <v>2.3466666666666665E-6</v>
      </c>
      <c r="C62" s="118" t="s">
        <v>20</v>
      </c>
      <c r="D62" t="str">
        <f>IF(VIN_max&gt;Vout, "BUCK", "BOOST")</f>
        <v>BUCK</v>
      </c>
      <c r="E62" s="118" t="s">
        <v>976</v>
      </c>
      <c r="I62" s="57"/>
    </row>
    <row r="63" spans="1:9" x14ac:dyDescent="0.2">
      <c r="A63" s="118"/>
      <c r="C63" s="118"/>
      <c r="E63" s="118"/>
      <c r="I63" s="57"/>
    </row>
    <row r="64" spans="1:9" x14ac:dyDescent="0.2">
      <c r="A64" s="223" t="s">
        <v>406</v>
      </c>
      <c r="B64" s="309">
        <f>AVERAGE(B60,B62)</f>
        <v>1.7369319661458332E-6</v>
      </c>
      <c r="C64" t="s">
        <v>20</v>
      </c>
      <c r="D64" s="118" t="s">
        <v>977</v>
      </c>
      <c r="E64" s="118"/>
      <c r="I64" s="57"/>
    </row>
    <row r="65" spans="1:12" x14ac:dyDescent="0.2">
      <c r="A65" s="223"/>
      <c r="C65"/>
      <c r="E65" s="118"/>
      <c r="I65" s="57"/>
    </row>
    <row r="66" spans="1:12" x14ac:dyDescent="0.2">
      <c r="A66" s="223" t="s">
        <v>393</v>
      </c>
      <c r="B66" s="72">
        <f>'Design Converter'!E16/1000000</f>
        <v>1.9999999999999999E-6</v>
      </c>
      <c r="C66" t="s">
        <v>20</v>
      </c>
      <c r="E66" s="118" t="s">
        <v>818</v>
      </c>
      <c r="I66" s="57">
        <v>2</v>
      </c>
    </row>
    <row r="67" spans="1:12" x14ac:dyDescent="0.2">
      <c r="A67" s="223" t="s">
        <v>12</v>
      </c>
      <c r="B67" s="29">
        <f>'Design Converter'!E17/1000</f>
        <v>2.2899999999999999E-3</v>
      </c>
      <c r="C67" s="225" t="s">
        <v>120</v>
      </c>
      <c r="E67" s="118" t="s">
        <v>819</v>
      </c>
      <c r="I67" s="57">
        <v>1</v>
      </c>
    </row>
    <row r="68" spans="1:12" x14ac:dyDescent="0.2">
      <c r="A68" s="223"/>
      <c r="B68" s="118"/>
      <c r="C68" s="118"/>
      <c r="D68" s="118"/>
      <c r="E68" s="118"/>
      <c r="I68" s="57"/>
    </row>
    <row r="69" spans="1:12" x14ac:dyDescent="0.2">
      <c r="A69" s="223" t="s">
        <v>17</v>
      </c>
      <c r="B69" s="320">
        <f>(Vout+Iout*(Rdcr+Rs))/(Vin+Iout*Rs)</f>
        <v>1.0701326699834164</v>
      </c>
      <c r="C69"/>
      <c r="I69" s="57">
        <v>2</v>
      </c>
    </row>
    <row r="70" spans="1:12" x14ac:dyDescent="0.2">
      <c r="A70" s="223" t="s">
        <v>18</v>
      </c>
      <c r="B70" s="320">
        <f>1-_Don2</f>
        <v>-7.0132669983416385E-2</v>
      </c>
      <c r="C70"/>
      <c r="I70" s="57">
        <v>2</v>
      </c>
    </row>
    <row r="71" spans="1:12" x14ac:dyDescent="0.2">
      <c r="A71" s="223"/>
      <c r="C71"/>
      <c r="I71" s="57"/>
    </row>
    <row r="72" spans="1:12" x14ac:dyDescent="0.2">
      <c r="A72" s="223" t="s">
        <v>408</v>
      </c>
      <c r="B72" s="320">
        <f>IF(VIN_min&gt;Vout, (Vout+Iout*(Rdcr+Rs))/(VIN_min+Iout*Rs), (Vout-VIN_min+Iin_Vinmin*(Rdcr))/(Vout-Iin_Vinmin*Rs))</f>
        <v>0.30478700248756219</v>
      </c>
      <c r="C72" t="str">
        <f>IF(VIN_min&gt;Vout, "BUCK", "BOOST")</f>
        <v>BOOST</v>
      </c>
      <c r="E72" s="118" t="s">
        <v>563</v>
      </c>
      <c r="I72" s="57">
        <v>2</v>
      </c>
      <c r="J72" s="118" t="s">
        <v>952</v>
      </c>
      <c r="L72" s="620">
        <f>(1-VIN_min*90%/Vout)</f>
        <v>0.36718750000000011</v>
      </c>
    </row>
    <row r="73" spans="1:12" ht="15.75" x14ac:dyDescent="0.3">
      <c r="A73" s="223" t="s">
        <v>409</v>
      </c>
      <c r="B73" s="320">
        <f>IF(VIN_nom&gt;Vout, (Vout+Iout*(Rdcr+Rs))/(VIN_nom+Iout*Rs), (Vout-VIN_nom+Iin_Vinnom*(Rdcr))/(Vout-Iin_Vinnom*Rs))</f>
        <v>6.7113594040968394E-2</v>
      </c>
      <c r="C73" t="str">
        <f>IF(VIN_nom&gt;Vout, "BUCK", "BOOST")</f>
        <v>BOOST</v>
      </c>
      <c r="E73" s="406" t="s">
        <v>593</v>
      </c>
      <c r="I73" s="57"/>
    </row>
    <row r="74" spans="1:12" x14ac:dyDescent="0.2">
      <c r="A74" s="223" t="s">
        <v>410</v>
      </c>
      <c r="B74" s="320">
        <f>IF(VIN_max&gt;Vout, (Vout+Iout*(Rdcr+Rs))/(VIN_max+Iout*Rs), (Vout-VIN_max+Iin_Vinmax*(Rdcr))/(Vout-Iin_Vinmax*Rs))</f>
        <v>0.26853516437786101</v>
      </c>
      <c r="C74" t="str">
        <f>IF(VIN_max&gt;Vout, "BUCK", "BOOST")</f>
        <v>BUCK</v>
      </c>
      <c r="I74" s="57"/>
    </row>
    <row r="75" spans="1:12" x14ac:dyDescent="0.2">
      <c r="A75" s="223"/>
      <c r="C75"/>
      <c r="I75" s="57"/>
    </row>
    <row r="76" spans="1:12" x14ac:dyDescent="0.2">
      <c r="A76" s="223" t="s">
        <v>22</v>
      </c>
      <c r="B76" s="448">
        <f>'Design Converter'!E40/1000</f>
        <v>0.2</v>
      </c>
      <c r="C76" t="s">
        <v>0</v>
      </c>
      <c r="E76" s="118" t="s">
        <v>603</v>
      </c>
      <c r="I76" s="57">
        <v>1</v>
      </c>
    </row>
    <row r="77" spans="1:12" x14ac:dyDescent="0.2">
      <c r="A77" s="223"/>
      <c r="C77"/>
      <c r="I77" s="57"/>
    </row>
    <row r="78" spans="1:12" x14ac:dyDescent="0.2">
      <c r="A78" s="223" t="s">
        <v>399</v>
      </c>
      <c r="B78" s="576">
        <f>IF(VIN_min&gt;Vout, (VIN_min-Vout)*Don_Vinmin_2/(Fsw*Lf),VIN_min*Don_Vinmin_2/(Lf*Fsw))</f>
        <v>5.4861660447761196</v>
      </c>
      <c r="C78" s="576">
        <f>(VIN_min-Vout)*Don_Vinmin_2/(Fsw*Lf)</f>
        <v>-2.3163812189054731</v>
      </c>
      <c r="D78" s="118" t="s">
        <v>2</v>
      </c>
      <c r="E78" t="str">
        <f>IF(VIN_min&gt;Vout, "BUCK", "BOOST")</f>
        <v>BOOST</v>
      </c>
      <c r="G78" s="30"/>
      <c r="H78">
        <f>VIN_min*Don_Vinmin_2/(Lopt*Fsw)</f>
        <v>6.3170764908537587</v>
      </c>
      <c r="I78" s="57"/>
    </row>
    <row r="79" spans="1:12" x14ac:dyDescent="0.2">
      <c r="A79" s="223" t="s">
        <v>400</v>
      </c>
      <c r="B79" s="576">
        <f>IF(VIN_nom&gt;Vout, (VIN_nom-Vout)*Don_Vinnom_2/(Fsw*Lf),VIN_nom*Don_Vinnom_2/(Lf*Fsw))</f>
        <v>1.6107262569832415</v>
      </c>
      <c r="C79" s="576">
        <f>(VIN_nom-Vout)*Don_Vinnom_2/(Fsw*Lf)</f>
        <v>-0.10738175046554953</v>
      </c>
      <c r="D79" s="118" t="s">
        <v>2</v>
      </c>
      <c r="E79" t="str">
        <f>IF(VIN_nom&gt;Vout, "BUCK", "BOOST")</f>
        <v>BOOST</v>
      </c>
      <c r="I79" s="57"/>
    </row>
    <row r="80" spans="1:12" x14ac:dyDescent="0.2">
      <c r="A80" s="223" t="s">
        <v>401</v>
      </c>
      <c r="B80" s="576">
        <f>IF(VIN_max&gt;Vout, (VIN_max-Vout)*Don_Vinmax_2/(Fsw*Lf),VIN_max*Don_Vinmax_2/(Lf*Fsw))</f>
        <v>18.904875572201416</v>
      </c>
      <c r="C80" s="576">
        <f>(VIN_max-Vout)*Don_Vinmax_2/(Fsw*Lf)</f>
        <v>18.904875572201416</v>
      </c>
      <c r="D80" s="118" t="s">
        <v>2</v>
      </c>
      <c r="E80" t="str">
        <f>IF(VIN_max&gt;Vout, "BUCK", "BOOST")</f>
        <v>BUCK</v>
      </c>
      <c r="I80" s="57"/>
    </row>
    <row r="81" spans="1:9" x14ac:dyDescent="0.2">
      <c r="A81" s="223" t="s">
        <v>810</v>
      </c>
      <c r="B81" s="576">
        <f>VIN_edgebuckboost*Don_buckboost/(Lf*Fsw/2)</f>
        <v>6.7823376623376621</v>
      </c>
      <c r="C81" s="523"/>
      <c r="D81" s="118" t="s">
        <v>2</v>
      </c>
      <c r="E81" s="118" t="s">
        <v>832</v>
      </c>
      <c r="I81" s="57"/>
    </row>
    <row r="82" spans="1:9" x14ac:dyDescent="0.2">
      <c r="A82" s="223"/>
      <c r="B82" s="118"/>
      <c r="C82" s="118"/>
      <c r="D82" s="118"/>
      <c r="I82" s="57"/>
    </row>
    <row r="83" spans="1:9" x14ac:dyDescent="0.2">
      <c r="A83" s="223" t="s">
        <v>866</v>
      </c>
      <c r="B83" s="445">
        <f>IF(VIN_min&gt;Vout, SQRT(1-Don_Vinmin_2)*SQRT(Iout^2+(Iripple_Vinmin^2)/12), SQRT(Don_Vinmin_2)*SQRT(Iin_Vinmin^2+(Iripple_Vinmin^2)/12))</f>
        <v>17.47019454207209</v>
      </c>
      <c r="C83" s="118" t="s">
        <v>2</v>
      </c>
      <c r="E83" s="4">
        <f>SQRT(1-Don_Vinmin_2)*SQRT(Iout^2+(Iripple_Vinmin^2)/12)</f>
        <v>16.728087461120793</v>
      </c>
      <c r="F83" s="386">
        <f>SQRT(Don_Vinmin_2)*SQRT(Iout^2+(Iripple_Vinmin^2)/12)</f>
        <v>11.076066903418278</v>
      </c>
      <c r="I83" s="57"/>
    </row>
    <row r="84" spans="1:9" x14ac:dyDescent="0.2">
      <c r="A84" s="223" t="s">
        <v>867</v>
      </c>
      <c r="B84" s="445">
        <f>IF(VIN_nom&gt;Vout, SQRT(1-Don_Vinnom_2)*SQRT(Iout^2+(Iripple_Vinnom^2)/12), SQRT(Don_Vinnom_2)*SQRT(Iin_Vinnom^2+(Iripple_Vinnom^2)/12))</f>
        <v>6.1419319354217947</v>
      </c>
      <c r="C84" s="118" t="s">
        <v>2</v>
      </c>
      <c r="E84" s="4">
        <f>SQRT(1-Don_Vinnom_2)*SQRT(Iout^2+(Iripple_Vinnom^2)/12)</f>
        <v>19.322428818921477</v>
      </c>
      <c r="F84" s="386">
        <f>SQRT(Don_Vinnom_2)*SQRT(Iout^2+(Iripple_Vinnom^2)/12)</f>
        <v>5.1826583713338943</v>
      </c>
      <c r="I84" s="57"/>
    </row>
    <row r="85" spans="1:9" x14ac:dyDescent="0.2">
      <c r="A85" s="223" t="s">
        <v>868</v>
      </c>
      <c r="B85" s="445">
        <f>IF(VIN_max&gt;Vout, SQRT(1-Don_Vinmax_2)*SQRT(Iout^2+(Iripple_Vinmax^2)/12), SQRT(Don_Vinmax_2)*SQRT(Iin_Vinmax^2+(Iripple_Vinmax^2)/12))</f>
        <v>17.73051181064778</v>
      </c>
      <c r="C85" s="118" t="s">
        <v>2</v>
      </c>
      <c r="E85" s="4">
        <f>SQRT(1-Don_Vinmax_2)*SQRT(Iout^2+(Iripple_Vinmax^2)/12)</f>
        <v>17.73051181064778</v>
      </c>
      <c r="F85" s="386">
        <f>SQRT(Don_Vinmax_2)*SQRT(Iout^2+(Iripple_Vinmax^2)/12)</f>
        <v>10.742988921424416</v>
      </c>
      <c r="I85" s="57"/>
    </row>
    <row r="86" spans="1:9" x14ac:dyDescent="0.2">
      <c r="A86" s="223" t="s">
        <v>869</v>
      </c>
      <c r="B86" s="430">
        <f>MAX(B83,B85)^2*Rs</f>
        <v>0.94311314720256123</v>
      </c>
      <c r="C86" s="118" t="s">
        <v>120</v>
      </c>
      <c r="D86" s="118" t="str">
        <f>IF(B85&gt;B83, "BUCK", "BOOST")</f>
        <v>BUCK</v>
      </c>
      <c r="E86" s="118"/>
      <c r="I86" s="57"/>
    </row>
    <row r="87" spans="1:9" x14ac:dyDescent="0.2">
      <c r="A87" s="223"/>
      <c r="B87" s="118"/>
      <c r="C87" s="118"/>
      <c r="D87" s="118"/>
      <c r="I87" s="57"/>
    </row>
    <row r="88" spans="1:9" x14ac:dyDescent="0.2">
      <c r="A88" s="223" t="s">
        <v>424</v>
      </c>
      <c r="B88" s="321">
        <f>MAX(B78:B80)</f>
        <v>18.904875572201416</v>
      </c>
      <c r="C88" s="118" t="s">
        <v>2</v>
      </c>
      <c r="I88" s="57"/>
    </row>
    <row r="89" spans="1:9" x14ac:dyDescent="0.2">
      <c r="A89" s="223"/>
      <c r="B89" s="118"/>
      <c r="C89" s="118"/>
      <c r="D89" s="118"/>
      <c r="F89" s="118" t="s">
        <v>186</v>
      </c>
      <c r="G89" s="313" t="s">
        <v>412</v>
      </c>
      <c r="I89" s="57"/>
    </row>
    <row r="90" spans="1:9" x14ac:dyDescent="0.2">
      <c r="A90" s="223" t="s">
        <v>411</v>
      </c>
      <c r="B90" s="444">
        <f>IF(VIN_min&gt;Vout, B78/Iout, B78/Iin_Vinmin)</f>
        <v>0.17358572251049439</v>
      </c>
      <c r="C90" t="str">
        <f>IF(VIN_min&gt;Vout, "BUCK", "BOOST")</f>
        <v>BOOST</v>
      </c>
      <c r="F90" s="4">
        <f>B78</f>
        <v>5.4861660447761196</v>
      </c>
      <c r="G90" s="445">
        <f>Iin_Vinmin</f>
        <v>31.60493827160494</v>
      </c>
      <c r="I90" s="57"/>
    </row>
    <row r="91" spans="1:9" x14ac:dyDescent="0.2">
      <c r="A91" s="223"/>
      <c r="B91" s="444">
        <f>IF(VIN_nom&gt;Vout, B79/Iout, B79/Iin_Vinnom)</f>
        <v>6.7952513966480499E-2</v>
      </c>
      <c r="C91" t="str">
        <f>IF(VIN_nom&gt;Vout, "BUCK", "BOOST")</f>
        <v>BOOST</v>
      </c>
      <c r="F91" s="4">
        <f>B79</f>
        <v>1.6107262569832415</v>
      </c>
      <c r="G91" s="445">
        <f>Iin_Vinnom</f>
        <v>23.703703703703706</v>
      </c>
      <c r="I91" s="57"/>
    </row>
    <row r="92" spans="1:9" x14ac:dyDescent="0.2">
      <c r="A92" s="223"/>
      <c r="B92" s="444">
        <f>IF(VIN_max&gt;Vout, B80/Iout, B80/Iin_Vinmax)</f>
        <v>0.94524377861007081</v>
      </c>
      <c r="C92" t="str">
        <f>IF(VIN_max&gt;Vout, "BUCK", "BOOST")</f>
        <v>BUCK</v>
      </c>
      <c r="F92" s="4">
        <f>B80</f>
        <v>18.904875572201416</v>
      </c>
      <c r="G92" s="445">
        <f>Iin_Vinmax</f>
        <v>5.9259259259259265</v>
      </c>
      <c r="I92" s="57"/>
    </row>
    <row r="93" spans="1:9" x14ac:dyDescent="0.2">
      <c r="A93" s="223"/>
      <c r="C93"/>
      <c r="I93" s="57"/>
    </row>
    <row r="94" spans="1:9" x14ac:dyDescent="0.2">
      <c r="A94" t="s">
        <v>269</v>
      </c>
      <c r="B94" s="336">
        <v>100</v>
      </c>
      <c r="C94"/>
      <c r="D94" s="118"/>
      <c r="I94" s="57"/>
    </row>
    <row r="95" spans="1:9" x14ac:dyDescent="0.2">
      <c r="A95" s="223" t="s">
        <v>268</v>
      </c>
      <c r="B95" s="421">
        <f>Rdcr*(1+0.0039*(B94-25))</f>
        <v>2.9598249999999997E-3</v>
      </c>
      <c r="C95" s="225" t="s">
        <v>120</v>
      </c>
      <c r="I95" s="57"/>
    </row>
    <row r="96" spans="1:9" ht="13.5" thickBot="1" x14ac:dyDescent="0.25">
      <c r="A96" s="340"/>
      <c r="B96" s="341"/>
      <c r="C96" s="61"/>
      <c r="D96" s="61"/>
      <c r="E96" s="61"/>
      <c r="F96" s="61"/>
      <c r="G96" s="61"/>
      <c r="H96" s="61"/>
      <c r="I96" s="62"/>
    </row>
    <row r="97" spans="1:16" x14ac:dyDescent="0.2">
      <c r="A97" s="2"/>
      <c r="B97" s="1"/>
      <c r="C97" s="1"/>
    </row>
    <row r="98" spans="1:16" ht="16.5" thickBot="1" x14ac:dyDescent="0.3">
      <c r="A98" s="580" t="s">
        <v>542</v>
      </c>
      <c r="B98" s="1"/>
      <c r="C98" s="1"/>
    </row>
    <row r="99" spans="1:16" x14ac:dyDescent="0.2">
      <c r="A99" s="94"/>
      <c r="B99" s="63"/>
      <c r="C99" s="63"/>
      <c r="D99" s="63"/>
      <c r="E99" s="63"/>
      <c r="F99" s="63"/>
      <c r="G99" s="63"/>
      <c r="H99" s="63"/>
      <c r="I99" s="64"/>
    </row>
    <row r="100" spans="1:16" x14ac:dyDescent="0.2">
      <c r="A100" s="223" t="s">
        <v>423</v>
      </c>
      <c r="B100" s="29">
        <f>'Design Converter'!E26</f>
        <v>24</v>
      </c>
      <c r="C100" t="s">
        <v>2</v>
      </c>
      <c r="E100" s="118" t="s">
        <v>736</v>
      </c>
      <c r="I100" s="57"/>
      <c r="K100" s="118" t="s">
        <v>434</v>
      </c>
      <c r="N100" s="118" t="s">
        <v>594</v>
      </c>
    </row>
    <row r="101" spans="1:16" x14ac:dyDescent="0.2">
      <c r="A101" s="223"/>
      <c r="C101"/>
      <c r="I101" s="57"/>
      <c r="K101" s="118" t="s">
        <v>449</v>
      </c>
      <c r="L101" s="118" t="s">
        <v>450</v>
      </c>
    </row>
    <row r="102" spans="1:16" x14ac:dyDescent="0.2">
      <c r="A102" s="223" t="s">
        <v>431</v>
      </c>
      <c r="B102" s="327">
        <f>IF(VIN_min&gt;Vout, Ilimit_DC-Iripple_Vinmin/2, Ilimit_DC*Vout/VIN_min/0.9+Iripple_Vinmin/2)</f>
        <v>40.669008948313987</v>
      </c>
      <c r="C102" t="s">
        <v>2</v>
      </c>
      <c r="D102" t="str">
        <f>IF(VIN_min&gt;Vout, "BUCK", "BOOST")</f>
        <v>BOOST</v>
      </c>
      <c r="E102" s="621" t="s">
        <v>953</v>
      </c>
      <c r="I102" s="57"/>
      <c r="K102" s="327">
        <f>Ilimit_DC-Iripple_Vinmin/2</f>
        <v>21.25691697761194</v>
      </c>
      <c r="L102" s="327">
        <f>Ilimit_DC/(1-Don_Vinmin_2)+Iripple_Vinmin/2</f>
        <v>37.264877186011446</v>
      </c>
      <c r="M102" t="str">
        <f>IF(VIN_min&gt;Vout, "BUCK", "BOOST")</f>
        <v>BOOST</v>
      </c>
      <c r="N102" s="329">
        <f>IF(VIN_min&gt;Vout, Buck_CS_threshold/K102, Boost_CS_Threshold/L102)</f>
        <v>3.2201904061298181E-3</v>
      </c>
      <c r="P102" s="335">
        <f>Boost_CS_Threshold/L102</f>
        <v>3.2201904061298181E-3</v>
      </c>
    </row>
    <row r="103" spans="1:16" x14ac:dyDescent="0.2">
      <c r="A103" s="223" t="s">
        <v>433</v>
      </c>
      <c r="B103" s="327">
        <f>IF(VIN_nom&gt;Vout, Ilimit_DC-Iripple_Vinnom/2, Ilimit_DC/(1-Don_Vinnom_2)+Iripple_Vinnom/2)</f>
        <v>26.531968047047993</v>
      </c>
      <c r="C103" t="s">
        <v>2</v>
      </c>
      <c r="D103" t="str">
        <f>IF(VIN_nom&gt;Vout, "BUCK", "BOOST")</f>
        <v>BOOST</v>
      </c>
      <c r="E103" s="118" t="s">
        <v>430</v>
      </c>
      <c r="I103" s="57"/>
      <c r="K103" s="327">
        <f>Ilimit_DC-Iripple_Vinnom/2</f>
        <v>23.194636871508379</v>
      </c>
      <c r="L103" s="327">
        <f>Ilimit_DC/(1-Don_Vinnom_2)+Iripple_Vinnom/2</f>
        <v>26.531968047047993</v>
      </c>
      <c r="M103" t="str">
        <f>IF(VIN_nom&gt;Vout, "BUCK", "BOOST")</f>
        <v>BOOST</v>
      </c>
      <c r="N103" s="329">
        <f>IF(VIN_nom&gt;Vout, Buck_CS_threshold/K103, Boost_CS_Threshold/L103)</f>
        <v>4.5228457906782184E-3</v>
      </c>
      <c r="P103" s="335">
        <f>Boost_CS_Threshold/L103</f>
        <v>4.5228457906782184E-3</v>
      </c>
    </row>
    <row r="104" spans="1:16" x14ac:dyDescent="0.2">
      <c r="A104" s="223" t="s">
        <v>432</v>
      </c>
      <c r="B104" s="327">
        <f>IF(VIN_max&gt;Vout, Ilimit_DC-Iripple_Vinmax/2, Ilimit_DC/(1-Don_Vinmax_2)+Iripple_Vinmax/2)</f>
        <v>14.547562213899292</v>
      </c>
      <c r="C104" t="s">
        <v>2</v>
      </c>
      <c r="D104" t="str">
        <f>IF(VIN_max&gt;Vout, "BUCK", "BOOST")</f>
        <v>BUCK</v>
      </c>
      <c r="E104" s="118" t="s">
        <v>820</v>
      </c>
      <c r="I104" s="57"/>
      <c r="K104" s="327">
        <f>Ilimit_DC-Iripple_Vinmax/2</f>
        <v>14.547562213899292</v>
      </c>
      <c r="L104" s="327">
        <f>Ilimit_DC/(1-Don_Vinmax_2)+Iripple_Vinmax/2</f>
        <v>42.263311024575771</v>
      </c>
      <c r="M104" t="str">
        <f>IF(VIN_max&gt;Vout, "BUCK", "BOOST")</f>
        <v>BUCK</v>
      </c>
      <c r="N104" s="329">
        <f>IF(VIN_max&gt;Vout, Buck_CS_threshold/K104, Boost_CS_Threshold/L104)</f>
        <v>5.4992031533341694E-3</v>
      </c>
      <c r="P104" s="335">
        <f>Boost_CS_Threshold/L104</f>
        <v>2.83934214075705E-3</v>
      </c>
    </row>
    <row r="105" spans="1:16" x14ac:dyDescent="0.2">
      <c r="A105" s="223" t="s">
        <v>808</v>
      </c>
      <c r="B105" s="327">
        <f>Ilimit_DC/(1-Don_buckboost)+Iripple_edgebuckboost/2</f>
        <v>31.626462948815888</v>
      </c>
      <c r="C105" s="118" t="s">
        <v>2</v>
      </c>
      <c r="D105" s="118" t="s">
        <v>821</v>
      </c>
      <c r="I105" s="57"/>
    </row>
    <row r="106" spans="1:16" x14ac:dyDescent="0.2">
      <c r="I106" s="57"/>
    </row>
    <row r="107" spans="1:16" x14ac:dyDescent="0.2">
      <c r="A107" s="223" t="s">
        <v>733</v>
      </c>
      <c r="B107" s="524">
        <v>6.8000000000000005E-2</v>
      </c>
      <c r="C107" s="118" t="s">
        <v>0</v>
      </c>
      <c r="I107" s="57"/>
    </row>
    <row r="108" spans="1:16" x14ac:dyDescent="0.2">
      <c r="A108" s="223" t="s">
        <v>421</v>
      </c>
      <c r="B108" s="326">
        <v>0.08</v>
      </c>
      <c r="C108" s="118" t="s">
        <v>0</v>
      </c>
      <c r="D108" s="2" t="s">
        <v>833</v>
      </c>
      <c r="E108" s="621" t="s">
        <v>947</v>
      </c>
      <c r="I108" s="57"/>
    </row>
    <row r="109" spans="1:16" x14ac:dyDescent="0.2">
      <c r="A109" s="223" t="s">
        <v>738</v>
      </c>
      <c r="B109" s="524">
        <v>9.1999999999999998E-2</v>
      </c>
      <c r="C109" s="118" t="s">
        <v>0</v>
      </c>
      <c r="I109" s="57"/>
    </row>
    <row r="110" spans="1:16" x14ac:dyDescent="0.2">
      <c r="A110" s="223"/>
      <c r="B110" s="386"/>
      <c r="C110" s="118"/>
      <c r="I110" s="57"/>
    </row>
    <row r="111" spans="1:16" x14ac:dyDescent="0.2">
      <c r="A111" s="223" t="s">
        <v>734</v>
      </c>
      <c r="B111" s="524">
        <v>0.108</v>
      </c>
      <c r="C111" s="118" t="s">
        <v>0</v>
      </c>
      <c r="I111" s="57"/>
    </row>
    <row r="112" spans="1:16" x14ac:dyDescent="0.2">
      <c r="A112" s="223" t="s">
        <v>422</v>
      </c>
      <c r="B112" s="326">
        <v>0.12</v>
      </c>
      <c r="C112" s="118" t="s">
        <v>0</v>
      </c>
      <c r="D112" s="2" t="s">
        <v>834</v>
      </c>
      <c r="E112" s="621" t="s">
        <v>949</v>
      </c>
      <c r="I112" s="57"/>
    </row>
    <row r="113" spans="1:12" x14ac:dyDescent="0.2">
      <c r="A113" s="223" t="s">
        <v>739</v>
      </c>
      <c r="B113" s="524">
        <v>0.13800000000000001</v>
      </c>
      <c r="C113" s="118" t="s">
        <v>0</v>
      </c>
      <c r="E113" s="621" t="s">
        <v>951</v>
      </c>
      <c r="I113" s="57"/>
    </row>
    <row r="114" spans="1:12" x14ac:dyDescent="0.2">
      <c r="I114" s="57"/>
    </row>
    <row r="115" spans="1:12" x14ac:dyDescent="0.2">
      <c r="A115" s="572" t="s">
        <v>828</v>
      </c>
      <c r="B115" s="118"/>
      <c r="C115" s="118"/>
      <c r="I115" s="57"/>
    </row>
    <row r="116" spans="1:12" x14ac:dyDescent="0.2">
      <c r="A116" s="223" t="s">
        <v>824</v>
      </c>
      <c r="B116" s="329">
        <f>IF(VIN_min&gt;Vout,Buck_CS_threshold/B102, Boost_CS_Threshold/B102)</f>
        <v>2.9506497232943962E-3</v>
      </c>
      <c r="C116" s="225" t="s">
        <v>120</v>
      </c>
      <c r="D116" t="str">
        <f>IF(VIN_min&gt;Vout, "BUCK", "BOOST")</f>
        <v>BOOST</v>
      </c>
      <c r="I116" s="57"/>
    </row>
    <row r="117" spans="1:12" x14ac:dyDescent="0.2">
      <c r="A117" s="223" t="s">
        <v>825</v>
      </c>
      <c r="B117" s="329">
        <f>IF(VIN_nom&gt;Vout,Buck_CS_threshold/B103, Boost_CS_Threshold/B103)</f>
        <v>4.5228457906782184E-3</v>
      </c>
      <c r="C117" s="225" t="s">
        <v>120</v>
      </c>
      <c r="D117" t="str">
        <f>IF(VIN_nom&gt;Vout, "BUCK", "BOOST")</f>
        <v>BOOST</v>
      </c>
      <c r="I117" s="57"/>
    </row>
    <row r="118" spans="1:12" x14ac:dyDescent="0.2">
      <c r="A118" s="223" t="s">
        <v>826</v>
      </c>
      <c r="B118" s="329">
        <f>IF(VIN_max&gt;Vout,Buck_CS_threshold/B104, Boost_CS_Threshold/B104)</f>
        <v>5.4992031533341694E-3</v>
      </c>
      <c r="C118" s="225" t="s">
        <v>120</v>
      </c>
      <c r="D118" t="str">
        <f>IF(VIN_max&gt;Vout, "BUCK", "BOOST")</f>
        <v>BUCK</v>
      </c>
      <c r="I118" s="57"/>
    </row>
    <row r="119" spans="1:12" x14ac:dyDescent="0.2">
      <c r="A119" s="223" t="s">
        <v>829</v>
      </c>
      <c r="B119" s="329">
        <f>IF(VIN_min&lt;VIN_edgebuckboost,Buck_CS_threshold/B105, 10)</f>
        <v>2.5295272547382745E-3</v>
      </c>
      <c r="C119" s="225" t="s">
        <v>120</v>
      </c>
      <c r="D119" s="118" t="s">
        <v>830</v>
      </c>
      <c r="I119" s="57"/>
    </row>
    <row r="120" spans="1:12" x14ac:dyDescent="0.2">
      <c r="A120" s="223"/>
      <c r="B120" s="30"/>
      <c r="C120" s="225"/>
      <c r="I120" s="57"/>
    </row>
    <row r="121" spans="1:12" x14ac:dyDescent="0.2">
      <c r="A121" s="223" t="s">
        <v>429</v>
      </c>
      <c r="B121" s="330">
        <f>MIN(B116:B118)</f>
        <v>2.9506497232943962E-3</v>
      </c>
      <c r="C121" s="225" t="s">
        <v>120</v>
      </c>
      <c r="E121" s="118" t="s">
        <v>827</v>
      </c>
      <c r="I121" s="57"/>
    </row>
    <row r="122" spans="1:12" x14ac:dyDescent="0.2">
      <c r="A122" s="223" t="s">
        <v>200</v>
      </c>
      <c r="B122" s="570">
        <f>'Design Converter'!E28/1000</f>
        <v>3.0000000000000001E-3</v>
      </c>
      <c r="C122" s="225" t="s">
        <v>120</v>
      </c>
      <c r="E122" s="118" t="s">
        <v>435</v>
      </c>
      <c r="I122" s="57"/>
      <c r="K122" s="118"/>
      <c r="L122" s="118"/>
    </row>
    <row r="123" spans="1:12" x14ac:dyDescent="0.2">
      <c r="A123" s="223"/>
      <c r="B123" s="446"/>
      <c r="C123" s="225"/>
      <c r="E123" s="118"/>
      <c r="I123" s="57"/>
      <c r="K123" s="118"/>
      <c r="L123" s="118"/>
    </row>
    <row r="124" spans="1:12" x14ac:dyDescent="0.2">
      <c r="A124" s="223" t="s">
        <v>595</v>
      </c>
      <c r="B124" s="4">
        <f>Boost_CS_Threshold/Rs</f>
        <v>40</v>
      </c>
      <c r="C124" s="118" t="s">
        <v>2</v>
      </c>
      <c r="E124" s="118" t="s">
        <v>822</v>
      </c>
      <c r="I124" s="57"/>
    </row>
    <row r="125" spans="1:12" x14ac:dyDescent="0.2">
      <c r="A125" s="223" t="s">
        <v>735</v>
      </c>
      <c r="B125" s="4">
        <f>Buck_CS_threshold/Rs</f>
        <v>26.666666666666668</v>
      </c>
      <c r="C125" s="118" t="s">
        <v>2</v>
      </c>
      <c r="E125" s="118" t="s">
        <v>823</v>
      </c>
      <c r="I125" s="57"/>
    </row>
    <row r="126" spans="1:12" x14ac:dyDescent="0.2">
      <c r="A126" s="223"/>
      <c r="I126" s="57"/>
    </row>
    <row r="127" spans="1:12" ht="15.75" x14ac:dyDescent="0.3">
      <c r="A127" s="223" t="s">
        <v>596</v>
      </c>
      <c r="B127" s="337">
        <f>IF(VIN_min&gt;Vout,Buck_CS_threshold/Rs+Iripple_Vinmin/2, (Boost_CS_Threshold/Rs-Iripple_Vinmin/2)*(1-Don_Vinmin_2))</f>
        <v>25.90149293007763</v>
      </c>
      <c r="C127" t="s">
        <v>2</v>
      </c>
      <c r="D127" t="str">
        <f>IF(VIN_min&gt;Vout, "BUCK", "BOOST")</f>
        <v>BOOST</v>
      </c>
      <c r="E127" s="118" t="s">
        <v>602</v>
      </c>
      <c r="I127" s="57"/>
    </row>
    <row r="128" spans="1:12" x14ac:dyDescent="0.2">
      <c r="A128" s="223" t="s">
        <v>658</v>
      </c>
      <c r="B128" s="337">
        <f>IF(VIN_nom&gt;Vout,Buck_CS_threshold/Rs+Iripple_Vinnom/2, IF(VIN_nom&lt;VIN_edgebuckboost,(Boost_CS_Threshold/Rs-Iripple_Vinnom/2)*(1-Don_Vinnom_2),(Buck_CS_threshold/Rs-Iripple_Vinnom/2)*(1-Don_Vinnom_2)))</f>
        <v>24.125658511143708</v>
      </c>
      <c r="C128" t="s">
        <v>2</v>
      </c>
      <c r="D128" t="str">
        <f>IF(VIN_nom&gt;Vout,"BUCK",IF(VIN_nom&lt;VIN_edgebuckboost,"BOOST","BUCK-BOOST"))</f>
        <v>BUCK-BOOST</v>
      </c>
      <c r="I128" s="57"/>
    </row>
    <row r="129" spans="1:14" x14ac:dyDescent="0.2">
      <c r="A129" s="223" t="s">
        <v>597</v>
      </c>
      <c r="B129" s="337">
        <f>IF(VIN_max&gt;Vout, Buck_CS_threshold/Rs+Iripple_Vinmax/2, (Boost_CS_Threshold/Rs-Iripple_Vinmax/2)*(1-Don_Vinmax_2))</f>
        <v>36.119104452767374</v>
      </c>
      <c r="C129" t="s">
        <v>2</v>
      </c>
      <c r="D129" t="str">
        <f>IF(VIN_max&gt;Vout, "BUCK", "BOOST")</f>
        <v>BUCK</v>
      </c>
      <c r="I129" s="57"/>
    </row>
    <row r="130" spans="1:14" x14ac:dyDescent="0.2">
      <c r="A130" s="223" t="s">
        <v>811</v>
      </c>
      <c r="B130" s="337">
        <f>(Buck_CS_threshold/Rs-Iripple_edgebuckboost/2)*(1-Don_buckboost)</f>
        <v>19.784173160173161</v>
      </c>
      <c r="C130" t="s">
        <v>2</v>
      </c>
      <c r="D130" s="2" t="s">
        <v>831</v>
      </c>
      <c r="I130" s="57"/>
      <c r="K130" s="118" t="s">
        <v>741</v>
      </c>
      <c r="M130" s="118" t="s">
        <v>742</v>
      </c>
    </row>
    <row r="131" spans="1:14" x14ac:dyDescent="0.2">
      <c r="A131" s="223"/>
      <c r="B131" s="118"/>
      <c r="C131"/>
      <c r="I131" s="57"/>
      <c r="K131" s="118"/>
      <c r="M131" s="118"/>
    </row>
    <row r="132" spans="1:14" x14ac:dyDescent="0.2">
      <c r="A132" s="223" t="s">
        <v>598</v>
      </c>
      <c r="B132" s="573">
        <f>IF(VIN_min&gt;Vout, Buck_CS_threshold/Rs+Iripple_Vinmin, Boost_CS_Threshold/Rs)</f>
        <v>40</v>
      </c>
      <c r="C132" t="s">
        <v>2</v>
      </c>
      <c r="D132" t="str">
        <f>IF(VIN_min&gt;Vout, "BUCK", "BOOST")</f>
        <v>BOOST</v>
      </c>
      <c r="E132" s="118" t="s">
        <v>601</v>
      </c>
      <c r="H132">
        <f>SQRT(Don_Vinmin_2)*SQRT(Iin_Vinmin^2+(Iripple_Vinmin^2)/12)</f>
        <v>17.47019454207209</v>
      </c>
      <c r="I132" s="57"/>
      <c r="K132" s="48">
        <f>IF(VIN_min&gt;Vout, SQRT(1-Don_Vinmin_2)*SQRT(Iout_OCP_Vinmin^2+(Iripple_Vinmin^2)/12), SQRT(Don_Vinmin_2)*SQRT(Iin_Vinmin^2+(Iripple_Vinmin^2)/12))</f>
        <v>17.47019454207209</v>
      </c>
      <c r="L132" s="2" t="s">
        <v>2</v>
      </c>
      <c r="M132" s="4">
        <f>K132^2*Rs</f>
        <v>0.91562309201353631</v>
      </c>
      <c r="N132" s="2" t="s">
        <v>120</v>
      </c>
    </row>
    <row r="133" spans="1:14" x14ac:dyDescent="0.2">
      <c r="A133" s="223" t="s">
        <v>599</v>
      </c>
      <c r="B133" s="573">
        <f>IF(VIN_nom&gt;Vout, Buck_CS_threshold/Rs+Iripple_Vinnom, IF(VIN_nom&lt;VIN_edgebuckboost, Boost_CS_Threshold/Rs, Buck_CS_threshold/Rs))</f>
        <v>26.666666666666668</v>
      </c>
      <c r="C133" t="s">
        <v>2</v>
      </c>
      <c r="D133" t="str">
        <f>IF(VIN_nom&gt;Vout,"BUCK",IF(VIN_nom&lt;VIN_edgebuckboost,"BOOST","BUCK-BOOST"))</f>
        <v>BUCK-BOOST</v>
      </c>
      <c r="H133">
        <f>SQRT(1-Don_Vinnom_2)*SQRT(Iout_OCP_Vinnom^2+(Iripple_Vinnom^2)/12)</f>
        <v>23.306346750466929</v>
      </c>
      <c r="I133" s="57"/>
      <c r="K133" s="48">
        <f>IF(VIN_nom&gt;Vout, SQRT(1-Don_Vinnom_2)*SQRT(Iout_OCP_Vinnom^2+(Iripple_Vinnom^2)/12), SQRT(Don_Vinnom_2)*SQRT(Iin_Vinnom^2+(Iripple_Vinnom^2)/12))</f>
        <v>6.1419319354217947</v>
      </c>
      <c r="L133" s="2" t="s">
        <v>2</v>
      </c>
      <c r="M133" s="4">
        <f>K133^2*Rs</f>
        <v>0.11316998369806233</v>
      </c>
      <c r="N133" s="2" t="s">
        <v>120</v>
      </c>
    </row>
    <row r="134" spans="1:14" x14ac:dyDescent="0.2">
      <c r="A134" s="223" t="s">
        <v>600</v>
      </c>
      <c r="B134" s="573">
        <f>IF(VIN_max&gt;Vout, Buck_CS_threshold/Rs+Iripple_Vinmax, Boost_CS_Threshold/Rs)</f>
        <v>45.571542238868084</v>
      </c>
      <c r="C134" t="s">
        <v>2</v>
      </c>
      <c r="D134" t="str">
        <f>IF(VIN_max&gt;Vout, "BUCK", "BOOST")</f>
        <v>BUCK</v>
      </c>
      <c r="H134">
        <f>SQRT(1-Don_Vinmax_2)*SQRT(Iout_OCP_Vinmax^2+(Iripple_Vinmax^2)/12)</f>
        <v>31.241744669848693</v>
      </c>
      <c r="I134" s="57"/>
      <c r="K134" s="48">
        <f>IF(VIN_max&gt;Vout, SQRT(1-Don_Vinmax_2)*SQRT(Iout_OCP_Vinmax^2+(Iripple_Vinmax^2)/12), SQRT(Don_Vinmax_2)*SQRT(Iin_Vinmax^2+(Iripple_Vinmax^2)/12))</f>
        <v>31.241744669848693</v>
      </c>
      <c r="L134" s="525" t="s">
        <v>2</v>
      </c>
      <c r="M134" s="4">
        <f>K134^2*Rs</f>
        <v>2.9281398300480577</v>
      </c>
      <c r="N134" s="2" t="s">
        <v>120</v>
      </c>
    </row>
    <row r="135" spans="1:14" x14ac:dyDescent="0.2">
      <c r="A135" s="223" t="s">
        <v>939</v>
      </c>
      <c r="B135" s="574">
        <f>MAX(B132:B134)</f>
        <v>45.571542238868084</v>
      </c>
      <c r="C135" s="118" t="s">
        <v>2</v>
      </c>
      <c r="I135" s="57"/>
      <c r="K135" s="622" t="s">
        <v>957</v>
      </c>
      <c r="L135" s="525"/>
      <c r="M135" s="4"/>
      <c r="N135" s="2"/>
    </row>
    <row r="136" spans="1:14" x14ac:dyDescent="0.2">
      <c r="A136" s="223"/>
      <c r="B136" s="526"/>
      <c r="C136"/>
      <c r="I136" s="57"/>
    </row>
    <row r="137" spans="1:14" x14ac:dyDescent="0.2">
      <c r="A137" s="223" t="s">
        <v>659</v>
      </c>
      <c r="B137" s="574">
        <f>MAX(B132:B134)</f>
        <v>45.571542238868084</v>
      </c>
      <c r="C137" t="s">
        <v>2</v>
      </c>
      <c r="E137" t="s">
        <v>660</v>
      </c>
      <c r="I137" s="57"/>
    </row>
    <row r="138" spans="1:14" x14ac:dyDescent="0.2">
      <c r="A138" s="223"/>
      <c r="B138" s="4"/>
      <c r="C138" s="118"/>
      <c r="I138" s="57"/>
    </row>
    <row r="139" spans="1:14" x14ac:dyDescent="0.2">
      <c r="A139" s="223" t="s">
        <v>436</v>
      </c>
      <c r="B139" s="328">
        <f>Lf/Rs*0.4*10^6</f>
        <v>266.66666666666669</v>
      </c>
      <c r="C139" s="118" t="s">
        <v>32</v>
      </c>
      <c r="E139" s="621" t="s">
        <v>945</v>
      </c>
      <c r="I139" s="57"/>
    </row>
    <row r="140" spans="1:14" x14ac:dyDescent="0.2">
      <c r="A140" s="223" t="s">
        <v>439</v>
      </c>
      <c r="B140" s="331">
        <f>'Standard Value Calculator'!O14</f>
        <v>270</v>
      </c>
      <c r="C140" s="118" t="s">
        <v>32</v>
      </c>
      <c r="E140" s="118" t="s">
        <v>743</v>
      </c>
      <c r="I140" s="57"/>
    </row>
    <row r="141" spans="1:14" x14ac:dyDescent="0.2">
      <c r="A141" s="223" t="s">
        <v>440</v>
      </c>
      <c r="B141" s="334">
        <f>'Design Converter'!E32</f>
        <v>220</v>
      </c>
      <c r="C141" s="118" t="s">
        <v>32</v>
      </c>
      <c r="E141" s="118" t="s">
        <v>815</v>
      </c>
      <c r="I141" s="57"/>
    </row>
    <row r="142" spans="1:14" x14ac:dyDescent="0.2">
      <c r="A142" s="223"/>
      <c r="B142" s="225"/>
      <c r="C142" s="118"/>
      <c r="E142" s="118"/>
      <c r="I142" s="57"/>
    </row>
    <row r="143" spans="1:14" x14ac:dyDescent="0.2">
      <c r="A143" s="223" t="s">
        <v>445</v>
      </c>
      <c r="B143" s="443">
        <v>3.9999999999999998E-6</v>
      </c>
      <c r="C143" s="118" t="s">
        <v>2</v>
      </c>
      <c r="E143" s="118"/>
      <c r="I143" s="57"/>
    </row>
    <row r="144" spans="1:14" x14ac:dyDescent="0.2">
      <c r="A144" s="223"/>
      <c r="B144" s="4"/>
      <c r="C144" s="225"/>
      <c r="D144" s="118"/>
      <c r="G144" s="458">
        <f>Islope_fixed/(Cslope*10^-12)</f>
        <v>18181.81818181818</v>
      </c>
      <c r="I144" s="57"/>
    </row>
    <row r="145" spans="1:14" x14ac:dyDescent="0.2">
      <c r="A145" s="223" t="s">
        <v>446</v>
      </c>
      <c r="B145" s="332">
        <f>(ABS((VIN_min-Vout))*2*10^-6 + Islope_fixed)/(Cslope*10^-12)</f>
        <v>52727.272727272735</v>
      </c>
      <c r="C145" s="118" t="s">
        <v>441</v>
      </c>
      <c r="E145" t="s">
        <v>442</v>
      </c>
      <c r="I145" s="57"/>
    </row>
    <row r="146" spans="1:14" x14ac:dyDescent="0.2">
      <c r="A146" s="223" t="s">
        <v>446</v>
      </c>
      <c r="B146" s="332">
        <f>(ABS((VIN_nom-Vout))*2*10^-6 + Islope_fixed)/(Cslope*10^-12)</f>
        <v>25454.545454545463</v>
      </c>
      <c r="C146" s="118" t="s">
        <v>441</v>
      </c>
      <c r="E146" s="118" t="s">
        <v>443</v>
      </c>
      <c r="I146" s="57"/>
    </row>
    <row r="147" spans="1:14" x14ac:dyDescent="0.2">
      <c r="A147" s="223" t="s">
        <v>446</v>
      </c>
      <c r="B147" s="332">
        <f>(ABS((VIN_max-Vout))*2*10^-6 + Islope_fixed)/(Cslope*10^-12)</f>
        <v>338181.81818181823</v>
      </c>
      <c r="C147" s="118" t="s">
        <v>441</v>
      </c>
      <c r="E147" s="118" t="s">
        <v>444</v>
      </c>
      <c r="I147" s="57"/>
    </row>
    <row r="148" spans="1:14" x14ac:dyDescent="0.2">
      <c r="C148"/>
      <c r="I148" s="57"/>
      <c r="K148" s="2" t="s">
        <v>447</v>
      </c>
      <c r="L148" s="2" t="s">
        <v>448</v>
      </c>
    </row>
    <row r="149" spans="1:14" x14ac:dyDescent="0.2">
      <c r="A149" s="223" t="s">
        <v>460</v>
      </c>
      <c r="B149" s="575">
        <f>IF(D149="BUCK", K149,L149)</f>
        <v>6.4282349615558579E-2</v>
      </c>
      <c r="C149" s="118" t="s">
        <v>0</v>
      </c>
      <c r="D149" t="str">
        <f>IF(VIN_min&gt;Vout, "BUCK", "BOOST")</f>
        <v>BOOST</v>
      </c>
      <c r="E149" t="s">
        <v>442</v>
      </c>
      <c r="I149" s="57"/>
      <c r="K149" s="335">
        <f>B145*(1-Don_Vinmin_2)/Fsw</f>
        <v>0.14662674129353237</v>
      </c>
      <c r="L149" s="335">
        <f>B145*Don_Vinmin_2/Fsw</f>
        <v>6.4282349615558579E-2</v>
      </c>
      <c r="N149" t="str">
        <f>IF(VIN_min&gt;Vout, "BUCK", "BOOST")</f>
        <v>BOOST</v>
      </c>
    </row>
    <row r="150" spans="1:14" x14ac:dyDescent="0.2">
      <c r="A150" s="223" t="s">
        <v>461</v>
      </c>
      <c r="B150" s="575">
        <f>IF(D150="BUCK", K150,L150)</f>
        <v>6.8333841205349662E-3</v>
      </c>
      <c r="C150" s="118" t="s">
        <v>0</v>
      </c>
      <c r="D150" t="str">
        <f>IF(VIN_nom&gt;Vout,"BUCK",IF(VIN_nom&lt;VIN_edgebuckboost,"BOOST","BUCK-BOOST"))</f>
        <v>BUCK-BOOST</v>
      </c>
      <c r="E150" s="118" t="s">
        <v>443</v>
      </c>
      <c r="I150" s="57"/>
      <c r="K150" s="335">
        <f>B146*(1-Don_Vinnom_2)/Fsw</f>
        <v>9.4984797697646894E-2</v>
      </c>
      <c r="L150" s="335">
        <f>B146*Don_Vinnom_2/Fsw</f>
        <v>6.8333841205349662E-3</v>
      </c>
      <c r="N150" t="str">
        <f>IF(VIN_nom&gt;Vout, "BUCK", "BOOST")</f>
        <v>BOOST</v>
      </c>
    </row>
    <row r="151" spans="1:14" x14ac:dyDescent="0.2">
      <c r="A151" s="223" t="s">
        <v>462</v>
      </c>
      <c r="B151" s="575">
        <f>IF(D151="BUCK", K151,L151)</f>
        <v>0.98947243218703906</v>
      </c>
      <c r="C151" s="118" t="s">
        <v>0</v>
      </c>
      <c r="D151" t="str">
        <f>IF(VIN_max&gt;Vout, "BUCK", "BOOST")</f>
        <v>BUCK</v>
      </c>
      <c r="E151" s="118" t="s">
        <v>444</v>
      </c>
      <c r="I151" s="57"/>
      <c r="K151" s="335">
        <f>B147*(1-Don_Vinmax_2)/Fsw</f>
        <v>0.98947243218703906</v>
      </c>
      <c r="L151" s="335">
        <f>B147*Don_Vinmax_2/Fsw</f>
        <v>0.36325484054023388</v>
      </c>
      <c r="N151" t="str">
        <f>IF(VIN_max&gt;Vout, "BUCK", "BOOST")</f>
        <v>BUCK</v>
      </c>
    </row>
    <row r="152" spans="1:14" x14ac:dyDescent="0.2">
      <c r="A152" s="223"/>
      <c r="C152" s="225"/>
      <c r="E152" s="118"/>
      <c r="I152" s="57"/>
    </row>
    <row r="153" spans="1:14" x14ac:dyDescent="0.2">
      <c r="A153" s="56"/>
      <c r="D153" s="225"/>
      <c r="E153" s="118"/>
      <c r="I153" s="57"/>
    </row>
    <row r="154" spans="1:14" x14ac:dyDescent="0.2">
      <c r="A154" s="223" t="s">
        <v>451</v>
      </c>
      <c r="B154" s="424" t="str">
        <f>'Design Converter'!E36</f>
        <v>NA</v>
      </c>
      <c r="C154" s="118" t="s">
        <v>2</v>
      </c>
      <c r="D154" s="225"/>
      <c r="E154" s="118"/>
      <c r="I154" s="57"/>
    </row>
    <row r="155" spans="1:14" x14ac:dyDescent="0.2">
      <c r="A155" s="223" t="s">
        <v>452</v>
      </c>
      <c r="B155" s="336">
        <v>50</v>
      </c>
      <c r="C155" s="118" t="s">
        <v>381</v>
      </c>
      <c r="E155" s="621" t="s">
        <v>948</v>
      </c>
      <c r="I155" s="57"/>
    </row>
    <row r="156" spans="1:14" x14ac:dyDescent="0.2">
      <c r="A156" s="223" t="s">
        <v>453</v>
      </c>
      <c r="B156" s="332" t="e">
        <f>IF(Constant_Current_Loop_Setpoint="N/A", 0, Iout_threshold/Constant_Current_Loop_Setpoint)</f>
        <v>#VALUE!</v>
      </c>
      <c r="C156" s="45" t="s">
        <v>437</v>
      </c>
      <c r="I156" s="57"/>
    </row>
    <row r="157" spans="1:14" ht="13.5" thickBot="1" x14ac:dyDescent="0.25">
      <c r="A157" s="60"/>
      <c r="B157" s="61"/>
      <c r="C157" s="61"/>
      <c r="D157" s="61"/>
      <c r="E157" s="122"/>
      <c r="F157" s="61"/>
      <c r="G157" s="61"/>
      <c r="H157" s="61"/>
      <c r="I157" s="62"/>
    </row>
    <row r="159" spans="1:14" ht="16.5" thickBot="1" x14ac:dyDescent="0.3">
      <c r="A159" s="596" t="s">
        <v>170</v>
      </c>
      <c r="D159" s="2"/>
    </row>
    <row r="160" spans="1:14" x14ac:dyDescent="0.2">
      <c r="A160" s="222" t="s">
        <v>457</v>
      </c>
      <c r="B160" s="339">
        <f>IF(D160="BUCK", Iripple_Vinmin/SQRT(12), Iout*SQRT((Vout-VIN_min)/VIN_min))</f>
        <v>12.995725793078618</v>
      </c>
      <c r="C160" s="338" t="s">
        <v>2</v>
      </c>
      <c r="D160" s="311" t="str">
        <f>IF(VIN_min&gt;Vout, "BUCK", "BOOST")</f>
        <v>BOOST</v>
      </c>
      <c r="E160" s="121" t="s">
        <v>456</v>
      </c>
      <c r="F160" s="63"/>
      <c r="G160" s="63"/>
      <c r="H160" s="63"/>
      <c r="I160" s="64"/>
      <c r="L160" s="4"/>
    </row>
    <row r="161" spans="1:12" x14ac:dyDescent="0.2">
      <c r="A161" s="223" t="s">
        <v>458</v>
      </c>
      <c r="B161" s="337">
        <f>IF(D161="BUCK", Iripple_Vinnom/SQRT(12), Iout*SQRT((Vout-VIN_nom)/VIN_nom))</f>
        <v>5.1639777949432242</v>
      </c>
      <c r="C161" s="118" t="s">
        <v>2</v>
      </c>
      <c r="D161" t="str">
        <f>IF(VIN_nom&gt;Vout,"BUCK",IF(VIN_nom&lt;VIN_edgebuckboost,"BOOST","BUCK-BOOST"))</f>
        <v>BUCK-BOOST</v>
      </c>
      <c r="E161" s="118"/>
      <c r="I161" s="57"/>
      <c r="L161" s="4"/>
    </row>
    <row r="162" spans="1:12" x14ac:dyDescent="0.2">
      <c r="A162" s="223" t="s">
        <v>459</v>
      </c>
      <c r="B162" s="337">
        <f>IF(D162="BUCK", Iripple_Vinmax/SQRT(12), Iout*SQRT((Vout-VIN_max)/VIN_max))</f>
        <v>5.4573675003034339</v>
      </c>
      <c r="C162" s="118" t="s">
        <v>2</v>
      </c>
      <c r="D162" t="str">
        <f>IF(VIN_max&gt;Vout, "BUCK", "BOOST")</f>
        <v>BUCK</v>
      </c>
      <c r="E162" s="118"/>
      <c r="I162" s="57"/>
      <c r="L162" s="4"/>
    </row>
    <row r="163" spans="1:12" x14ac:dyDescent="0.2">
      <c r="A163" s="223" t="s">
        <v>838</v>
      </c>
      <c r="B163" s="337">
        <f>MAX(B160:B162)</f>
        <v>12.995725793078618</v>
      </c>
      <c r="C163" s="118" t="s">
        <v>2</v>
      </c>
      <c r="E163" s="118"/>
      <c r="I163" s="57"/>
      <c r="L163" s="4"/>
    </row>
    <row r="164" spans="1:12" x14ac:dyDescent="0.2">
      <c r="A164" s="223"/>
      <c r="B164" s="48"/>
      <c r="C164" s="118"/>
      <c r="E164" s="118"/>
      <c r="I164" s="57"/>
      <c r="L164" s="4"/>
    </row>
    <row r="165" spans="1:12" x14ac:dyDescent="0.2">
      <c r="A165" s="223" t="s">
        <v>574</v>
      </c>
      <c r="B165" s="447">
        <f>Vripple1*1000</f>
        <v>200</v>
      </c>
      <c r="C165" s="118" t="s">
        <v>381</v>
      </c>
      <c r="E165" s="118" t="s">
        <v>604</v>
      </c>
      <c r="I165" s="57"/>
      <c r="L165" s="4"/>
    </row>
    <row r="166" spans="1:12" x14ac:dyDescent="0.2">
      <c r="A166" s="56"/>
      <c r="B166" s="118"/>
      <c r="E166" s="118"/>
      <c r="I166" s="57"/>
    </row>
    <row r="167" spans="1:12" x14ac:dyDescent="0.2">
      <c r="A167" s="66" t="s">
        <v>24</v>
      </c>
      <c r="B167" s="459">
        <f>IF(VIN_min&gt;Vout, Iripple_Vinmin/(Fsw*8*Vripple1), Iout*Don_Vinmin_2/(Vripple1*Fsw))</f>
        <v>1.2191480099502488E-4</v>
      </c>
      <c r="C167" t="s">
        <v>26</v>
      </c>
      <c r="E167" t="s">
        <v>23</v>
      </c>
      <c r="H167">
        <f>Vripple2</f>
        <v>6.4629252726267655E-2</v>
      </c>
      <c r="I167" s="57">
        <v>1</v>
      </c>
      <c r="K167" s="1">
        <f>Coutmin</f>
        <v>1.2191480099502488E-4</v>
      </c>
    </row>
    <row r="168" spans="1:12" x14ac:dyDescent="0.2">
      <c r="A168" s="223" t="s">
        <v>845</v>
      </c>
      <c r="B168" s="521">
        <f>IF(Coutmin*1000000&lt;22, 22,Coutmin*1000000)</f>
        <v>121.91480099502488</v>
      </c>
      <c r="C168" s="42" t="s">
        <v>25</v>
      </c>
      <c r="I168" s="57"/>
      <c r="K168" s="1">
        <f>Coutmin*1000000</f>
        <v>121.91480099502488</v>
      </c>
    </row>
    <row r="169" spans="1:12" x14ac:dyDescent="0.2">
      <c r="A169" s="223" t="s">
        <v>27</v>
      </c>
      <c r="B169" s="460">
        <f>'Design Converter'!E42/1000000</f>
        <v>9.8999999999999999E-4</v>
      </c>
      <c r="C169" t="s">
        <v>26</v>
      </c>
      <c r="E169" s="118" t="s">
        <v>463</v>
      </c>
      <c r="I169" s="57">
        <v>1</v>
      </c>
    </row>
    <row r="170" spans="1:12" x14ac:dyDescent="0.2">
      <c r="A170" s="66" t="s">
        <v>52</v>
      </c>
      <c r="B170" s="522">
        <f>IF(VIN_min&gt;Vout, SQRT((Vripple1/Iripple_Vinmin)^2-(1/(Fsw*Cout*8))^2), (Vripple1-Iout*Don_Vinmin_2/(Fsw*Cout))/Iout)</f>
        <v>8.7685373636866189E-3</v>
      </c>
      <c r="C170" s="225" t="s">
        <v>120</v>
      </c>
      <c r="E170" s="118" t="s">
        <v>301</v>
      </c>
      <c r="I170" s="57">
        <v>1</v>
      </c>
    </row>
    <row r="171" spans="1:12" x14ac:dyDescent="0.2">
      <c r="A171" s="2"/>
      <c r="B171" s="578"/>
      <c r="C171" s="225"/>
      <c r="E171" s="118"/>
      <c r="I171" s="57"/>
    </row>
    <row r="172" spans="1:12" x14ac:dyDescent="0.2">
      <c r="A172" s="519" t="s">
        <v>725</v>
      </c>
      <c r="B172" s="520">
        <f>IF(OR(CoutEsrMax&gt;0.3, CoutEsrMax&lt;0, (ISERROR(CoutEsrMax))), "N/A", CoutEsrMax*1000)</f>
        <v>8.7685373636866188</v>
      </c>
      <c r="C172" s="45" t="s">
        <v>437</v>
      </c>
      <c r="E172" s="118"/>
      <c r="I172" s="57"/>
    </row>
    <row r="173" spans="1:12" x14ac:dyDescent="0.2">
      <c r="A173" s="223" t="s">
        <v>168</v>
      </c>
      <c r="B173" s="448">
        <f>'Design Converter'!E44/1000</f>
        <v>2E-3</v>
      </c>
      <c r="C173" s="225" t="s">
        <v>120</v>
      </c>
      <c r="E173" s="118" t="s">
        <v>302</v>
      </c>
      <c r="I173" s="57">
        <v>1</v>
      </c>
      <c r="K173" t="b">
        <f>ISERROR(CoutEsrMax)</f>
        <v>0</v>
      </c>
      <c r="L173" t="b">
        <f>ISERROR(B172)</f>
        <v>0</v>
      </c>
    </row>
    <row r="174" spans="1:12" ht="13.5" thickBot="1" x14ac:dyDescent="0.25">
      <c r="A174" s="411" t="s">
        <v>230</v>
      </c>
      <c r="B174" s="449">
        <f>IF(VIN_min&gt;Vout, Iripple_Vinmax*SQRT(CoutEsr^2+(1/(8*Fsw*Cout))^2), CoutEsr*Iout+Iout*Don_Vinmin_2/(Fsw*Cout))</f>
        <v>6.4629252726267655E-2</v>
      </c>
      <c r="C174" s="109" t="s">
        <v>42</v>
      </c>
      <c r="D174" s="61"/>
      <c r="E174" s="61"/>
      <c r="F174" s="61"/>
      <c r="G174" s="61"/>
      <c r="H174" s="61"/>
      <c r="I174" s="62"/>
      <c r="L174" t="b">
        <f>OR(CoutEsrMax&gt;0.3,CoutEsrMax&lt;0)</f>
        <v>0</v>
      </c>
    </row>
    <row r="175" spans="1:12" x14ac:dyDescent="0.2">
      <c r="K175" t="b">
        <f>OR(TRUE, FALSE, TRUE)</f>
        <v>1</v>
      </c>
    </row>
    <row r="176" spans="1:12" ht="16.5" thickBot="1" x14ac:dyDescent="0.3">
      <c r="A176" s="596" t="s">
        <v>171</v>
      </c>
    </row>
    <row r="177" spans="1:11" ht="15.75" x14ac:dyDescent="0.25">
      <c r="A177" s="99"/>
      <c r="B177" s="100"/>
      <c r="C177" s="342"/>
      <c r="D177" s="100"/>
      <c r="E177" s="100"/>
      <c r="F177" s="100"/>
      <c r="G177" s="100"/>
      <c r="H177" s="100"/>
      <c r="I177" s="101"/>
    </row>
    <row r="178" spans="1:11" x14ac:dyDescent="0.2">
      <c r="A178" s="223" t="s">
        <v>835</v>
      </c>
      <c r="B178" s="116">
        <f>IF(D178="BUCK", Iout*SQRT(Don_Vinmin_2*(1-Don_Vinmax_2)), Iripple_Vinmin/SQRT(12))</f>
        <v>1.5837197213852388</v>
      </c>
      <c r="C178" s="97" t="s">
        <v>2</v>
      </c>
      <c r="D178" t="str">
        <f>IF(VIN_min&gt;Vout, "BUCK", "BOOST")</f>
        <v>BOOST</v>
      </c>
      <c r="F178" s="430">
        <f>Iripple_Vinmin/SQRT(12)</f>
        <v>1.5837197213852388</v>
      </c>
      <c r="G178" s="386">
        <f>Iout*SQRT(Don_Vinmax_2*(1-Don_Vinmax_2))</f>
        <v>8.8639501323149634</v>
      </c>
      <c r="H178" s="120">
        <f>Iout*0.25</f>
        <v>5</v>
      </c>
      <c r="I178" s="103"/>
    </row>
    <row r="179" spans="1:11" x14ac:dyDescent="0.2">
      <c r="A179" s="223" t="s">
        <v>836</v>
      </c>
      <c r="B179" s="116">
        <f>IF(D179="BUCK", Iout*SQRT(Don_Vinnom_2*(1-Don_Vinnom_2)), Iripple_Vinnom/SQRT(12))</f>
        <v>0.4649766190300364</v>
      </c>
      <c r="C179" s="97" t="s">
        <v>2</v>
      </c>
      <c r="D179" t="str">
        <f>IF(VIN_nom&gt;Vout,"BUCK",IF(VIN_nom&lt;VIN_edgebuckboost,"BOOST","BUCK-BOOST"))</f>
        <v>BUCK-BOOST</v>
      </c>
      <c r="F179" s="430"/>
      <c r="G179" s="386"/>
      <c r="I179" s="103"/>
    </row>
    <row r="180" spans="1:11" x14ac:dyDescent="0.2">
      <c r="A180" s="223" t="s">
        <v>837</v>
      </c>
      <c r="B180" s="116">
        <f>IF(D180="BUCK", Iout*SQRT(Don_Vinmax_2*(1-Don_Vinmax_2)), Iripple_Vinmax/SQRT(12))</f>
        <v>8.8639501323149634</v>
      </c>
      <c r="C180" s="97" t="s">
        <v>2</v>
      </c>
      <c r="D180" t="str">
        <f>IF(VIN_max&gt;Vout, "BUCK", "BOOST")</f>
        <v>BUCK</v>
      </c>
      <c r="F180" s="430"/>
      <c r="G180" s="386"/>
      <c r="I180" s="103"/>
    </row>
    <row r="181" spans="1:11" x14ac:dyDescent="0.2">
      <c r="A181" s="223" t="s">
        <v>843</v>
      </c>
      <c r="B181" s="116">
        <f>MAX(B178:B180)</f>
        <v>8.8639501323149634</v>
      </c>
      <c r="C181" s="42" t="s">
        <v>2</v>
      </c>
      <c r="D181" s="118" t="s">
        <v>885</v>
      </c>
      <c r="F181" s="430"/>
      <c r="G181" s="386"/>
      <c r="I181" s="103"/>
    </row>
    <row r="182" spans="1:11" x14ac:dyDescent="0.2">
      <c r="A182" s="118"/>
      <c r="B182" s="579"/>
      <c r="C182" s="97"/>
      <c r="F182" s="430"/>
      <c r="G182" s="386"/>
      <c r="I182" s="103"/>
    </row>
    <row r="183" spans="1:11" x14ac:dyDescent="0.2">
      <c r="A183" s="102" t="s">
        <v>273</v>
      </c>
      <c r="B183" s="343">
        <f>'Design Converter'!E49/1000</f>
        <v>0.2</v>
      </c>
      <c r="C183" t="s">
        <v>42</v>
      </c>
      <c r="D183" s="118" t="s">
        <v>844</v>
      </c>
      <c r="I183" s="103"/>
    </row>
    <row r="184" spans="1:11" x14ac:dyDescent="0.2">
      <c r="A184" s="118"/>
      <c r="B184" s="579"/>
      <c r="C184" s="97"/>
      <c r="F184" s="430"/>
      <c r="G184" s="386"/>
      <c r="I184" s="103"/>
    </row>
    <row r="185" spans="1:11" x14ac:dyDescent="0.2">
      <c r="A185" s="519" t="s">
        <v>871</v>
      </c>
      <c r="B185" s="593">
        <f>IF(VIN_max&gt;Vout, Iout*Don_Vinmax_2*(1-Don_Vinmax_2)/(Vinripple1*Fsw), Iripple_Vinmax/(Fsw*8*Vinripple1))</f>
        <v>7.856961194816647E-5</v>
      </c>
      <c r="C185" s="97" t="s">
        <v>26</v>
      </c>
      <c r="D185" s="118" t="s">
        <v>879</v>
      </c>
      <c r="I185" s="103"/>
      <c r="K185" s="8">
        <f>Iripple_Vinnom/(Fsw*8*Vinripple1)</f>
        <v>4.0268156424581033E-6</v>
      </c>
    </row>
    <row r="186" spans="1:11" x14ac:dyDescent="0.2">
      <c r="A186" s="519" t="s">
        <v>875</v>
      </c>
      <c r="B186" s="594">
        <f>IF(VIN_max&gt;Vout, Iout*0.5*(1-0.5)/(Vinripple1*Fsw), Iripple_Vinmax/(Fsw*8*Vinripple1))</f>
        <v>1E-4</v>
      </c>
      <c r="C186" s="97"/>
      <c r="D186" s="118" t="s">
        <v>872</v>
      </c>
      <c r="G186" s="30"/>
      <c r="I186" s="103"/>
      <c r="K186" s="8"/>
    </row>
    <row r="187" spans="1:11" x14ac:dyDescent="0.2">
      <c r="A187" s="519" t="s">
        <v>272</v>
      </c>
      <c r="B187" s="30">
        <f>IF(VIN_max&lt;2*Vout, B185,B186)</f>
        <v>1E-4</v>
      </c>
      <c r="C187" s="97"/>
      <c r="G187" s="30"/>
      <c r="I187" s="103"/>
      <c r="K187" s="8"/>
    </row>
    <row r="188" spans="1:11" x14ac:dyDescent="0.2">
      <c r="A188" s="519" t="s">
        <v>724</v>
      </c>
      <c r="B188" s="521">
        <f>IF(Cinmin*1000000&lt;10, 10,Cinmin*1000000)</f>
        <v>100</v>
      </c>
      <c r="C188" s="42" t="s">
        <v>25</v>
      </c>
      <c r="D188" s="118" t="s">
        <v>885</v>
      </c>
      <c r="I188" s="103"/>
    </row>
    <row r="189" spans="1:11" x14ac:dyDescent="0.2">
      <c r="A189" s="104" t="s">
        <v>61</v>
      </c>
      <c r="B189" s="461">
        <f>'Design Converter'!E51/1000000</f>
        <v>2.9E-4</v>
      </c>
      <c r="C189" s="97" t="s">
        <v>26</v>
      </c>
      <c r="D189" t="s">
        <v>178</v>
      </c>
      <c r="I189" s="103"/>
    </row>
    <row r="190" spans="1:11" x14ac:dyDescent="0.2">
      <c r="A190" s="519" t="s">
        <v>873</v>
      </c>
      <c r="B190" s="329">
        <f>IF(VIN_max&gt;Vout, -(Iout*Don_Vinmax_2*(1-Don_Vinmax_2)/(Cin*Fsw)-Vinripple1)/(Iout+Iripple_Vinmax/2), SQRT((Vinripple1/Iripple_Vinmax)^2-(1/(Fsw*Cin*8))^2))</f>
        <v>4.950831635207307E-3</v>
      </c>
      <c r="C190" s="225" t="s">
        <v>120</v>
      </c>
      <c r="I190" s="103"/>
    </row>
    <row r="191" spans="1:11" x14ac:dyDescent="0.2">
      <c r="A191" s="519" t="s">
        <v>874</v>
      </c>
      <c r="B191" s="329">
        <f>IF(VIN_max&gt;Vout, -(Iout*0.5*(1-0.5)/(Cin*Fsw)-Vinripple1)/(Iout+Iripple_Vinmax/2), SQRT((Vinripple1/Iripple_Vinmax)^2-(1/(Fsw*Cin*8))^2))</f>
        <v>4.4490199320770286E-3</v>
      </c>
      <c r="C191" s="225" t="s">
        <v>120</v>
      </c>
      <c r="D191" s="118" t="s">
        <v>880</v>
      </c>
      <c r="I191" s="103"/>
    </row>
    <row r="192" spans="1:11" x14ac:dyDescent="0.2">
      <c r="A192" s="519" t="s">
        <v>274</v>
      </c>
      <c r="B192" s="329">
        <f>IF(VIN_max&lt;2*Vout, B190,B191)</f>
        <v>4.4490199320770286E-3</v>
      </c>
      <c r="C192" s="225" t="s">
        <v>120</v>
      </c>
      <c r="I192" s="103"/>
    </row>
    <row r="193" spans="1:11" x14ac:dyDescent="0.2">
      <c r="A193" s="519" t="s">
        <v>726</v>
      </c>
      <c r="B193" s="577">
        <f>IF(OR(CinEsrMax&gt;0.3, CinEsrMax&lt;0), "N/A",CinEsrMax*1000)</f>
        <v>4.4490199320770287</v>
      </c>
      <c r="C193" s="45" t="s">
        <v>437</v>
      </c>
      <c r="D193" t="s">
        <v>885</v>
      </c>
      <c r="I193" s="103"/>
    </row>
    <row r="194" spans="1:11" x14ac:dyDescent="0.2">
      <c r="A194" s="104" t="s">
        <v>90</v>
      </c>
      <c r="B194" s="98">
        <f>'Design Converter'!E53/1000</f>
        <v>2E-3</v>
      </c>
      <c r="C194" s="225" t="s">
        <v>120</v>
      </c>
      <c r="D194" s="118" t="s">
        <v>303</v>
      </c>
      <c r="I194" s="103"/>
    </row>
    <row r="195" spans="1:11" x14ac:dyDescent="0.2">
      <c r="D195" s="118"/>
      <c r="I195" s="103"/>
      <c r="K195" s="335">
        <f>CinEsrMax</f>
        <v>4.4490199320770286E-3</v>
      </c>
    </row>
    <row r="196" spans="1:11" x14ac:dyDescent="0.2">
      <c r="A196" s="519" t="s">
        <v>876</v>
      </c>
      <c r="B196" s="425">
        <f>IF(VIN_max&gt;Vout, Iout*Don_Vinmax_2*(1-Don_Vinmax_2)/(Cin*Fsw)+(Iout +Iripple_Vinmax/2)*RCinEsr, Iripple_Vinmax*SQRT(RCinEsr^2+(1/(8*Fsw*Cin))^2))</f>
        <v>0.11309081484679898</v>
      </c>
      <c r="C196" s="97" t="s">
        <v>42</v>
      </c>
      <c r="I196" s="103"/>
    </row>
    <row r="197" spans="1:11" x14ac:dyDescent="0.2">
      <c r="A197" s="519" t="s">
        <v>877</v>
      </c>
      <c r="B197" s="425">
        <f>IF(VIN_max&gt;Vout, Iout*0.5*(1-0.5)/(Cin*Fsw)+(Iout +Iripple_Vinmax/2)*RCinEsr, Iripple_Vinmax*SQRT(RCinEsr^2+(1/(8*Fsw*Cin))^2))</f>
        <v>0.12787039281358073</v>
      </c>
      <c r="C197" s="97" t="s">
        <v>42</v>
      </c>
      <c r="D197" s="118" t="s">
        <v>878</v>
      </c>
      <c r="I197" s="103"/>
    </row>
    <row r="198" spans="1:11" x14ac:dyDescent="0.2">
      <c r="A198" s="519" t="s">
        <v>275</v>
      </c>
      <c r="B198" s="425">
        <f>IF(VIN_max&lt;2*Vout, B196,B197)</f>
        <v>0.12787039281358073</v>
      </c>
      <c r="C198" s="97" t="s">
        <v>42</v>
      </c>
      <c r="D198" s="118" t="s">
        <v>884</v>
      </c>
      <c r="I198" s="103"/>
    </row>
    <row r="199" spans="1:11" x14ac:dyDescent="0.2">
      <c r="A199" s="104"/>
      <c r="B199" s="595"/>
      <c r="C199" s="97"/>
      <c r="I199" s="103"/>
    </row>
    <row r="200" spans="1:11" ht="13.5" thickBot="1" x14ac:dyDescent="0.25">
      <c r="A200" s="105"/>
      <c r="B200" s="426">
        <f>Iout*Don_Vinmax_2*(1-Don_Vinmax_2)/(Cin*Fsw)</f>
        <v>5.4185939274597562E-2</v>
      </c>
      <c r="C200" s="344" t="s">
        <v>42</v>
      </c>
      <c r="D200" s="106"/>
      <c r="E200" s="107"/>
      <c r="F200" s="107"/>
      <c r="G200" s="107"/>
      <c r="H200" s="107"/>
      <c r="I200" s="108"/>
    </row>
    <row r="202" spans="1:11" ht="16.5" thickBot="1" x14ac:dyDescent="0.3">
      <c r="A202" s="580" t="s">
        <v>883</v>
      </c>
    </row>
    <row r="203" spans="1:11" x14ac:dyDescent="0.2">
      <c r="A203" s="93" t="s">
        <v>181</v>
      </c>
      <c r="B203" s="12">
        <f>'Design Converter'!E58/1000</f>
        <v>3.5000000000000003E-2</v>
      </c>
      <c r="C203" s="63" t="s">
        <v>163</v>
      </c>
      <c r="D203" s="121" t="s">
        <v>607</v>
      </c>
      <c r="E203" s="63"/>
      <c r="F203" s="63"/>
      <c r="G203" s="63"/>
      <c r="H203" s="63"/>
      <c r="I203" s="64"/>
    </row>
    <row r="204" spans="1:11" x14ac:dyDescent="0.2">
      <c r="A204" s="56" t="s">
        <v>182</v>
      </c>
      <c r="B204" s="68">
        <f>Cout*Vout/Tss</f>
        <v>0.36205714285714286</v>
      </c>
      <c r="C204" t="s">
        <v>2</v>
      </c>
      <c r="D204" s="118" t="s">
        <v>606</v>
      </c>
      <c r="I204" s="57"/>
    </row>
    <row r="205" spans="1:11" x14ac:dyDescent="0.2">
      <c r="A205" s="56" t="s">
        <v>183</v>
      </c>
      <c r="B205" s="462">
        <f>0.000005*Tss/0.8</f>
        <v>2.1875000000000002E-7</v>
      </c>
      <c r="C205" t="s">
        <v>26</v>
      </c>
      <c r="I205" s="57"/>
    </row>
    <row r="206" spans="1:11" ht="13.5" thickBot="1" x14ac:dyDescent="0.25">
      <c r="A206" s="60" t="s">
        <v>197</v>
      </c>
      <c r="B206" s="463">
        <f>'Standard Value Calculator'!B4</f>
        <v>2.2000000000000001E-7</v>
      </c>
      <c r="C206" s="61" t="s">
        <v>26</v>
      </c>
      <c r="D206" s="61"/>
      <c r="E206" s="61"/>
      <c r="F206" s="61"/>
      <c r="G206" s="61"/>
      <c r="H206" s="61"/>
      <c r="I206" s="62"/>
    </row>
    <row r="208" spans="1:11" ht="16.5" thickBot="1" x14ac:dyDescent="0.3">
      <c r="A208" s="580" t="s">
        <v>882</v>
      </c>
    </row>
    <row r="209" spans="1:9" ht="12.75" customHeight="1" x14ac:dyDescent="0.2">
      <c r="A209" s="222"/>
      <c r="B209" s="95"/>
      <c r="C209" s="314"/>
      <c r="D209" s="121"/>
      <c r="E209" s="63"/>
      <c r="F209" s="63"/>
      <c r="G209" s="63"/>
      <c r="H209" s="63"/>
      <c r="I209" s="64"/>
    </row>
    <row r="210" spans="1:9" ht="12.75" customHeight="1" x14ac:dyDescent="0.3">
      <c r="A210" s="223" t="s">
        <v>305</v>
      </c>
      <c r="B210" s="424">
        <f>'Design Converter'!E62</f>
        <v>9</v>
      </c>
      <c r="C210" s="118" t="s">
        <v>0</v>
      </c>
      <c r="I210" s="57"/>
    </row>
    <row r="211" spans="1:9" ht="12.75" customHeight="1" x14ac:dyDescent="0.2">
      <c r="A211" s="223"/>
      <c r="B211" s="44"/>
      <c r="C211" s="118"/>
      <c r="I211" s="57"/>
    </row>
    <row r="212" spans="1:9" ht="12.75" customHeight="1" x14ac:dyDescent="0.3">
      <c r="A212" s="223" t="s">
        <v>330</v>
      </c>
      <c r="B212" s="343">
        <f>'Design Converter'!E64</f>
        <v>249</v>
      </c>
      <c r="C212" s="45" t="s">
        <v>309</v>
      </c>
      <c r="E212">
        <f>'Standard Value Calculator'!O16</f>
        <v>249</v>
      </c>
      <c r="F212" s="45" t="s">
        <v>309</v>
      </c>
      <c r="G212" s="44">
        <f>IF(Ruvlo1&lt;0,"N/A",E212)</f>
        <v>249</v>
      </c>
      <c r="H212" s="44" t="str">
        <f>IF(Ruvlo1&lt;0,"N/A",E212&amp;"kΩ")</f>
        <v>249kΩ</v>
      </c>
      <c r="I212" s="57"/>
    </row>
    <row r="213" spans="1:9" ht="12.75" customHeight="1" x14ac:dyDescent="0.3">
      <c r="A213" s="223" t="s">
        <v>331</v>
      </c>
      <c r="B213" s="428">
        <f>Vuvlo_on/((VINuvlo_on-Vuvlo_on)/Ruvlo1+Iuvlo1)</f>
        <v>36.807987301741164</v>
      </c>
      <c r="C213" s="45" t="s">
        <v>309</v>
      </c>
      <c r="E213">
        <f>'Standard Value Calculator'!O17</f>
        <v>36.5</v>
      </c>
      <c r="F213" s="45" t="s">
        <v>309</v>
      </c>
      <c r="G213" s="44">
        <f>IF(G212="N/A","N/A",E213)</f>
        <v>36.5</v>
      </c>
      <c r="H213" s="44" t="str">
        <f>IF(H212="N/A","N/A",E213&amp;"kΩ")</f>
        <v>36.5kΩ</v>
      </c>
      <c r="I213" s="57"/>
    </row>
    <row r="214" spans="1:9" ht="12.75" customHeight="1" x14ac:dyDescent="0.2">
      <c r="A214" s="223"/>
      <c r="B214" s="224"/>
      <c r="C214" s="45"/>
      <c r="F214" s="45"/>
      <c r="I214" s="57"/>
    </row>
    <row r="215" spans="1:9" ht="12.75" customHeight="1" x14ac:dyDescent="0.3">
      <c r="A215" s="223" t="s">
        <v>310</v>
      </c>
      <c r="B215" s="224">
        <f>(E212+E213)/E213*Vuvlo_on-Iuvlo1*E212</f>
        <v>9.0696397260273969</v>
      </c>
      <c r="C215" s="45"/>
      <c r="F215" s="45"/>
      <c r="I215" s="57"/>
    </row>
    <row r="216" spans="1:9" ht="12.75" customHeight="1" x14ac:dyDescent="0.3">
      <c r="A216" s="223" t="s">
        <v>311</v>
      </c>
      <c r="B216" s="224">
        <f>(E212+E213)/E213*Vuvlo_off-Iuvlo2*E212</f>
        <v>8.3101897260273976</v>
      </c>
      <c r="C216" s="45"/>
      <c r="F216" s="45"/>
      <c r="I216" s="57"/>
    </row>
    <row r="217" spans="1:9" ht="12.75" customHeight="1" x14ac:dyDescent="0.2">
      <c r="A217" s="223"/>
      <c r="B217" s="44"/>
      <c r="C217"/>
      <c r="I217" s="57"/>
    </row>
    <row r="218" spans="1:9" ht="12.75" customHeight="1" x14ac:dyDescent="0.2">
      <c r="A218" s="223" t="s">
        <v>306</v>
      </c>
      <c r="B218" s="427">
        <v>1.22</v>
      </c>
      <c r="C218" s="118" t="s">
        <v>0</v>
      </c>
      <c r="I218" s="57"/>
    </row>
    <row r="219" spans="1:9" ht="12.75" customHeight="1" x14ac:dyDescent="0.2">
      <c r="A219" s="223" t="s">
        <v>307</v>
      </c>
      <c r="B219" s="427">
        <v>1.22</v>
      </c>
      <c r="C219" s="118" t="s">
        <v>0</v>
      </c>
      <c r="I219" s="57"/>
    </row>
    <row r="220" spans="1:9" ht="12.75" customHeight="1" x14ac:dyDescent="0.2">
      <c r="A220" s="223" t="s">
        <v>378</v>
      </c>
      <c r="B220" s="44">
        <f>B218-B219</f>
        <v>0</v>
      </c>
      <c r="C220" s="118" t="s">
        <v>0</v>
      </c>
      <c r="I220" s="57"/>
    </row>
    <row r="221" spans="1:9" ht="12.75" customHeight="1" x14ac:dyDescent="0.2">
      <c r="A221" s="223" t="s">
        <v>380</v>
      </c>
      <c r="B221" s="44">
        <v>1.9E-3</v>
      </c>
      <c r="C221" s="118" t="s">
        <v>68</v>
      </c>
      <c r="E221" s="621" t="s">
        <v>964</v>
      </c>
      <c r="F221" s="620"/>
      <c r="G221" s="620"/>
      <c r="I221" s="57"/>
    </row>
    <row r="222" spans="1:9" ht="12.75" customHeight="1" x14ac:dyDescent="0.2">
      <c r="A222" s="223" t="s">
        <v>379</v>
      </c>
      <c r="B222" s="44">
        <v>4.9500000000000004E-3</v>
      </c>
      <c r="C222" s="118" t="s">
        <v>68</v>
      </c>
      <c r="E222" s="621" t="s">
        <v>966</v>
      </c>
      <c r="G222" s="621" t="s">
        <v>965</v>
      </c>
      <c r="I222" s="57"/>
    </row>
    <row r="223" spans="1:9" ht="12.75" customHeight="1" x14ac:dyDescent="0.2">
      <c r="A223" s="223" t="s">
        <v>308</v>
      </c>
      <c r="B223" s="44">
        <f>B222-B221</f>
        <v>3.0500000000000006E-3</v>
      </c>
      <c r="C223" s="118" t="s">
        <v>68</v>
      </c>
      <c r="E223" s="621" t="s">
        <v>967</v>
      </c>
      <c r="H223" s="118"/>
      <c r="I223" s="57"/>
    </row>
    <row r="224" spans="1:9" ht="12.75" customHeight="1" x14ac:dyDescent="0.2">
      <c r="B224" s="44"/>
      <c r="C224"/>
      <c r="I224" s="57"/>
    </row>
    <row r="225" spans="1:9" ht="12.75" customHeight="1" x14ac:dyDescent="0.3">
      <c r="A225" s="56" t="s">
        <v>207</v>
      </c>
      <c r="B225" s="44">
        <v>20</v>
      </c>
      <c r="C225" s="45" t="s">
        <v>309</v>
      </c>
      <c r="I225" s="57"/>
    </row>
    <row r="226" spans="1:9" ht="12.75" customHeight="1" x14ac:dyDescent="0.3">
      <c r="A226" s="56" t="s">
        <v>208</v>
      </c>
      <c r="B226" s="44"/>
      <c r="C226" s="225" t="s">
        <v>120</v>
      </c>
      <c r="I226" s="57"/>
    </row>
    <row r="227" spans="1:9" ht="12.75" customHeight="1" x14ac:dyDescent="0.2">
      <c r="A227" s="56" t="s">
        <v>192</v>
      </c>
      <c r="B227" s="44">
        <v>0</v>
      </c>
      <c r="C227" s="225" t="s">
        <v>120</v>
      </c>
      <c r="I227" s="57"/>
    </row>
    <row r="228" spans="1:9" ht="12.75" customHeight="1" x14ac:dyDescent="0.2">
      <c r="A228" s="429" t="s">
        <v>575</v>
      </c>
      <c r="B228" s="44"/>
      <c r="C228" s="225" t="s">
        <v>120</v>
      </c>
      <c r="D228" s="406" t="s">
        <v>455</v>
      </c>
      <c r="E228" s="118" t="s">
        <v>796</v>
      </c>
      <c r="I228" s="57"/>
    </row>
    <row r="229" spans="1:9" ht="12.75" customHeight="1" x14ac:dyDescent="0.2">
      <c r="A229" s="223"/>
      <c r="B229" s="44"/>
      <c r="C229" s="225"/>
      <c r="I229" s="57"/>
    </row>
    <row r="230" spans="1:9" ht="12.75" customHeight="1" x14ac:dyDescent="0.2">
      <c r="A230" s="223" t="s">
        <v>797</v>
      </c>
      <c r="B230" s="424">
        <f>'Design Converter'!E60*1000</f>
        <v>1000</v>
      </c>
      <c r="C230" s="118" t="s">
        <v>10</v>
      </c>
      <c r="I230" s="57"/>
    </row>
    <row r="231" spans="1:9" ht="12.75" customHeight="1" x14ac:dyDescent="0.2">
      <c r="A231" s="223" t="s">
        <v>465</v>
      </c>
      <c r="B231" s="423">
        <f>10*10^-6/Fdither/0.24</f>
        <v>4.1666666666666663E-8</v>
      </c>
      <c r="C231" s="118" t="s">
        <v>26</v>
      </c>
      <c r="I231" s="57"/>
    </row>
    <row r="232" spans="1:9" ht="12.75" customHeight="1" x14ac:dyDescent="0.2">
      <c r="A232" s="223" t="s">
        <v>466</v>
      </c>
      <c r="B232" s="423">
        <f>'Standard Value Calculator'!O19</f>
        <v>3.8999999999999998E-8</v>
      </c>
      <c r="C232" s="118" t="s">
        <v>26</v>
      </c>
      <c r="I232" s="57"/>
    </row>
    <row r="233" spans="1:9" ht="12.75" customHeight="1" thickBot="1" x14ac:dyDescent="0.25">
      <c r="A233" s="60"/>
      <c r="B233" s="70"/>
      <c r="C233" s="315"/>
      <c r="D233" s="61"/>
      <c r="E233" s="61"/>
      <c r="F233" s="61"/>
      <c r="G233" s="61"/>
      <c r="H233" s="61"/>
      <c r="I233" s="62"/>
    </row>
    <row r="234" spans="1:9" x14ac:dyDescent="0.2">
      <c r="B234" s="44"/>
      <c r="C234" s="316"/>
    </row>
    <row r="235" spans="1:9" ht="16.5" thickBot="1" x14ac:dyDescent="0.3">
      <c r="A235" s="580" t="s">
        <v>881</v>
      </c>
    </row>
    <row r="236" spans="1:9" x14ac:dyDescent="0.2">
      <c r="A236" s="401" t="s">
        <v>41</v>
      </c>
      <c r="B236" s="402">
        <v>3.1415926500000002</v>
      </c>
      <c r="C236" s="403"/>
      <c r="D236" s="404" t="s">
        <v>523</v>
      </c>
      <c r="E236" s="63"/>
      <c r="F236" s="63"/>
      <c r="G236" s="63"/>
      <c r="H236" s="63"/>
      <c r="I236" s="64"/>
    </row>
    <row r="237" spans="1:9" x14ac:dyDescent="0.2">
      <c r="A237" s="118" t="s">
        <v>539</v>
      </c>
      <c r="B237" s="118">
        <v>5</v>
      </c>
      <c r="C237" s="46"/>
      <c r="D237" s="225"/>
      <c r="I237" s="57"/>
    </row>
    <row r="238" spans="1:9" x14ac:dyDescent="0.2">
      <c r="A238" s="118" t="s">
        <v>511</v>
      </c>
      <c r="B238">
        <f>Rs*CSAmp_gain</f>
        <v>1.4999999999999999E-2</v>
      </c>
      <c r="C238" s="225" t="s">
        <v>120</v>
      </c>
      <c r="D238" s="118" t="s">
        <v>530</v>
      </c>
      <c r="I238" s="57"/>
    </row>
    <row r="239" spans="1:9" x14ac:dyDescent="0.2">
      <c r="A239" s="118" t="s">
        <v>492</v>
      </c>
      <c r="B239" s="118">
        <v>1.2700000000000001E-3</v>
      </c>
      <c r="C239" s="118" t="s">
        <v>70</v>
      </c>
      <c r="D239" s="118" t="s">
        <v>512</v>
      </c>
      <c r="I239" s="57"/>
    </row>
    <row r="240" spans="1:9" x14ac:dyDescent="0.2">
      <c r="A240" s="118"/>
      <c r="B240" s="118"/>
      <c r="C240" s="118"/>
      <c r="D240" s="118"/>
      <c r="I240" s="57"/>
    </row>
    <row r="241" spans="1:9" x14ac:dyDescent="0.2">
      <c r="A241" s="118" t="s">
        <v>537</v>
      </c>
      <c r="B241" s="472">
        <v>1.9999999999999999E-6</v>
      </c>
      <c r="C241" s="118" t="s">
        <v>70</v>
      </c>
      <c r="D241" s="118" t="s">
        <v>538</v>
      </c>
      <c r="I241" s="57"/>
    </row>
    <row r="242" spans="1:9" x14ac:dyDescent="0.2">
      <c r="A242" s="118" t="s">
        <v>551</v>
      </c>
      <c r="B242" s="472">
        <v>3.9999999999999998E-6</v>
      </c>
      <c r="C242" s="118" t="s">
        <v>2</v>
      </c>
      <c r="D242" s="118" t="s">
        <v>562</v>
      </c>
      <c r="I242" s="57"/>
    </row>
    <row r="243" spans="1:9" x14ac:dyDescent="0.2">
      <c r="A243" s="118"/>
      <c r="B243" s="420"/>
      <c r="C243" s="118"/>
      <c r="D243" s="118"/>
      <c r="I243" s="57"/>
    </row>
    <row r="244" spans="1:9" x14ac:dyDescent="0.2">
      <c r="A244" s="118" t="s">
        <v>632</v>
      </c>
      <c r="B244" s="398">
        <f>Isc_const/(Cslope*10^-12)</f>
        <v>18181.81818181818</v>
      </c>
      <c r="C244" s="118" t="s">
        <v>441</v>
      </c>
      <c r="D244" s="118"/>
      <c r="I244" s="57"/>
    </row>
    <row r="245" spans="1:9" x14ac:dyDescent="0.2">
      <c r="A245" s="118" t="s">
        <v>633</v>
      </c>
      <c r="B245" s="333">
        <f>(ABS((Vin-Vout))*gm_slopecomp)/(Cslope*10^-12)</f>
        <v>7272.7272727272793</v>
      </c>
      <c r="C245" s="118" t="s">
        <v>441</v>
      </c>
      <c r="D245" s="118"/>
      <c r="I245" s="57"/>
    </row>
    <row r="246" spans="1:9" x14ac:dyDescent="0.2">
      <c r="A246" s="118" t="s">
        <v>513</v>
      </c>
      <c r="B246" s="407">
        <f>Se_fixed+Se_proportional</f>
        <v>25454.54545454546</v>
      </c>
      <c r="C246" s="408" t="s">
        <v>441</v>
      </c>
      <c r="D246" s="408" t="s">
        <v>640</v>
      </c>
      <c r="E246" s="408"/>
      <c r="I246" s="57"/>
    </row>
    <row r="247" spans="1:9" x14ac:dyDescent="0.2">
      <c r="A247" s="118"/>
      <c r="B247" s="407"/>
      <c r="C247" s="408"/>
      <c r="D247" s="408"/>
      <c r="E247" s="408"/>
      <c r="I247" s="57"/>
    </row>
    <row r="248" spans="1:9" x14ac:dyDescent="0.2">
      <c r="A248" s="118" t="s">
        <v>637</v>
      </c>
      <c r="B248" s="473">
        <f>Se_fixed/Fsw</f>
        <v>7.2727272727272724E-2</v>
      </c>
      <c r="C248" s="408" t="s">
        <v>441</v>
      </c>
      <c r="D248" s="408" t="s">
        <v>647</v>
      </c>
      <c r="E248" s="408"/>
      <c r="I248" s="57"/>
    </row>
    <row r="249" spans="1:9" x14ac:dyDescent="0.2">
      <c r="A249" s="118" t="s">
        <v>638</v>
      </c>
      <c r="B249" s="473">
        <f>Se_proportional/Fsw</f>
        <v>2.9090909090909119E-2</v>
      </c>
      <c r="C249" s="408" t="s">
        <v>441</v>
      </c>
      <c r="D249" s="408" t="s">
        <v>648</v>
      </c>
      <c r="E249" s="408"/>
      <c r="I249" s="57"/>
    </row>
    <row r="250" spans="1:9" x14ac:dyDescent="0.2">
      <c r="A250" s="118" t="s">
        <v>639</v>
      </c>
      <c r="B250" s="473">
        <f>Se/Fsw</f>
        <v>0.10181818181818184</v>
      </c>
      <c r="C250" s="408" t="s">
        <v>441</v>
      </c>
      <c r="D250" s="408" t="s">
        <v>649</v>
      </c>
      <c r="I250" s="57"/>
    </row>
    <row r="251" spans="1:9" x14ac:dyDescent="0.2">
      <c r="A251" s="118" t="s">
        <v>646</v>
      </c>
      <c r="B251" s="473">
        <f>gm_slopecomp/(Cslope*10^-12*Fsw)</f>
        <v>3.6363636363636362E-2</v>
      </c>
      <c r="C251" s="408"/>
      <c r="D251" s="408" t="s">
        <v>650</v>
      </c>
      <c r="I251" s="57"/>
    </row>
    <row r="252" spans="1:9" x14ac:dyDescent="0.2">
      <c r="A252" s="118"/>
      <c r="B252" s="409"/>
      <c r="C252" s="408"/>
      <c r="D252" s="408" t="s">
        <v>651</v>
      </c>
      <c r="I252" s="57"/>
    </row>
    <row r="253" spans="1:9" x14ac:dyDescent="0.2">
      <c r="A253" s="118"/>
      <c r="B253" s="409"/>
      <c r="C253" s="408"/>
      <c r="D253" s="408"/>
      <c r="I253" s="57"/>
    </row>
    <row r="254" spans="1:9" x14ac:dyDescent="0.2">
      <c r="A254" s="118" t="s">
        <v>634</v>
      </c>
      <c r="B254" s="405">
        <f>(ABS((Vin-Vout))*gm_slopecomp+0.000004)/(Cslope*10^-12)/Ri</f>
        <v>1696969.6969696977</v>
      </c>
      <c r="C254" s="388" t="s">
        <v>514</v>
      </c>
      <c r="D254" s="388" t="s">
        <v>540</v>
      </c>
      <c r="I254" s="57"/>
    </row>
    <row r="255" spans="1:9" x14ac:dyDescent="0.2">
      <c r="A255" s="118" t="s">
        <v>515</v>
      </c>
      <c r="B255" s="405">
        <f>IF(VIN_nom&gt;Vout, (Vin-Vout)/Lf, Vin/Lf)</f>
        <v>6000000</v>
      </c>
      <c r="C255" s="388" t="s">
        <v>514</v>
      </c>
      <c r="D255" s="388" t="s">
        <v>516</v>
      </c>
      <c r="I255" s="57">
        <f>Cslope</f>
        <v>220</v>
      </c>
    </row>
    <row r="256" spans="1:9" x14ac:dyDescent="0.2">
      <c r="A256" s="118" t="s">
        <v>535</v>
      </c>
      <c r="B256" s="405">
        <f>IF(VIN_nom&gt;Vout, Vout/Lf, (Vout-Vin)/Lf)</f>
        <v>400000.00000000035</v>
      </c>
      <c r="C256" s="388" t="s">
        <v>514</v>
      </c>
      <c r="D256" s="388" t="s">
        <v>534</v>
      </c>
      <c r="I256" s="57"/>
    </row>
    <row r="257" spans="1:9" x14ac:dyDescent="0.2">
      <c r="A257" s="118"/>
      <c r="B257" s="405"/>
      <c r="C257" s="388"/>
      <c r="D257" s="388"/>
      <c r="I257" s="57"/>
    </row>
    <row r="258" spans="1:9" x14ac:dyDescent="0.2">
      <c r="A258" s="118" t="s">
        <v>541</v>
      </c>
      <c r="B258" s="416">
        <f>Se/1000</f>
        <v>25.45454545454546</v>
      </c>
      <c r="C258" s="417" t="s">
        <v>589</v>
      </c>
      <c r="D258" s="417" t="s">
        <v>549</v>
      </c>
      <c r="I258" s="57"/>
    </row>
    <row r="259" spans="1:9" x14ac:dyDescent="0.2">
      <c r="A259" s="118" t="s">
        <v>547</v>
      </c>
      <c r="B259" s="416">
        <f>Sn*Ri/1000</f>
        <v>90</v>
      </c>
      <c r="C259" s="417" t="s">
        <v>589</v>
      </c>
      <c r="D259" s="417" t="s">
        <v>550</v>
      </c>
      <c r="I259" s="57"/>
    </row>
    <row r="260" spans="1:9" x14ac:dyDescent="0.2">
      <c r="A260" s="118" t="s">
        <v>548</v>
      </c>
      <c r="B260" s="416">
        <f>Sf*Ri/1000</f>
        <v>6.0000000000000053</v>
      </c>
      <c r="C260" s="417" t="s">
        <v>589</v>
      </c>
      <c r="D260" s="417" t="s">
        <v>550</v>
      </c>
      <c r="I260" s="57"/>
    </row>
    <row r="261" spans="1:9" x14ac:dyDescent="0.2">
      <c r="A261" s="118"/>
      <c r="B261" s="416"/>
      <c r="C261" s="417"/>
      <c r="D261" s="417"/>
      <c r="I261" s="57"/>
    </row>
    <row r="262" spans="1:9" x14ac:dyDescent="0.2">
      <c r="A262" s="118" t="s">
        <v>801</v>
      </c>
      <c r="B262" s="542">
        <f>(1-Don_Vinmax_2)/Fsw</f>
        <v>2.9258593424885558E-6</v>
      </c>
      <c r="C262" s="408" t="s">
        <v>800</v>
      </c>
      <c r="D262" s="417"/>
      <c r="I262" s="57"/>
    </row>
    <row r="263" spans="1:9" x14ac:dyDescent="0.2">
      <c r="A263" s="118"/>
      <c r="B263" s="542"/>
      <c r="C263" s="408"/>
      <c r="D263" s="417"/>
      <c r="I263" s="57"/>
    </row>
    <row r="264" spans="1:9" x14ac:dyDescent="0.2">
      <c r="A264" s="118" t="s">
        <v>805</v>
      </c>
      <c r="B264" s="542">
        <f>IF(VIN_min&gt;Vout, (1-Don_Vinmin_2)/Fsw, Don_Vinmin_2/Fsw)</f>
        <v>1.2191480099502487E-6</v>
      </c>
      <c r="C264" s="408" t="s">
        <v>800</v>
      </c>
      <c r="D264" s="417"/>
      <c r="I264" s="57"/>
    </row>
    <row r="265" spans="1:9" x14ac:dyDescent="0.2">
      <c r="A265" s="118"/>
      <c r="B265" s="541"/>
      <c r="C265" s="408"/>
      <c r="D265" s="417"/>
      <c r="I265" s="57"/>
    </row>
    <row r="266" spans="1:9" x14ac:dyDescent="0.2">
      <c r="A266" s="118" t="s">
        <v>803</v>
      </c>
      <c r="B266" s="543">
        <f>1.6+5*Rs*(-Iripple_Vinmax/2)-(gm_slopecomp*(VIN_max-Vout)+Isc_const)/(Cslope*0.000000000001)*Toff_Vinmax</f>
        <v>0.46874100102145044</v>
      </c>
      <c r="C266" s="544" t="s">
        <v>0</v>
      </c>
      <c r="D266" s="544" t="s">
        <v>804</v>
      </c>
      <c r="F266" s="410">
        <f>1.6+5*Rs*(Iripple_Vinmax/2)+(gm_slopecomp*(Vout-VIN_max)+Isc_const)/(Cslope*0.000000000001)*Don_Vinmax_2/Fsw</f>
        <v>1.4175913865244203</v>
      </c>
      <c r="G266" s="388" t="s">
        <v>448</v>
      </c>
      <c r="I266" s="57"/>
    </row>
    <row r="267" spans="1:9" x14ac:dyDescent="0.2">
      <c r="A267" s="118" t="s">
        <v>802</v>
      </c>
      <c r="B267" s="543">
        <f>1.6+5*Rs*(Iin_Vinmin+Iripple_Vinmin/2)+(gm_slopecomp*(Vout-VIN_min)+Isc_const)/(Cslope*0.000000000001)*Ton_Vinmin</f>
        <v>2.1795026690254535</v>
      </c>
      <c r="C267" s="544" t="s">
        <v>0</v>
      </c>
      <c r="D267" s="544" t="s">
        <v>448</v>
      </c>
      <c r="F267" s="410">
        <f>1.6+5*Rs*(-Iripple_Vinmin/2)-(gm_slopecomp*(VIN_min-Vout)+Isc_const)/(Cslope*0.000000000001)*(1-Don_Vinmin_2)/Fsw</f>
        <v>1.6043586054104479</v>
      </c>
      <c r="G267" s="388" t="s">
        <v>804</v>
      </c>
      <c r="I267" s="57"/>
    </row>
    <row r="268" spans="1:9" x14ac:dyDescent="0.2">
      <c r="A268" s="118"/>
      <c r="B268" s="416"/>
      <c r="C268" s="417"/>
      <c r="D268" s="417"/>
      <c r="I268" s="57"/>
    </row>
    <row r="269" spans="1:9" x14ac:dyDescent="0.2">
      <c r="A269" s="118"/>
      <c r="B269" s="457">
        <f>IF(VIN_max&gt;Vout, B266,F266)</f>
        <v>0.46874100102145044</v>
      </c>
      <c r="C269" s="417"/>
      <c r="D269" s="417"/>
      <c r="I269" s="57"/>
    </row>
    <row r="270" spans="1:9" x14ac:dyDescent="0.2">
      <c r="A270" s="118"/>
      <c r="B270" s="457">
        <f>IF(VIN_min&lt;Vout, B267,F267)</f>
        <v>2.1795026690254535</v>
      </c>
      <c r="C270" s="417"/>
      <c r="D270" s="417"/>
      <c r="I270" s="57"/>
    </row>
    <row r="271" spans="1:9" x14ac:dyDescent="0.2">
      <c r="A271" s="118"/>
      <c r="B271" s="457"/>
      <c r="C271" s="417"/>
      <c r="D271" s="417"/>
      <c r="I271" s="57"/>
    </row>
    <row r="272" spans="1:9" x14ac:dyDescent="0.2">
      <c r="A272" s="118"/>
      <c r="B272" s="416"/>
      <c r="C272" s="417"/>
      <c r="D272" s="388"/>
      <c r="I272" s="57"/>
    </row>
    <row r="273" spans="1:9" x14ac:dyDescent="0.2">
      <c r="A273" s="118" t="s">
        <v>587</v>
      </c>
      <c r="B273" s="386">
        <f>1+Se_ext/Sf</f>
        <v>5.2424242424242404</v>
      </c>
      <c r="C273"/>
      <c r="D273" s="118" t="s">
        <v>536</v>
      </c>
      <c r="I273" s="57"/>
    </row>
    <row r="274" spans="1:9" x14ac:dyDescent="0.2">
      <c r="A274" s="118" t="s">
        <v>588</v>
      </c>
      <c r="B274" s="410">
        <f>mc_buck*Don_Vinnom_2</f>
        <v>0.35183793239659172</v>
      </c>
      <c r="C274" s="388"/>
      <c r="D274" s="388" t="s">
        <v>533</v>
      </c>
      <c r="I274" s="57"/>
    </row>
    <row r="275" spans="1:9" x14ac:dyDescent="0.2">
      <c r="A275" s="2" t="s">
        <v>579</v>
      </c>
      <c r="B275" s="430">
        <f>1+Se_ext/Sn</f>
        <v>1.2828282828282829</v>
      </c>
      <c r="C275" s="388"/>
      <c r="D275" s="118" t="s">
        <v>645</v>
      </c>
      <c r="I275" s="57"/>
    </row>
    <row r="276" spans="1:9" x14ac:dyDescent="0.2">
      <c r="A276" s="2" t="s">
        <v>580</v>
      </c>
      <c r="B276" s="410">
        <f>mc_boost*(1-Don_Vinnom_2)</f>
        <v>1.1967330662302729</v>
      </c>
      <c r="C276" s="388"/>
      <c r="D276" s="388" t="s">
        <v>590</v>
      </c>
      <c r="I276" s="57"/>
    </row>
    <row r="277" spans="1:9" x14ac:dyDescent="0.2">
      <c r="A277" s="2"/>
      <c r="B277" s="430"/>
      <c r="C277" s="388"/>
      <c r="D277" s="388"/>
      <c r="I277" s="57"/>
    </row>
    <row r="278" spans="1:9" x14ac:dyDescent="0.2">
      <c r="A278" s="2" t="s">
        <v>517</v>
      </c>
      <c r="B278" s="410">
        <f>IF(VIN_nom&gt;Vout, mc_buck, mc_boost)</f>
        <v>1.2828282828282829</v>
      </c>
      <c r="C278" s="388"/>
      <c r="D278" s="388"/>
      <c r="I278" s="57"/>
    </row>
    <row r="279" spans="1:9" x14ac:dyDescent="0.2">
      <c r="A279" s="2" t="s">
        <v>491</v>
      </c>
      <c r="B279" s="457">
        <f>IF(VIN_nom&gt;Vout, k_buck, k_boost)</f>
        <v>1.1967330662302729</v>
      </c>
      <c r="C279" s="388"/>
      <c r="D279" s="388"/>
      <c r="I279" s="57"/>
    </row>
    <row r="280" spans="1:9" x14ac:dyDescent="0.2">
      <c r="A280" s="118" t="s">
        <v>29</v>
      </c>
      <c r="B280" s="386">
        <f>1/Pi/(k-0.5)</f>
        <v>0.45686059981299948</v>
      </c>
      <c r="C280"/>
      <c r="D280" s="118" t="s">
        <v>528</v>
      </c>
      <c r="F280" s="118" t="s">
        <v>543</v>
      </c>
      <c r="I280" s="57"/>
    </row>
    <row r="281" spans="1:9" x14ac:dyDescent="0.2">
      <c r="A281" s="118"/>
      <c r="B281" s="386"/>
      <c r="C281"/>
      <c r="D281" s="118"/>
      <c r="F281" s="118"/>
      <c r="I281" s="57"/>
    </row>
    <row r="282" spans="1:9" x14ac:dyDescent="0.2">
      <c r="A282" s="2" t="s">
        <v>630</v>
      </c>
      <c r="B282" s="445">
        <f>1/((0.5-Don_Vinnom_2)*Ri/(Fsw*Lf)+V_sc_fixed/Vout+K_SL*Don_Vinnom_2)</f>
        <v>47.373372267129042</v>
      </c>
      <c r="C282" s="118"/>
      <c r="D282" s="118"/>
      <c r="E282" s="118"/>
      <c r="I282" s="57"/>
    </row>
    <row r="283" spans="1:9" x14ac:dyDescent="0.2">
      <c r="A283" s="2" t="s">
        <v>652</v>
      </c>
      <c r="B283" s="397">
        <f>0.5*Ri/(Lf*Fsw)*Don_Vinnom_2*(1-Don_Vinnom_2)+K_SL*Don_Vinnom_2^2</f>
        <v>1.1029307386779385E-3</v>
      </c>
      <c r="C283" s="118"/>
      <c r="D283" s="118"/>
      <c r="E283" s="118"/>
      <c r="I283" s="57"/>
    </row>
    <row r="284" spans="1:9" x14ac:dyDescent="0.2">
      <c r="A284" s="2" t="s">
        <v>631</v>
      </c>
      <c r="B284" s="445">
        <f>1+Ro/Rout+Rout*(1-Don_Vinnom_2)^2/Ri*(1/KM+K_1/(1-Don_Vinnom_2))</f>
        <v>2.8277121842817667</v>
      </c>
      <c r="C284" s="118"/>
      <c r="E284" s="118"/>
      <c r="I284" s="57"/>
    </row>
    <row r="285" spans="1:9" x14ac:dyDescent="0.2">
      <c r="A285" s="118"/>
      <c r="B285" s="386"/>
      <c r="C285"/>
      <c r="D285" s="118"/>
      <c r="F285" s="118"/>
      <c r="I285" s="57"/>
    </row>
    <row r="286" spans="1:9" x14ac:dyDescent="0.2">
      <c r="A286" s="388" t="s">
        <v>591</v>
      </c>
      <c r="B286" s="386"/>
      <c r="C286"/>
      <c r="D286" s="118"/>
      <c r="I286" s="57"/>
    </row>
    <row r="287" spans="1:9" x14ac:dyDescent="0.2">
      <c r="A287" s="118" t="s">
        <v>518</v>
      </c>
      <c r="B287" s="400">
        <v>8</v>
      </c>
      <c r="C287" s="118" t="s">
        <v>217</v>
      </c>
      <c r="D287" s="118" t="s">
        <v>644</v>
      </c>
      <c r="I287" s="57"/>
    </row>
    <row r="288" spans="1:9" x14ac:dyDescent="0.2">
      <c r="A288" s="118" t="s">
        <v>519</v>
      </c>
      <c r="B288" s="30">
        <f>gm/(2*Pi*GBW*1000000)</f>
        <v>2.5265847244708825E-11</v>
      </c>
      <c r="C288" s="118" t="s">
        <v>26</v>
      </c>
      <c r="D288" s="118" t="s">
        <v>643</v>
      </c>
      <c r="I288" s="57"/>
    </row>
    <row r="289" spans="1:12" x14ac:dyDescent="0.2">
      <c r="A289" s="118" t="s">
        <v>520</v>
      </c>
      <c r="B289" s="422">
        <v>20000000</v>
      </c>
      <c r="C289" s="225" t="s">
        <v>120</v>
      </c>
      <c r="D289" s="118" t="s">
        <v>642</v>
      </c>
      <c r="I289" s="57"/>
    </row>
    <row r="290" spans="1:12" x14ac:dyDescent="0.2">
      <c r="A290" s="118" t="s">
        <v>943</v>
      </c>
      <c r="B290">
        <f>gm*RoEA</f>
        <v>25400</v>
      </c>
      <c r="C290" s="225"/>
      <c r="D290" s="118"/>
      <c r="I290" s="57"/>
    </row>
    <row r="291" spans="1:12" x14ac:dyDescent="0.2">
      <c r="A291" s="118" t="s">
        <v>944</v>
      </c>
      <c r="B291" s="4">
        <f>20*LOG(B290)</f>
        <v>88.096674332398777</v>
      </c>
      <c r="C291" s="118" t="s">
        <v>942</v>
      </c>
      <c r="D291" s="118"/>
      <c r="I291" s="57"/>
    </row>
    <row r="292" spans="1:12" x14ac:dyDescent="0.2">
      <c r="A292" s="2" t="s">
        <v>521</v>
      </c>
      <c r="B292" s="333">
        <f>gm*RoEA</f>
        <v>25400</v>
      </c>
      <c r="C292" s="118" t="s">
        <v>30</v>
      </c>
      <c r="D292" s="118" t="s">
        <v>641</v>
      </c>
      <c r="I292" s="57"/>
    </row>
    <row r="293" spans="1:12" x14ac:dyDescent="0.2">
      <c r="A293" s="2" t="s">
        <v>522</v>
      </c>
      <c r="B293" s="4">
        <f>Vref/Vout</f>
        <v>6.25E-2</v>
      </c>
      <c r="C293" s="118" t="s">
        <v>30</v>
      </c>
      <c r="D293" s="118" t="s">
        <v>636</v>
      </c>
      <c r="I293" s="57"/>
    </row>
    <row r="294" spans="1:12" x14ac:dyDescent="0.2">
      <c r="A294" s="2" t="s">
        <v>476</v>
      </c>
      <c r="B294" s="118">
        <f>1/Ri</f>
        <v>66.666666666666671</v>
      </c>
      <c r="C294" s="118"/>
      <c r="D294" s="118" t="s">
        <v>529</v>
      </c>
      <c r="I294" s="57"/>
      <c r="L294">
        <f>Ri</f>
        <v>1.4999999999999999E-2</v>
      </c>
    </row>
    <row r="295" spans="1:12" x14ac:dyDescent="0.2">
      <c r="A295" s="2" t="s">
        <v>578</v>
      </c>
      <c r="B295" s="48">
        <f>Ro/Ri*1/((1+Ro*(k-0.5)/(Fsw*Lf)))</f>
        <v>22.553257946556158</v>
      </c>
      <c r="C295"/>
      <c r="D295" s="2" t="s">
        <v>635</v>
      </c>
      <c r="I295" s="57"/>
    </row>
    <row r="296" spans="1:12" x14ac:dyDescent="0.2">
      <c r="A296" s="2" t="s">
        <v>581</v>
      </c>
      <c r="B296" s="48">
        <f>Ro*(1-Don_Vinnom_2)/(Ri*KD)</f>
        <v>14.07609782288667</v>
      </c>
      <c r="C296"/>
      <c r="D296" s="388" t="s">
        <v>592</v>
      </c>
      <c r="I296" s="57"/>
    </row>
    <row r="297" spans="1:12" x14ac:dyDescent="0.2">
      <c r="A297" s="2" t="s">
        <v>481</v>
      </c>
      <c r="B297" s="48">
        <f>IF(VIN_nom&gt;Vout, Am_buck, Am_boost)</f>
        <v>14.07609782288667</v>
      </c>
      <c r="C297"/>
      <c r="D297" s="118" t="s">
        <v>653</v>
      </c>
      <c r="I297" s="57"/>
    </row>
    <row r="298" spans="1:12" x14ac:dyDescent="0.2">
      <c r="A298" s="2"/>
      <c r="B298" s="4"/>
      <c r="C298"/>
      <c r="D298" s="388"/>
      <c r="I298" s="57"/>
    </row>
    <row r="299" spans="1:12" x14ac:dyDescent="0.2">
      <c r="A299" s="118" t="s">
        <v>627</v>
      </c>
      <c r="B299" s="4">
        <f>2*Pi*Ri/gm</f>
        <v>74.210849999999994</v>
      </c>
      <c r="C299"/>
      <c r="D299" s="118" t="s">
        <v>654</v>
      </c>
      <c r="I299" s="57"/>
    </row>
    <row r="300" spans="1:12" x14ac:dyDescent="0.2">
      <c r="A300" s="118" t="s">
        <v>628</v>
      </c>
      <c r="B300" s="4">
        <f>2*Pi*Ri/gm</f>
        <v>74.210849999999994</v>
      </c>
      <c r="C300"/>
      <c r="D300" s="118" t="s">
        <v>655</v>
      </c>
      <c r="I300" s="57"/>
    </row>
    <row r="301" spans="1:12" x14ac:dyDescent="0.2">
      <c r="A301" s="388" t="s">
        <v>582</v>
      </c>
      <c r="B301" s="4"/>
      <c r="C301"/>
      <c r="D301" s="118"/>
      <c r="I301" s="57"/>
    </row>
    <row r="302" spans="1:12" x14ac:dyDescent="0.2">
      <c r="A302" s="388"/>
      <c r="B302" s="4"/>
      <c r="C302"/>
      <c r="D302" s="118"/>
      <c r="I302" s="57"/>
    </row>
    <row r="303" spans="1:12" x14ac:dyDescent="0.2">
      <c r="A303" s="223" t="s">
        <v>46</v>
      </c>
      <c r="B303" s="118">
        <f>Rout</f>
        <v>0.64</v>
      </c>
      <c r="C303" s="225" t="s">
        <v>120</v>
      </c>
      <c r="D303" s="118" t="s">
        <v>350</v>
      </c>
      <c r="I303" s="57"/>
    </row>
    <row r="304" spans="1:12" x14ac:dyDescent="0.2">
      <c r="A304" s="118" t="s">
        <v>470</v>
      </c>
      <c r="B304" s="118">
        <f>Rout</f>
        <v>0.64</v>
      </c>
      <c r="C304" s="225" t="s">
        <v>120</v>
      </c>
      <c r="D304" s="118" t="s">
        <v>350</v>
      </c>
      <c r="I304" s="57"/>
    </row>
    <row r="305" spans="1:12" x14ac:dyDescent="0.2">
      <c r="A305" s="118"/>
      <c r="B305" s="118"/>
      <c r="C305" s="225"/>
      <c r="D305" s="118"/>
      <c r="I305" s="57"/>
    </row>
    <row r="306" spans="1:12" x14ac:dyDescent="0.2">
      <c r="A306" s="118" t="s">
        <v>571</v>
      </c>
      <c r="B306" s="415">
        <f>1/(2*Pi*Ro*Cout)+(k-0.5)/(2*Pi*Fsw*Lf*Cout)</f>
        <v>475.20870922313452</v>
      </c>
      <c r="C306" t="s">
        <v>10</v>
      </c>
      <c r="D306" s="118" t="s">
        <v>568</v>
      </c>
      <c r="E306" s="46"/>
      <c r="I306" s="57"/>
    </row>
    <row r="307" spans="1:12" x14ac:dyDescent="0.2">
      <c r="A307" s="118" t="s">
        <v>570</v>
      </c>
      <c r="B307" s="415">
        <f>KD/(2*Pi*Ro*Cout)</f>
        <v>710.29730474096323</v>
      </c>
      <c r="C307" s="118" t="s">
        <v>10</v>
      </c>
      <c r="D307" s="388" t="s">
        <v>569</v>
      </c>
      <c r="I307" s="57"/>
    </row>
    <row r="308" spans="1:12" x14ac:dyDescent="0.2">
      <c r="A308" s="118" t="s">
        <v>619</v>
      </c>
      <c r="B308" s="398">
        <f>IF(VIN_nom&gt;Vout, Fload_u,B307)</f>
        <v>710.29730474096323</v>
      </c>
      <c r="C308" s="118" t="s">
        <v>10</v>
      </c>
      <c r="D308" s="118"/>
      <c r="E308" s="46"/>
      <c r="I308" s="57"/>
    </row>
    <row r="309" spans="1:12" x14ac:dyDescent="0.2">
      <c r="A309" s="118"/>
      <c r="B309" s="398"/>
      <c r="C309"/>
      <c r="D309" s="118"/>
      <c r="E309" s="46"/>
      <c r="I309" s="57"/>
    </row>
    <row r="310" spans="1:12" x14ac:dyDescent="0.2">
      <c r="A310" s="118" t="s">
        <v>531</v>
      </c>
      <c r="B310" s="474">
        <f>1/(2*Pi*(RoEA+Rcea1_u)*Cc1ea_u)</f>
        <v>0.24107104998798903</v>
      </c>
      <c r="C310" t="s">
        <v>10</v>
      </c>
      <c r="D310" s="118" t="s">
        <v>567</v>
      </c>
      <c r="E310" s="46"/>
      <c r="I310" s="57"/>
    </row>
    <row r="311" spans="1:12" x14ac:dyDescent="0.2">
      <c r="A311" s="118" t="s">
        <v>532</v>
      </c>
      <c r="B311" s="415">
        <f>1/(2*Pi*Rcea1_u*(Cc2ea_u+Cbw))</f>
        <v>21505.664448581574</v>
      </c>
      <c r="C311" t="s">
        <v>10</v>
      </c>
      <c r="D311" s="118" t="s">
        <v>544</v>
      </c>
      <c r="E311" s="46"/>
      <c r="I311" s="57"/>
      <c r="K311">
        <f>Fcross</f>
        <v>5000</v>
      </c>
    </row>
    <row r="312" spans="1:12" x14ac:dyDescent="0.2">
      <c r="A312" s="223" t="s">
        <v>28</v>
      </c>
      <c r="B312" s="415">
        <f>1/(2*Pi*Cout*CoutEsr)</f>
        <v>80381.28448169514</v>
      </c>
      <c r="C312" t="s">
        <v>10</v>
      </c>
      <c r="D312" s="118" t="s">
        <v>565</v>
      </c>
      <c r="I312" s="57"/>
    </row>
    <row r="313" spans="1:12" x14ac:dyDescent="0.2">
      <c r="A313" s="223" t="s">
        <v>469</v>
      </c>
      <c r="B313" s="475">
        <f>(1-Don_Vinnom_2)^2*Ro/(2*Pi*Lf)</f>
        <v>44322.846065897655</v>
      </c>
      <c r="C313" t="s">
        <v>10</v>
      </c>
      <c r="D313" s="118" t="s">
        <v>566</v>
      </c>
      <c r="H313" s="388" t="s">
        <v>613</v>
      </c>
      <c r="I313" s="57"/>
    </row>
    <row r="314" spans="1:12" x14ac:dyDescent="0.2">
      <c r="A314" s="118" t="s">
        <v>577</v>
      </c>
      <c r="B314" s="415">
        <f>Fsw/2</f>
        <v>125000</v>
      </c>
      <c r="C314" t="s">
        <v>10</v>
      </c>
      <c r="D314" s="118" t="s">
        <v>576</v>
      </c>
      <c r="I314" s="57"/>
    </row>
    <row r="315" spans="1:12" x14ac:dyDescent="0.2">
      <c r="A315" s="118"/>
      <c r="B315" s="398"/>
      <c r="C315"/>
      <c r="D315" s="118"/>
      <c r="E315" s="46"/>
      <c r="I315" s="57"/>
    </row>
    <row r="316" spans="1:12" x14ac:dyDescent="0.2">
      <c r="A316" s="223" t="s">
        <v>564</v>
      </c>
      <c r="B316" s="343">
        <f>'Design Converter'!E71*1000</f>
        <v>5000</v>
      </c>
      <c r="C316" s="397" t="s">
        <v>10</v>
      </c>
      <c r="D316" s="118"/>
      <c r="E316">
        <f>z_RHP</f>
        <v>44322.846065897655</v>
      </c>
      <c r="I316" s="57"/>
    </row>
    <row r="317" spans="1:12" x14ac:dyDescent="0.2">
      <c r="A317" s="66" t="s">
        <v>35</v>
      </c>
      <c r="B317" s="398">
        <f>IF(VIN_nom&gt;Vout, Fcross*Cout*2*Pi*Ri/(gm*Afb), Fcross*Cout*2*Pi*Ri/(gm*Afb*(1-Don_Vinnom_2)*SQRT(1+(Fcross/z_RHP)^2)))</f>
        <v>6260.6278411362937</v>
      </c>
      <c r="C317" s="225" t="s">
        <v>120</v>
      </c>
      <c r="D317" s="118" t="s">
        <v>526</v>
      </c>
      <c r="I317" s="57">
        <v>1</v>
      </c>
      <c r="K317" s="333">
        <f>Fcross*Cout*2*Pi*Ri/(gm*Afb*(1-Don_Vinnom_2))</f>
        <v>6300.3376214468226</v>
      </c>
      <c r="L317" s="225" t="s">
        <v>120</v>
      </c>
    </row>
    <row r="318" spans="1:12" x14ac:dyDescent="0.2">
      <c r="A318" s="66" t="s">
        <v>33</v>
      </c>
      <c r="B318" s="397">
        <f>1/(Rcea1*(1.5*Fp_dominant)*2*Pi)</f>
        <v>2.3860020812255342E-8</v>
      </c>
      <c r="C318" t="s">
        <v>26</v>
      </c>
      <c r="D318" s="621" t="s">
        <v>955</v>
      </c>
      <c r="I318" s="57">
        <v>1</v>
      </c>
    </row>
    <row r="319" spans="1:12" x14ac:dyDescent="0.2">
      <c r="A319" s="66" t="s">
        <v>34</v>
      </c>
      <c r="B319" s="397">
        <f>1/((Rcea1*2*Pi*B320))-Cbw</f>
        <v>7.0106451592707354E-10</v>
      </c>
      <c r="C319" t="s">
        <v>26</v>
      </c>
      <c r="D319" s="118" t="s">
        <v>527</v>
      </c>
      <c r="I319" s="57">
        <v>1</v>
      </c>
    </row>
    <row r="320" spans="1:12" x14ac:dyDescent="0.2">
      <c r="A320" s="65"/>
      <c r="B320" s="1">
        <f>MAX(Fcross*7,Fsw/10)</f>
        <v>35000</v>
      </c>
      <c r="C320" s="225"/>
      <c r="D320" s="621" t="s">
        <v>954</v>
      </c>
      <c r="E320" s="620"/>
      <c r="F320" s="620"/>
      <c r="G320" s="620"/>
      <c r="H320" s="620"/>
      <c r="I320" s="57">
        <v>1</v>
      </c>
    </row>
    <row r="321" spans="1:9" x14ac:dyDescent="0.2">
      <c r="A321" s="66" t="s">
        <v>472</v>
      </c>
      <c r="I321" s="57"/>
    </row>
    <row r="322" spans="1:9" x14ac:dyDescent="0.2">
      <c r="A322" s="56" t="s">
        <v>36</v>
      </c>
      <c r="B322" s="69">
        <f>'Design Converter'!D78*1000</f>
        <v>6040</v>
      </c>
      <c r="C322" s="225" t="s">
        <v>120</v>
      </c>
      <c r="I322" s="57">
        <v>2</v>
      </c>
    </row>
    <row r="323" spans="1:9" x14ac:dyDescent="0.2">
      <c r="A323" s="56" t="s">
        <v>37</v>
      </c>
      <c r="B323" s="69">
        <f>'Design Converter'!D79*0.000000001</f>
        <v>3.3000000000000004E-8</v>
      </c>
      <c r="C323" t="s">
        <v>26</v>
      </c>
      <c r="I323" s="57">
        <v>2</v>
      </c>
    </row>
    <row r="324" spans="1:9" x14ac:dyDescent="0.2">
      <c r="A324" s="56" t="s">
        <v>38</v>
      </c>
      <c r="B324" s="69">
        <f>'Design Converter'!D80*0.000000000001</f>
        <v>1.2E-9</v>
      </c>
      <c r="C324" t="s">
        <v>26</v>
      </c>
      <c r="I324" s="57">
        <v>2</v>
      </c>
    </row>
    <row r="325" spans="1:9" x14ac:dyDescent="0.2">
      <c r="A325" s="56"/>
      <c r="B325" s="48"/>
      <c r="C325"/>
      <c r="I325" s="57"/>
    </row>
    <row r="326" spans="1:9" x14ac:dyDescent="0.2">
      <c r="A326" s="223" t="s">
        <v>525</v>
      </c>
      <c r="B326" s="68">
        <f>'Design Converter'!E32*1*10^-12</f>
        <v>2.1999999999999999E-10</v>
      </c>
      <c r="C326" s="118" t="s">
        <v>32</v>
      </c>
      <c r="I326" s="57">
        <v>2</v>
      </c>
    </row>
    <row r="327" spans="1:9" x14ac:dyDescent="0.2">
      <c r="A327" s="56"/>
      <c r="C327"/>
      <c r="I327" s="57"/>
    </row>
    <row r="328" spans="1:9" x14ac:dyDescent="0.2">
      <c r="A328" s="66" t="s">
        <v>546</v>
      </c>
      <c r="C328"/>
      <c r="D328">
        <f>Cout</f>
        <v>9.8999999999999999E-4</v>
      </c>
      <c r="E328">
        <f>CoutEsr</f>
        <v>2E-3</v>
      </c>
      <c r="I328" s="57"/>
    </row>
    <row r="329" spans="1:9" x14ac:dyDescent="0.2">
      <c r="A329" s="66" t="s">
        <v>39</v>
      </c>
      <c r="B329" s="399">
        <f>1/(2*Pi*Rcea1_u*Cc1ea_u)</f>
        <v>798.48958094399131</v>
      </c>
      <c r="C329" t="s">
        <v>10</v>
      </c>
      <c r="D329" s="118" t="s">
        <v>625</v>
      </c>
      <c r="I329" s="57"/>
    </row>
    <row r="330" spans="1:9" x14ac:dyDescent="0.2">
      <c r="A330" s="66" t="s">
        <v>40</v>
      </c>
      <c r="B330" s="399">
        <f>1/(2*Pi*Rcea1_u*(Cc1ea_u*(Cc2ea_u+Cbw)/(Cc1ea_u+Cc2ea_u+Cbw)))</f>
        <v>22304.154029525562</v>
      </c>
      <c r="C330" t="s">
        <v>10</v>
      </c>
      <c r="D330" t="s">
        <v>162</v>
      </c>
      <c r="I330" s="57"/>
    </row>
    <row r="331" spans="1:9" x14ac:dyDescent="0.2">
      <c r="C331"/>
      <c r="I331" s="57"/>
    </row>
    <row r="332" spans="1:9" x14ac:dyDescent="0.2">
      <c r="A332" s="56" t="s">
        <v>31</v>
      </c>
      <c r="B332" s="343">
        <f>'Design Converter'!E73*1000</f>
        <v>310000</v>
      </c>
      <c r="C332" s="225" t="s">
        <v>120</v>
      </c>
      <c r="D332" s="118" t="s">
        <v>555</v>
      </c>
      <c r="I332" s="57">
        <v>1</v>
      </c>
    </row>
    <row r="333" spans="1:9" x14ac:dyDescent="0.2">
      <c r="A333" s="66" t="s">
        <v>43</v>
      </c>
      <c r="B333" s="387">
        <f>IF(Vout=Vref,100000000,Vref*B332/((Vout-Vref)))</f>
        <v>20666.666666666668</v>
      </c>
      <c r="C333" s="225" t="s">
        <v>120</v>
      </c>
      <c r="D333" s="118" t="s">
        <v>554</v>
      </c>
      <c r="I333" s="57"/>
    </row>
    <row r="334" spans="1:9" x14ac:dyDescent="0.2">
      <c r="A334" s="56" t="s">
        <v>167</v>
      </c>
      <c r="B334" s="68">
        <f>IF(Vout=Vref,"N/A",'Standard Value Calculator'!O10)</f>
        <v>20500</v>
      </c>
      <c r="C334" s="225" t="s">
        <v>120</v>
      </c>
      <c r="D334" s="118" t="s">
        <v>553</v>
      </c>
      <c r="I334" s="57"/>
    </row>
    <row r="335" spans="1:9" ht="13.5" thickBot="1" x14ac:dyDescent="0.25">
      <c r="A335" s="414"/>
      <c r="B335" s="414"/>
      <c r="C335" s="71"/>
      <c r="D335" s="61"/>
      <c r="E335" s="71"/>
      <c r="F335" s="61"/>
      <c r="G335" s="61"/>
      <c r="H335" s="61"/>
      <c r="I335" s="62"/>
    </row>
    <row r="336" spans="1:9" x14ac:dyDescent="0.2">
      <c r="A336" s="1"/>
      <c r="B336" s="46"/>
      <c r="C336" s="46"/>
      <c r="E336" s="46"/>
    </row>
    <row r="337" spans="1:9" x14ac:dyDescent="0.2">
      <c r="A337" s="66" t="s">
        <v>206</v>
      </c>
      <c r="B337" s="1"/>
      <c r="C337"/>
    </row>
    <row r="338" spans="1:9" x14ac:dyDescent="0.2">
      <c r="A338" s="66" t="s">
        <v>209</v>
      </c>
      <c r="B338" s="2">
        <v>0</v>
      </c>
      <c r="C338" s="225" t="s">
        <v>120</v>
      </c>
      <c r="D338" s="118" t="s">
        <v>349</v>
      </c>
      <c r="H338" t="e">
        <f>_Don2*RdsonTop+Doff2*RdsonBot+B342*Vin^2*Fsw/2/(((Iripple1/SQRT(3))^2))</f>
        <v>#NAME?</v>
      </c>
    </row>
    <row r="339" spans="1:9" x14ac:dyDescent="0.2">
      <c r="A339" s="66" t="s">
        <v>212</v>
      </c>
      <c r="B339" s="412" t="e">
        <f>0.00000002*Fsw*0.6*4/Iripple1</f>
        <v>#NAME?</v>
      </c>
      <c r="C339" s="46"/>
      <c r="E339" s="46"/>
    </row>
    <row r="340" spans="1:9" x14ac:dyDescent="0.2">
      <c r="A340" s="66" t="s">
        <v>211</v>
      </c>
      <c r="B340" s="412" t="e">
        <f>_Don2*RdsonTop+Doff2*RdsonBot</f>
        <v>#NAME?</v>
      </c>
      <c r="C340" s="46"/>
      <c r="E340" s="46"/>
    </row>
    <row r="341" spans="1:9" x14ac:dyDescent="0.2">
      <c r="A341" s="66" t="s">
        <v>210</v>
      </c>
      <c r="B341" s="412" t="e">
        <f>B342*Vin^2*Fsw/2/(((Iripple1/SQRT(3))^2))</f>
        <v>#NAME?</v>
      </c>
      <c r="C341" s="46"/>
      <c r="E341" s="46"/>
    </row>
    <row r="342" spans="1:9" x14ac:dyDescent="0.2">
      <c r="A342" s="66" t="s">
        <v>213</v>
      </c>
      <c r="B342" s="413">
        <v>5.0000000000000001E-9</v>
      </c>
      <c r="C342" s="46"/>
      <c r="E342" s="46"/>
    </row>
    <row r="343" spans="1:9" x14ac:dyDescent="0.2">
      <c r="A343" s="1"/>
      <c r="B343" s="46"/>
      <c r="C343" s="46"/>
      <c r="E343" s="46"/>
    </row>
    <row r="344" spans="1:9" ht="16.5" thickBot="1" x14ac:dyDescent="0.3">
      <c r="A344" s="96" t="s">
        <v>229</v>
      </c>
    </row>
    <row r="345" spans="1:9" x14ac:dyDescent="0.2">
      <c r="A345" s="93"/>
      <c r="B345" s="63"/>
      <c r="C345" s="317"/>
      <c r="D345" s="63"/>
      <c r="E345" s="63"/>
      <c r="F345" s="63"/>
      <c r="G345" s="63"/>
      <c r="H345" s="63"/>
      <c r="I345" s="64"/>
    </row>
    <row r="346" spans="1:9" x14ac:dyDescent="0.2">
      <c r="A346" s="66" t="s">
        <v>59</v>
      </c>
      <c r="I346" s="57"/>
    </row>
    <row r="347" spans="1:9" x14ac:dyDescent="0.2">
      <c r="A347" s="56" t="s">
        <v>87</v>
      </c>
      <c r="B347" s="29">
        <v>25</v>
      </c>
      <c r="C347" s="118" t="s">
        <v>282</v>
      </c>
      <c r="D347" t="s">
        <v>100</v>
      </c>
      <c r="I347" s="57"/>
    </row>
    <row r="348" spans="1:9" x14ac:dyDescent="0.2">
      <c r="A348" s="66" t="s">
        <v>62</v>
      </c>
      <c r="C348"/>
      <c r="I348" s="57"/>
    </row>
    <row r="349" spans="1:9" x14ac:dyDescent="0.2">
      <c r="A349" s="56" t="s">
        <v>86</v>
      </c>
      <c r="B349" s="59">
        <f>4000/1000000</f>
        <v>4.0000000000000001E-3</v>
      </c>
      <c r="C349" s="118" t="s">
        <v>358</v>
      </c>
      <c r="D349" s="118" t="s">
        <v>690</v>
      </c>
      <c r="I349" s="57"/>
    </row>
    <row r="350" spans="1:9" ht="15.75" x14ac:dyDescent="0.3">
      <c r="A350" s="223" t="s">
        <v>687</v>
      </c>
      <c r="B350" s="59">
        <v>20</v>
      </c>
      <c r="C350" s="118" t="s">
        <v>241</v>
      </c>
      <c r="D350" s="118" t="s">
        <v>688</v>
      </c>
      <c r="I350" s="57"/>
    </row>
    <row r="351" spans="1:9" x14ac:dyDescent="0.2">
      <c r="A351" s="56" t="s">
        <v>90</v>
      </c>
      <c r="B351" s="29">
        <f>RCinEsr</f>
        <v>2E-3</v>
      </c>
      <c r="C351" s="225" t="s">
        <v>120</v>
      </c>
      <c r="D351" s="118" t="s">
        <v>689</v>
      </c>
      <c r="I351" s="57"/>
    </row>
    <row r="352" spans="1:9" x14ac:dyDescent="0.2">
      <c r="A352" s="65" t="s">
        <v>164</v>
      </c>
      <c r="C352"/>
      <c r="I352" s="57"/>
    </row>
    <row r="353" spans="1:9" x14ac:dyDescent="0.2">
      <c r="A353" s="223" t="s">
        <v>684</v>
      </c>
      <c r="B353" s="59">
        <f>7.5</f>
        <v>7.5</v>
      </c>
      <c r="C353" t="s">
        <v>0</v>
      </c>
      <c r="D353" s="388" t="s">
        <v>686</v>
      </c>
      <c r="I353" s="57"/>
    </row>
    <row r="354" spans="1:9" x14ac:dyDescent="0.2">
      <c r="A354" s="66" t="s">
        <v>116</v>
      </c>
      <c r="C354"/>
      <c r="I354" s="57"/>
    </row>
    <row r="355" spans="1:9" x14ac:dyDescent="0.2">
      <c r="A355" s="56" t="s">
        <v>65</v>
      </c>
      <c r="B355" s="59">
        <v>1.5</v>
      </c>
      <c r="C355" s="225" t="s">
        <v>120</v>
      </c>
      <c r="D355" s="118" t="s">
        <v>556</v>
      </c>
      <c r="I355" s="57"/>
    </row>
    <row r="356" spans="1:9" x14ac:dyDescent="0.2">
      <c r="A356" s="56" t="s">
        <v>150</v>
      </c>
      <c r="B356" s="59">
        <v>1</v>
      </c>
      <c r="C356" s="225" t="s">
        <v>120</v>
      </c>
      <c r="D356" s="118" t="s">
        <v>557</v>
      </c>
      <c r="I356" s="57"/>
    </row>
    <row r="357" spans="1:9" x14ac:dyDescent="0.2">
      <c r="A357" s="66" t="s">
        <v>117</v>
      </c>
      <c r="C357"/>
      <c r="I357" s="57"/>
    </row>
    <row r="358" spans="1:9" x14ac:dyDescent="0.2">
      <c r="A358" s="56" t="s">
        <v>64</v>
      </c>
      <c r="B358" s="110">
        <v>1.5</v>
      </c>
      <c r="C358" s="225" t="s">
        <v>120</v>
      </c>
      <c r="D358" s="118" t="s">
        <v>558</v>
      </c>
      <c r="I358" s="57"/>
    </row>
    <row r="359" spans="1:9" x14ac:dyDescent="0.2">
      <c r="A359" s="56" t="s">
        <v>149</v>
      </c>
      <c r="B359" s="59">
        <v>1</v>
      </c>
      <c r="C359" s="225" t="s">
        <v>120</v>
      </c>
      <c r="D359" s="118" t="s">
        <v>559</v>
      </c>
      <c r="I359" s="57"/>
    </row>
    <row r="360" spans="1:9" x14ac:dyDescent="0.2">
      <c r="A360" s="66" t="s">
        <v>66</v>
      </c>
      <c r="C360"/>
      <c r="I360" s="57"/>
    </row>
    <row r="361" spans="1:9" x14ac:dyDescent="0.2">
      <c r="A361" s="56" t="s">
        <v>66</v>
      </c>
      <c r="B361" s="67">
        <v>4.9999999999999998E-8</v>
      </c>
      <c r="C361" t="s">
        <v>163</v>
      </c>
      <c r="D361" t="s">
        <v>102</v>
      </c>
      <c r="G361" s="388" t="s">
        <v>614</v>
      </c>
      <c r="I361" s="57"/>
    </row>
    <row r="362" spans="1:9" x14ac:dyDescent="0.2">
      <c r="A362" s="66" t="s">
        <v>56</v>
      </c>
      <c r="C362"/>
      <c r="I362" s="57"/>
    </row>
    <row r="363" spans="1:9" x14ac:dyDescent="0.2">
      <c r="A363" s="56" t="s">
        <v>158</v>
      </c>
      <c r="B363" s="59">
        <v>3.0000000000000001E-3</v>
      </c>
      <c r="C363" t="s">
        <v>2</v>
      </c>
      <c r="D363" s="118" t="s">
        <v>913</v>
      </c>
      <c r="I363" s="57"/>
    </row>
    <row r="364" spans="1:9" x14ac:dyDescent="0.2">
      <c r="A364" s="56"/>
      <c r="C364"/>
      <c r="I364" s="57"/>
    </row>
    <row r="365" spans="1:9" x14ac:dyDescent="0.2">
      <c r="A365" s="66" t="s">
        <v>753</v>
      </c>
      <c r="B365" s="2" t="s">
        <v>772</v>
      </c>
      <c r="C365"/>
      <c r="D365" s="2" t="s">
        <v>773</v>
      </c>
      <c r="I365" s="57"/>
    </row>
    <row r="366" spans="1:9" x14ac:dyDescent="0.2">
      <c r="A366" s="223" t="s">
        <v>774</v>
      </c>
      <c r="B366" s="29">
        <f>'Design Converter'!E87/1000</f>
        <v>1.9E-3</v>
      </c>
      <c r="C366" s="225" t="s">
        <v>120</v>
      </c>
      <c r="D366" s="29">
        <f>'Design Converter'!F87/1000</f>
        <v>1.9E-3</v>
      </c>
      <c r="E366" s="225" t="s">
        <v>120</v>
      </c>
      <c r="F366" s="118" t="s">
        <v>760</v>
      </c>
      <c r="I366" s="57"/>
    </row>
    <row r="367" spans="1:9" x14ac:dyDescent="0.2">
      <c r="A367" s="56" t="s">
        <v>83</v>
      </c>
      <c r="B367" s="59">
        <f>4000/1000000</f>
        <v>4.0000000000000001E-3</v>
      </c>
      <c r="C367" s="118" t="s">
        <v>358</v>
      </c>
      <c r="E367" s="118"/>
      <c r="F367" s="118" t="s">
        <v>560</v>
      </c>
      <c r="I367" s="57"/>
    </row>
    <row r="368" spans="1:9" x14ac:dyDescent="0.2">
      <c r="A368" s="223" t="s">
        <v>132</v>
      </c>
      <c r="B368" s="72">
        <f>'Design Converter'!E88/1000000000</f>
        <v>9.5999999999999999E-8</v>
      </c>
      <c r="C368" t="s">
        <v>165</v>
      </c>
      <c r="D368" s="72">
        <f>'Design Converter'!F88/1000000000</f>
        <v>9.5999999999999999E-8</v>
      </c>
      <c r="E368" t="s">
        <v>165</v>
      </c>
      <c r="F368" s="118" t="s">
        <v>748</v>
      </c>
      <c r="I368" s="57"/>
    </row>
    <row r="369" spans="1:9" x14ac:dyDescent="0.2">
      <c r="A369" s="223" t="s">
        <v>775</v>
      </c>
      <c r="B369" s="72">
        <f>'Design Converter'!E89/1000000000</f>
        <v>1.7199999999999999E-8</v>
      </c>
      <c r="C369" t="s">
        <v>165</v>
      </c>
      <c r="D369" s="72">
        <f>'Design Converter'!F89/1000000000</f>
        <v>1.7199999999999999E-8</v>
      </c>
      <c r="E369" t="s">
        <v>165</v>
      </c>
      <c r="F369" t="s">
        <v>131</v>
      </c>
      <c r="I369" s="57"/>
    </row>
    <row r="370" spans="1:9" x14ac:dyDescent="0.2">
      <c r="A370" s="223" t="s">
        <v>776</v>
      </c>
      <c r="B370" s="72">
        <f>'Design Converter'!E90/1000000000</f>
        <v>2.4E-8</v>
      </c>
      <c r="C370" t="s">
        <v>165</v>
      </c>
      <c r="D370" s="72">
        <f>'Design Converter'!F90/1000000000</f>
        <v>2.4E-8</v>
      </c>
      <c r="E370" t="s">
        <v>165</v>
      </c>
      <c r="I370" s="57"/>
    </row>
    <row r="371" spans="1:9" x14ac:dyDescent="0.2">
      <c r="A371" s="223" t="s">
        <v>777</v>
      </c>
      <c r="B371" s="29">
        <f>'Design Converter'!E91</f>
        <v>0.5</v>
      </c>
      <c r="C371" s="225" t="s">
        <v>120</v>
      </c>
      <c r="D371" s="29">
        <f>'Design Converter'!F91</f>
        <v>0.5</v>
      </c>
      <c r="E371" s="225" t="s">
        <v>120</v>
      </c>
      <c r="F371" t="s">
        <v>104</v>
      </c>
      <c r="I371" s="57"/>
    </row>
    <row r="372" spans="1:9" x14ac:dyDescent="0.2">
      <c r="A372" s="223" t="s">
        <v>778</v>
      </c>
      <c r="B372" s="29">
        <f>'Design Converter'!E92</f>
        <v>88</v>
      </c>
      <c r="C372" t="s">
        <v>70</v>
      </c>
      <c r="D372" s="29">
        <f>'Design Converter'!F92</f>
        <v>88</v>
      </c>
      <c r="E372" t="s">
        <v>70</v>
      </c>
      <c r="F372" s="118" t="s">
        <v>759</v>
      </c>
      <c r="I372" s="57"/>
    </row>
    <row r="373" spans="1:9" x14ac:dyDescent="0.2">
      <c r="A373" s="223" t="s">
        <v>779</v>
      </c>
      <c r="B373" s="29">
        <f>'Design Converter'!E93</f>
        <v>2.7</v>
      </c>
      <c r="C373" t="s">
        <v>0</v>
      </c>
      <c r="D373" s="29">
        <f>'Design Converter'!F93</f>
        <v>2.7</v>
      </c>
      <c r="E373" t="s">
        <v>0</v>
      </c>
      <c r="F373" s="118" t="s">
        <v>761</v>
      </c>
      <c r="I373" s="57"/>
    </row>
    <row r="374" spans="1:9" x14ac:dyDescent="0.2">
      <c r="A374" s="223" t="s">
        <v>780</v>
      </c>
      <c r="B374" s="419">
        <f>Vth_Q1+Iout/Gfs_Q1</f>
        <v>2.9272727272727272</v>
      </c>
      <c r="C374" t="s">
        <v>0</v>
      </c>
      <c r="D374" s="419">
        <f>Vth_Q2+Iout/Gfs_Q2</f>
        <v>2.9272727272727272</v>
      </c>
      <c r="E374" t="s">
        <v>0</v>
      </c>
      <c r="F374" s="118" t="s">
        <v>762</v>
      </c>
      <c r="I374" s="57"/>
    </row>
    <row r="375" spans="1:9" x14ac:dyDescent="0.2">
      <c r="A375" s="56"/>
      <c r="C375"/>
      <c r="F375" s="118"/>
      <c r="I375" s="57"/>
    </row>
    <row r="376" spans="1:9" x14ac:dyDescent="0.2">
      <c r="A376" s="223" t="s">
        <v>783</v>
      </c>
      <c r="B376" s="29">
        <f>'Design Converter'!E94</f>
        <v>0.8</v>
      </c>
      <c r="C376" t="s">
        <v>0</v>
      </c>
      <c r="D376" s="29">
        <f>'Design Converter'!F94</f>
        <v>0.8</v>
      </c>
      <c r="E376" t="s">
        <v>0</v>
      </c>
      <c r="F376" s="118" t="s">
        <v>781</v>
      </c>
      <c r="I376" s="57"/>
    </row>
    <row r="377" spans="1:9" x14ac:dyDescent="0.2">
      <c r="A377" s="223" t="s">
        <v>707</v>
      </c>
      <c r="B377" s="72">
        <f>'Design Converter'!E95/1000000000</f>
        <v>0</v>
      </c>
      <c r="C377" t="s">
        <v>165</v>
      </c>
      <c r="D377" s="72">
        <f>'Design Converter'!F95/1000000000</f>
        <v>2.7500000000000001E-7</v>
      </c>
      <c r="E377" t="s">
        <v>165</v>
      </c>
      <c r="F377" t="s">
        <v>114</v>
      </c>
      <c r="I377" s="57"/>
    </row>
    <row r="378" spans="1:9" x14ac:dyDescent="0.2">
      <c r="A378" s="223" t="s">
        <v>708</v>
      </c>
      <c r="B378" s="72">
        <v>4.0000000000000001E-8</v>
      </c>
      <c r="C378" t="s">
        <v>163</v>
      </c>
      <c r="D378" s="72">
        <v>4.0000000000000001E-8</v>
      </c>
      <c r="E378" t="s">
        <v>163</v>
      </c>
      <c r="F378" t="s">
        <v>110</v>
      </c>
      <c r="I378" s="57"/>
    </row>
    <row r="379" spans="1:9" x14ac:dyDescent="0.2">
      <c r="A379" s="223" t="s">
        <v>918</v>
      </c>
      <c r="B379" s="29">
        <f>'Design Converter'!E96</f>
        <v>50</v>
      </c>
      <c r="C379" s="118" t="s">
        <v>241</v>
      </c>
      <c r="D379" s="29">
        <f>'Design Converter'!F96</f>
        <v>50</v>
      </c>
      <c r="E379" s="118" t="s">
        <v>241</v>
      </c>
      <c r="F379" t="s">
        <v>107</v>
      </c>
      <c r="I379" s="57"/>
    </row>
    <row r="380" spans="1:9" x14ac:dyDescent="0.2">
      <c r="A380" s="223"/>
      <c r="B380" s="29"/>
      <c r="C380" s="118"/>
      <c r="D380" s="29"/>
      <c r="E380" s="118"/>
      <c r="I380" s="57"/>
    </row>
    <row r="381" spans="1:9" x14ac:dyDescent="0.2">
      <c r="A381" s="223"/>
      <c r="B381" s="118"/>
      <c r="C381" s="118"/>
      <c r="D381" s="118"/>
      <c r="E381" s="118"/>
      <c r="I381" s="57"/>
    </row>
    <row r="382" spans="1:9" x14ac:dyDescent="0.2">
      <c r="A382" s="66" t="s">
        <v>752</v>
      </c>
      <c r="B382" s="2" t="s">
        <v>770</v>
      </c>
      <c r="C382"/>
      <c r="D382" s="2" t="s">
        <v>771</v>
      </c>
      <c r="I382" s="57"/>
    </row>
    <row r="383" spans="1:9" x14ac:dyDescent="0.2">
      <c r="A383" s="223" t="s">
        <v>774</v>
      </c>
      <c r="B383" s="29">
        <f>'Design Converter'!E100/1000</f>
        <v>5.0000000000000001E-4</v>
      </c>
      <c r="C383" s="225" t="s">
        <v>120</v>
      </c>
      <c r="D383" s="29">
        <f>'Design Converter'!F100/1000</f>
        <v>5.0000000000000001E-4</v>
      </c>
      <c r="E383" s="225" t="s">
        <v>120</v>
      </c>
      <c r="F383" s="118" t="s">
        <v>754</v>
      </c>
      <c r="I383" s="57"/>
    </row>
    <row r="384" spans="1:9" x14ac:dyDescent="0.2">
      <c r="A384" s="56" t="s">
        <v>84</v>
      </c>
      <c r="B384" s="336">
        <f>4000/1000000</f>
        <v>4.0000000000000001E-3</v>
      </c>
      <c r="C384" s="118" t="s">
        <v>358</v>
      </c>
      <c r="E384" s="118"/>
      <c r="F384" s="118" t="s">
        <v>560</v>
      </c>
      <c r="I384" s="57"/>
    </row>
    <row r="385" spans="1:9" x14ac:dyDescent="0.2">
      <c r="A385" s="223" t="s">
        <v>132</v>
      </c>
      <c r="B385" s="72">
        <f>'Design Converter'!E101/1000000000</f>
        <v>9.8000000000000004E-8</v>
      </c>
      <c r="C385" t="s">
        <v>165</v>
      </c>
      <c r="D385" s="72">
        <f>'Design Converter'!F101/1000000000</f>
        <v>9.8000000000000004E-8</v>
      </c>
      <c r="E385" t="s">
        <v>165</v>
      </c>
      <c r="F385" s="118" t="s">
        <v>755</v>
      </c>
      <c r="I385" s="57"/>
    </row>
    <row r="386" spans="1:9" x14ac:dyDescent="0.2">
      <c r="A386" s="223" t="s">
        <v>775</v>
      </c>
      <c r="B386" s="72">
        <f>'Design Converter'!E102/1000000000</f>
        <v>2.3800000000000001E-8</v>
      </c>
      <c r="C386" t="s">
        <v>165</v>
      </c>
      <c r="D386" s="72">
        <f>'Design Converter'!F102/1000000000</f>
        <v>2.3800000000000001E-8</v>
      </c>
      <c r="E386" t="s">
        <v>165</v>
      </c>
      <c r="F386" t="s">
        <v>131</v>
      </c>
      <c r="I386" s="57"/>
    </row>
    <row r="387" spans="1:9" x14ac:dyDescent="0.2">
      <c r="A387" s="223" t="s">
        <v>776</v>
      </c>
      <c r="B387" s="72">
        <f>'Design Converter'!E103/1000000000</f>
        <v>3.4E-8</v>
      </c>
      <c r="C387" t="s">
        <v>165</v>
      </c>
      <c r="D387" s="72">
        <f>'Design Converter'!F103/1000000000</f>
        <v>3.4E-8</v>
      </c>
      <c r="E387" t="s">
        <v>165</v>
      </c>
      <c r="I387" s="57"/>
    </row>
    <row r="388" spans="1:9" x14ac:dyDescent="0.2">
      <c r="A388" s="223" t="s">
        <v>777</v>
      </c>
      <c r="B388" s="29">
        <v>1</v>
      </c>
      <c r="C388" s="225" t="s">
        <v>120</v>
      </c>
      <c r="D388" s="29">
        <v>1</v>
      </c>
      <c r="E388" s="225" t="s">
        <v>120</v>
      </c>
      <c r="F388" t="s">
        <v>104</v>
      </c>
      <c r="I388" s="57"/>
    </row>
    <row r="389" spans="1:9" x14ac:dyDescent="0.2">
      <c r="A389" s="223" t="s">
        <v>778</v>
      </c>
      <c r="B389" s="29">
        <f>'Design Converter'!E105</f>
        <v>181</v>
      </c>
      <c r="C389" t="s">
        <v>70</v>
      </c>
      <c r="D389" s="29">
        <f>'Design Converter'!F105</f>
        <v>181</v>
      </c>
      <c r="E389" t="s">
        <v>70</v>
      </c>
      <c r="F389" s="118" t="s">
        <v>756</v>
      </c>
      <c r="I389" s="57"/>
    </row>
    <row r="390" spans="1:9" x14ac:dyDescent="0.2">
      <c r="A390" s="223" t="s">
        <v>779</v>
      </c>
      <c r="B390" s="29">
        <f>'Design Converter'!E106</f>
        <v>1.4</v>
      </c>
      <c r="C390" t="s">
        <v>0</v>
      </c>
      <c r="D390" s="29">
        <f>'Design Converter'!F106</f>
        <v>1.4</v>
      </c>
      <c r="E390" t="s">
        <v>0</v>
      </c>
      <c r="F390" s="118" t="s">
        <v>757</v>
      </c>
      <c r="I390" s="57"/>
    </row>
    <row r="391" spans="1:9" x14ac:dyDescent="0.2">
      <c r="A391" s="223" t="s">
        <v>780</v>
      </c>
      <c r="B391" s="419">
        <f>Vth_Q3+Iin_Vinnom/Gfs_Q3</f>
        <v>1.5309596889707386</v>
      </c>
      <c r="C391" t="s">
        <v>0</v>
      </c>
      <c r="D391" s="419">
        <f>Vth_Q4+Iin_Vinnom/Gfs_Q4</f>
        <v>1.5309596889707386</v>
      </c>
      <c r="E391" t="s">
        <v>0</v>
      </c>
      <c r="F391" s="118" t="s">
        <v>758</v>
      </c>
      <c r="I391" s="57"/>
    </row>
    <row r="392" spans="1:9" x14ac:dyDescent="0.2">
      <c r="E392" s="2"/>
      <c r="I392" s="57"/>
    </row>
    <row r="393" spans="1:9" x14ac:dyDescent="0.2">
      <c r="A393" s="223" t="s">
        <v>782</v>
      </c>
      <c r="B393" s="29">
        <f>'Design Converter'!E107</f>
        <v>0.8</v>
      </c>
      <c r="C393" t="s">
        <v>0</v>
      </c>
      <c r="D393" s="29">
        <f>'Design Converter'!F107</f>
        <v>0.8</v>
      </c>
      <c r="E393" t="s">
        <v>0</v>
      </c>
      <c r="F393" s="118" t="s">
        <v>561</v>
      </c>
      <c r="I393" s="57"/>
    </row>
    <row r="394" spans="1:9" x14ac:dyDescent="0.2">
      <c r="A394" s="56" t="s">
        <v>77</v>
      </c>
      <c r="B394" s="72">
        <f>'Design Converter'!E108/1000000000</f>
        <v>5.8000000000000003E-8</v>
      </c>
      <c r="C394" t="s">
        <v>165</v>
      </c>
      <c r="D394" s="72">
        <f>'Design Converter'!F108/1000000000</f>
        <v>0</v>
      </c>
      <c r="E394" t="s">
        <v>165</v>
      </c>
      <c r="F394" t="s">
        <v>114</v>
      </c>
      <c r="I394" s="57"/>
    </row>
    <row r="395" spans="1:9" x14ac:dyDescent="0.2">
      <c r="A395" s="56" t="s">
        <v>78</v>
      </c>
      <c r="B395" s="72">
        <v>4.0000000000000001E-8</v>
      </c>
      <c r="C395" t="s">
        <v>163</v>
      </c>
      <c r="D395" s="72">
        <v>4.0000000000000001E-8</v>
      </c>
      <c r="E395" t="s">
        <v>163</v>
      </c>
      <c r="F395" t="s">
        <v>110</v>
      </c>
      <c r="I395" s="57"/>
    </row>
    <row r="396" spans="1:9" x14ac:dyDescent="0.2">
      <c r="A396" s="223" t="s">
        <v>919</v>
      </c>
      <c r="B396" s="29">
        <f>'Design Converter'!E109</f>
        <v>50</v>
      </c>
      <c r="C396" s="118" t="s">
        <v>241</v>
      </c>
      <c r="D396" s="29">
        <f>'Design Converter'!F109</f>
        <v>50</v>
      </c>
      <c r="E396" s="118" t="s">
        <v>241</v>
      </c>
      <c r="F396" t="s">
        <v>107</v>
      </c>
      <c r="I396" s="57"/>
    </row>
    <row r="397" spans="1:9" x14ac:dyDescent="0.2">
      <c r="A397" s="223"/>
      <c r="B397" s="29"/>
      <c r="C397" s="118"/>
      <c r="D397" s="29"/>
      <c r="E397" s="118"/>
      <c r="I397" s="57"/>
    </row>
    <row r="398" spans="1:9" x14ac:dyDescent="0.2">
      <c r="A398" s="66" t="s">
        <v>751</v>
      </c>
      <c r="B398" s="531" t="s">
        <v>750</v>
      </c>
      <c r="D398" s="531" t="s">
        <v>749</v>
      </c>
      <c r="I398" s="57"/>
    </row>
    <row r="399" spans="1:9" x14ac:dyDescent="0.2">
      <c r="A399" s="56" t="s">
        <v>231</v>
      </c>
      <c r="B399" s="29">
        <f>'Design Converter'!E112</f>
        <v>0.55000000000000004</v>
      </c>
      <c r="C399" t="s">
        <v>0</v>
      </c>
      <c r="D399" s="29">
        <f>'Design Converter'!F112</f>
        <v>0.39</v>
      </c>
      <c r="E399" t="s">
        <v>0</v>
      </c>
      <c r="F399" t="s">
        <v>234</v>
      </c>
      <c r="I399" s="57"/>
    </row>
    <row r="400" spans="1:9" x14ac:dyDescent="0.2">
      <c r="A400" s="56" t="s">
        <v>232</v>
      </c>
      <c r="B400" s="72">
        <f>'Design Converter'!E113/1000000000</f>
        <v>0</v>
      </c>
      <c r="C400" t="s">
        <v>165</v>
      </c>
      <c r="D400" s="72">
        <f>'Design Converter'!F113/1000000000</f>
        <v>0</v>
      </c>
      <c r="E400" t="s">
        <v>165</v>
      </c>
      <c r="F400" t="s">
        <v>235</v>
      </c>
      <c r="I400" s="57"/>
    </row>
    <row r="401" spans="1:9" x14ac:dyDescent="0.2">
      <c r="A401" s="56" t="s">
        <v>233</v>
      </c>
      <c r="B401" s="29">
        <v>0</v>
      </c>
      <c r="C401" t="s">
        <v>2</v>
      </c>
      <c r="D401" s="29">
        <v>0</v>
      </c>
      <c r="E401" t="s">
        <v>2</v>
      </c>
      <c r="F401" t="s">
        <v>236</v>
      </c>
      <c r="I401" s="57"/>
    </row>
    <row r="402" spans="1:9" x14ac:dyDescent="0.2">
      <c r="A402" s="56"/>
      <c r="C402"/>
      <c r="I402" s="57"/>
    </row>
    <row r="403" spans="1:9" x14ac:dyDescent="0.2">
      <c r="A403" s="66" t="s">
        <v>121</v>
      </c>
      <c r="C403"/>
      <c r="I403" s="57"/>
    </row>
    <row r="404" spans="1:9" x14ac:dyDescent="0.2">
      <c r="A404" s="223" t="s">
        <v>681</v>
      </c>
      <c r="B404" s="29">
        <v>30.5</v>
      </c>
      <c r="C404" s="118" t="s">
        <v>241</v>
      </c>
      <c r="D404" s="118"/>
      <c r="E404" s="118"/>
      <c r="F404" t="s">
        <v>685</v>
      </c>
      <c r="I404" s="57"/>
    </row>
    <row r="405" spans="1:9" x14ac:dyDescent="0.2">
      <c r="A405" s="66" t="s">
        <v>81</v>
      </c>
      <c r="C405"/>
      <c r="I405" s="57"/>
    </row>
    <row r="406" spans="1:9" x14ac:dyDescent="0.2">
      <c r="A406" s="223" t="s">
        <v>63</v>
      </c>
      <c r="C406"/>
      <c r="I406" s="57"/>
    </row>
    <row r="407" spans="1:9" x14ac:dyDescent="0.2">
      <c r="A407" s="56" t="s">
        <v>92</v>
      </c>
      <c r="B407" s="69">
        <f>(Qgd_Q1+Qgs_Q1/2)*(RdsonDRT+Rgate1)/(Vdd-Vsp_Q1)</f>
        <v>1.2771371769383698E-8</v>
      </c>
      <c r="C407" t="s">
        <v>163</v>
      </c>
      <c r="D407" s="69">
        <f>(Qgd_Q4+Qgs_Q4/2)*(RdsonDRT+Rgate4)/(Vdd-Vsp_Q4)</f>
        <v>1.7088174092496924E-8</v>
      </c>
      <c r="E407" t="s">
        <v>163</v>
      </c>
      <c r="I407" s="57"/>
    </row>
    <row r="408" spans="1:9" x14ac:dyDescent="0.2">
      <c r="A408" s="56" t="s">
        <v>93</v>
      </c>
      <c r="B408" s="69">
        <f>(Qgd_Q1+Qgs_Q1/2)*(RdsonDRT2+Rgate1)/(Vsp_Q1)</f>
        <v>1.4962732919254656E-8</v>
      </c>
      <c r="C408" t="s">
        <v>163</v>
      </c>
      <c r="D408" s="69">
        <f>(Qgd_Q4+Qgs_Q4/2)*(RdsonDRT2+Rgate4)/(Vsp_Q4)</f>
        <v>5.3299901093319796E-8</v>
      </c>
      <c r="E408" t="s">
        <v>163</v>
      </c>
      <c r="I408" s="57"/>
    </row>
    <row r="409" spans="1:9" x14ac:dyDescent="0.2">
      <c r="A409" s="56"/>
      <c r="C409"/>
      <c r="I409" s="57"/>
    </row>
    <row r="410" spans="1:9" x14ac:dyDescent="0.2">
      <c r="A410" s="66" t="s">
        <v>572</v>
      </c>
      <c r="B410" s="2" t="s">
        <v>8</v>
      </c>
      <c r="C410" s="2" t="s">
        <v>80</v>
      </c>
      <c r="I410" s="57"/>
    </row>
    <row r="411" spans="1:9" x14ac:dyDescent="0.2">
      <c r="A411" s="58" t="s">
        <v>119</v>
      </c>
      <c r="B411" s="3" t="e">
        <f>#REF!</f>
        <v>#REF!</v>
      </c>
      <c r="C411" s="3" t="s">
        <v>120</v>
      </c>
      <c r="I411" s="57"/>
    </row>
    <row r="412" spans="1:9" x14ac:dyDescent="0.2">
      <c r="A412" s="58" t="s">
        <v>123</v>
      </c>
      <c r="B412" s="42" t="e">
        <f>B411*ThetaJaCtrl</f>
        <v>#REF!</v>
      </c>
      <c r="C412" s="118" t="s">
        <v>282</v>
      </c>
      <c r="I412" s="57"/>
    </row>
    <row r="413" spans="1:9" x14ac:dyDescent="0.2">
      <c r="A413" s="58" t="s">
        <v>246</v>
      </c>
      <c r="B413" s="42">
        <f>(Qg_Q1+Qg_Q2)*Fsw+Iq</f>
        <v>5.1000000000000004E-2</v>
      </c>
      <c r="C413" t="s">
        <v>2</v>
      </c>
      <c r="I413" s="57"/>
    </row>
    <row r="414" spans="1:9" x14ac:dyDescent="0.2">
      <c r="A414" s="58" t="s">
        <v>247</v>
      </c>
      <c r="B414">
        <f>Qrr_Q2*Fsw</f>
        <v>6.8750000000000006E-2</v>
      </c>
      <c r="C414" t="s">
        <v>2</v>
      </c>
      <c r="I414" s="57"/>
    </row>
    <row r="415" spans="1:9" x14ac:dyDescent="0.2">
      <c r="A415" s="58" t="s">
        <v>248</v>
      </c>
      <c r="B415" t="e">
        <f>C415/Vin</f>
        <v>#NAME?</v>
      </c>
      <c r="C415" t="e">
        <f>Deadtime*Fsw*(Ipp/2)*(Vsd_Q1+Vsd_Q2)</f>
        <v>#NAME?</v>
      </c>
      <c r="I415" s="57"/>
    </row>
    <row r="416" spans="1:9" x14ac:dyDescent="0.2">
      <c r="A416" s="58" t="s">
        <v>250</v>
      </c>
      <c r="B416" t="e">
        <f>SUM(B413:B415)</f>
        <v>#NAME?</v>
      </c>
      <c r="C416" t="s">
        <v>2</v>
      </c>
      <c r="I416" s="57"/>
    </row>
    <row r="417" spans="1:9" x14ac:dyDescent="0.2">
      <c r="A417" s="56"/>
      <c r="I417" s="57"/>
    </row>
    <row r="418" spans="1:9" x14ac:dyDescent="0.2">
      <c r="A418" s="66" t="s">
        <v>615</v>
      </c>
      <c r="I418" s="57"/>
    </row>
    <row r="419" spans="1:9" x14ac:dyDescent="0.2">
      <c r="A419" s="56" t="s">
        <v>118</v>
      </c>
      <c r="I419" s="57"/>
    </row>
    <row r="420" spans="1:9" ht="13.5" thickBot="1" x14ac:dyDescent="0.25">
      <c r="A420" s="60" t="s">
        <v>119</v>
      </c>
      <c r="B420" s="61"/>
      <c r="C420" s="318"/>
      <c r="D420" s="61"/>
      <c r="E420" s="61"/>
      <c r="F420" s="61"/>
      <c r="G420" s="61"/>
      <c r="H420" s="61"/>
      <c r="I420" s="62"/>
    </row>
    <row r="421" spans="1:9" x14ac:dyDescent="0.2">
      <c r="A421" s="1"/>
      <c r="B421" s="1"/>
      <c r="C421" s="1"/>
    </row>
    <row r="422" spans="1:9" ht="21.75" customHeight="1" thickBot="1" x14ac:dyDescent="0.3">
      <c r="A422" s="92" t="s">
        <v>242</v>
      </c>
    </row>
    <row r="423" spans="1:9" x14ac:dyDescent="0.2">
      <c r="A423" s="93" t="str">
        <f>"RC1 = "&amp;'Design Converter'!D78&amp;"kΩ"</f>
        <v>RC1 = 6.04kΩ</v>
      </c>
      <c r="B423" s="63" t="str">
        <f>'Design Converter'!D78&amp;"kΩ"</f>
        <v>6.04kΩ</v>
      </c>
      <c r="C423" s="317"/>
      <c r="D423" s="63"/>
      <c r="E423" s="63"/>
      <c r="F423" s="63"/>
      <c r="G423" s="63"/>
      <c r="H423" s="63"/>
      <c r="I423" s="64"/>
    </row>
    <row r="424" spans="1:9" x14ac:dyDescent="0.2">
      <c r="A424" s="56" t="str">
        <f>"RUV1 = "&amp;'Design Converter'!E64&amp;"kΩ"</f>
        <v>RUV1 = 249kΩ</v>
      </c>
      <c r="B424" t="str">
        <f>'Design Converter'!E64&amp;"kΩ"</f>
        <v>249kΩ</v>
      </c>
      <c r="I424" s="57"/>
    </row>
    <row r="425" spans="1:9" x14ac:dyDescent="0.2">
      <c r="A425" s="56" t="str">
        <f>"RUV2 = "&amp;'Design Converter'!E65&amp;"kΩ"</f>
        <v>RUV2 = 36.5kΩ</v>
      </c>
      <c r="B425" t="str">
        <f>'Design Converter'!E65&amp;"kΩ"</f>
        <v>36.5kΩ</v>
      </c>
      <c r="I425" s="57"/>
    </row>
    <row r="426" spans="1:9" x14ac:dyDescent="0.2">
      <c r="A426" s="56" t="str">
        <f>"LF = "&amp;'Design Converter'!E16&amp;"µH"</f>
        <v>LF = 2µH</v>
      </c>
      <c r="B426" t="str">
        <f>'Design Converter'!E16&amp;"µH"</f>
        <v>2µH</v>
      </c>
      <c r="I426" s="57"/>
    </row>
    <row r="427" spans="1:9" x14ac:dyDescent="0.2">
      <c r="A427" s="56" t="str">
        <f>"Rdcr = "&amp;Rdcr*1000&amp;"mΩ"</f>
        <v>Rdcr = 2.29mΩ</v>
      </c>
      <c r="B427" t="str">
        <f>Rdcr*1000&amp;"mΩ"</f>
        <v>2.29mΩ</v>
      </c>
      <c r="I427" s="57"/>
    </row>
    <row r="428" spans="1:9" x14ac:dyDescent="0.2">
      <c r="A428" s="56" t="str">
        <f>"Rs = "&amp;'Design Converter'!E28&amp;"mΩ"</f>
        <v>Rs = 3mΩ</v>
      </c>
      <c r="B428" t="str">
        <f>'Design Converter'!E28&amp;"mΩ"</f>
        <v>3mΩ</v>
      </c>
      <c r="I428" s="57"/>
    </row>
    <row r="429" spans="1:9" x14ac:dyDescent="0.2">
      <c r="A429" s="56" t="e">
        <f>"Rshunt = "&amp;ROUND('Design Converter'!E37,1)&amp;"mΩ"</f>
        <v>#VALUE!</v>
      </c>
      <c r="B429" t="e">
        <f>ROUND('Design Converter'!E37,1)&amp;"mΩ"</f>
        <v>#VALUE!</v>
      </c>
      <c r="I429" s="57"/>
    </row>
    <row r="430" spans="1:9" x14ac:dyDescent="0.2">
      <c r="A430" s="56"/>
      <c r="I430" s="57"/>
    </row>
    <row r="431" spans="1:9" x14ac:dyDescent="0.2">
      <c r="A431" s="56" t="str">
        <f>"VOUT = "&amp;'Design Converter'!E9&amp;"V"</f>
        <v>VOUT = 12.8V</v>
      </c>
      <c r="B431" t="str">
        <f>'Design Converter'!E9&amp;"V"</f>
        <v>12.8V</v>
      </c>
      <c r="I431" s="57"/>
    </row>
    <row r="432" spans="1:9" x14ac:dyDescent="0.2">
      <c r="A432" s="56"/>
      <c r="I432" s="57"/>
    </row>
    <row r="433" spans="1:9" x14ac:dyDescent="0.2">
      <c r="A433" s="56" t="str">
        <f>"COUT = "&amp;'Design Converter'!$E$42&amp;"µF"</f>
        <v>COUT = 990µF</v>
      </c>
      <c r="B433" t="str">
        <f>'Design Converter'!$E$42&amp;"µF"</f>
        <v>990µF</v>
      </c>
      <c r="I433" s="57"/>
    </row>
    <row r="434" spans="1:9" x14ac:dyDescent="0.2">
      <c r="A434" s="223" t="s">
        <v>344</v>
      </c>
      <c r="B434" t="str">
        <f>"22µF"</f>
        <v>22µF</v>
      </c>
      <c r="I434" s="57"/>
    </row>
    <row r="435" spans="1:9" x14ac:dyDescent="0.2">
      <c r="A435" s="223" t="s">
        <v>345</v>
      </c>
      <c r="B435" s="120" t="str">
        <f>ROUNDUP(Cout*1000000/22,0)&amp;" x"</f>
        <v>45 x</v>
      </c>
      <c r="C435" s="319"/>
      <c r="I435" s="57"/>
    </row>
    <row r="436" spans="1:9" x14ac:dyDescent="0.2">
      <c r="A436" s="56"/>
      <c r="I436" s="57"/>
    </row>
    <row r="437" spans="1:9" x14ac:dyDescent="0.2">
      <c r="A437" s="56" t="s">
        <v>267</v>
      </c>
      <c r="B437" t="str">
        <f>Cin*1000000&amp;"µF"</f>
        <v>290µF</v>
      </c>
      <c r="I437" s="57"/>
    </row>
    <row r="438" spans="1:9" x14ac:dyDescent="0.2">
      <c r="A438" s="223" t="s">
        <v>343</v>
      </c>
      <c r="B438" t="str">
        <f>"10µF"</f>
        <v>10µF</v>
      </c>
      <c r="I438" s="57"/>
    </row>
    <row r="439" spans="1:9" x14ac:dyDescent="0.2">
      <c r="A439" s="223" t="s">
        <v>342</v>
      </c>
      <c r="B439" s="120" t="str">
        <f>ROUNDUP(Cin*1000000/10,0)&amp;" x"</f>
        <v>29 x</v>
      </c>
      <c r="C439" s="319"/>
      <c r="I439" s="57"/>
    </row>
    <row r="440" spans="1:9" x14ac:dyDescent="0.2">
      <c r="A440" s="223"/>
      <c r="B440" s="120"/>
      <c r="C440" s="319"/>
      <c r="I440" s="57"/>
    </row>
    <row r="441" spans="1:9" x14ac:dyDescent="0.2">
      <c r="A441" s="56" t="str">
        <f>"RC1 = "&amp;Rcea1_u/1000&amp;"kΩ"</f>
        <v>RC1 = 6.04kΩ</v>
      </c>
      <c r="B441" t="str">
        <f>ROUND(Rcea1_u/1000,2)&amp;"kΩ"</f>
        <v>6.04kΩ</v>
      </c>
      <c r="I441" s="57"/>
    </row>
    <row r="442" spans="1:9" x14ac:dyDescent="0.2">
      <c r="A442" s="56" t="str">
        <f>"CC1 = "&amp;Cc1ea_u*10^9&amp;"nF"</f>
        <v>CC1 = 33nF</v>
      </c>
      <c r="B442" t="str">
        <f>Cc1ea_u*10^9&amp;"nF"</f>
        <v>33nF</v>
      </c>
      <c r="I442" s="57"/>
    </row>
    <row r="443" spans="1:9" x14ac:dyDescent="0.2">
      <c r="A443" s="56" t="str">
        <f>"CC2 = "&amp;IF(Cc2ea_u&gt;0, Cc2ea_u*10^12&amp;"pF", "OPEN")</f>
        <v>CC2 = 1200pF</v>
      </c>
      <c r="B443" t="str">
        <f>IF(Cc2ea_u&gt;0, ROUND(Cc2ea_u*10^12,1)&amp;"pF", "N/A")</f>
        <v>1200pF</v>
      </c>
      <c r="I443" s="57"/>
    </row>
    <row r="444" spans="1:9" x14ac:dyDescent="0.2">
      <c r="A444" s="56"/>
      <c r="I444" s="57"/>
    </row>
    <row r="445" spans="1:9" x14ac:dyDescent="0.2">
      <c r="A445" s="56" t="str">
        <f>"gm = "&amp;$B$239*1000&amp;"mS"</f>
        <v>gm = 1.27mS</v>
      </c>
      <c r="B445" t="str">
        <f>$B$239*1000&amp;"mS"</f>
        <v>1.27mS</v>
      </c>
      <c r="I445" s="57"/>
    </row>
    <row r="446" spans="1:9" x14ac:dyDescent="0.2">
      <c r="A446" s="56" t="str">
        <f>"RoEA = "&amp;RoEA/1000000&amp;"MΩ"</f>
        <v>RoEA = 20MΩ</v>
      </c>
      <c r="B446" t="str">
        <f>RoEA/1000000&amp;"MΩ"</f>
        <v>20MΩ</v>
      </c>
      <c r="I446" s="57"/>
    </row>
    <row r="447" spans="1:9" x14ac:dyDescent="0.2">
      <c r="A447" s="56" t="str">
        <f>"GBW = "&amp;GBW&amp;"MHz"</f>
        <v>GBW = 8MHz</v>
      </c>
      <c r="B447" t="str">
        <f>GBW&amp;"MHz"</f>
        <v>8MHz</v>
      </c>
      <c r="I447" s="57"/>
    </row>
    <row r="448" spans="1:9" x14ac:dyDescent="0.2">
      <c r="A448" s="56"/>
      <c r="I448" s="57"/>
    </row>
    <row r="449" spans="1:9" x14ac:dyDescent="0.2">
      <c r="A449" s="56" t="str">
        <f>"Cslope = "&amp;Cslope&amp;"pF"</f>
        <v>Cslope = 220pF</v>
      </c>
      <c r="B449" t="str">
        <f>ROUND(Cslope*1,0)&amp;"pF"</f>
        <v>220pF</v>
      </c>
      <c r="I449" s="57"/>
    </row>
    <row r="450" spans="1:9" x14ac:dyDescent="0.2">
      <c r="A450" s="56" t="str">
        <f>IF(DITHER=1, "Cdither = "&amp;Cdither*1000000000&amp;"nF", "")</f>
        <v/>
      </c>
      <c r="B450" t="str">
        <f>IF(DITHER=1, ROUND(Cdither*1000000000,0)&amp;"nF", "")</f>
        <v/>
      </c>
      <c r="C450" s="2" t="str">
        <f>IF(DITHER=1, "Cd", "")</f>
        <v/>
      </c>
      <c r="I450" s="57"/>
    </row>
    <row r="451" spans="1:9" x14ac:dyDescent="0.2">
      <c r="A451" s="56" t="str">
        <f>"RFB1 = "&amp;'Design Converter'!E73&amp;"kΩ"</f>
        <v>RFB1 = 310kΩ</v>
      </c>
      <c r="B451" t="str">
        <f>'Design Converter'!E73&amp;"kΩ"</f>
        <v>310kΩ</v>
      </c>
      <c r="I451" s="57"/>
    </row>
    <row r="452" spans="1:9" x14ac:dyDescent="0.2">
      <c r="A452" s="56" t="str">
        <f>"RFB2 = "&amp;IF(Vout=Vref,"OPEN",'Design Converter'!E74&amp;"kΩ")</f>
        <v>RFB2 = 20.5kΩ</v>
      </c>
      <c r="B452" t="str">
        <f>IF(Vout=Vref,"OPEN",Rfb2_u/1000&amp;"kΩ")</f>
        <v>20.5kΩ</v>
      </c>
      <c r="I452" s="57"/>
    </row>
    <row r="453" spans="1:9" x14ac:dyDescent="0.2">
      <c r="A453" s="56" t="str">
        <f>"Crossover Frequency = "&amp;ROUND('Stability Calculations'!Q4,1)&amp;" kHz"</f>
        <v>Crossover Frequency = 4.4 kHz</v>
      </c>
      <c r="B453" t="str">
        <f>ROUND('Stability Calculations'!Q4,1)&amp;" kHz"</f>
        <v>4.4 kHz</v>
      </c>
      <c r="D453" s="119">
        <f>'Stability Calculations'!Q4</f>
        <v>4.3651999999999997</v>
      </c>
      <c r="I453" s="57"/>
    </row>
    <row r="454" spans="1:9" x14ac:dyDescent="0.2">
      <c r="A454" s="56" t="str">
        <f>"Phase Margin = "&amp;ROUND('Stability Calculations'!Q5,0)&amp;"°"</f>
        <v>Phase Margin = 71°</v>
      </c>
      <c r="B454" s="120" t="str">
        <f>ROUND('Stability Calculations'!Q5,0)&amp;"°"</f>
        <v>71°</v>
      </c>
      <c r="C454" s="319"/>
      <c r="E454" s="225"/>
      <c r="I454" s="57"/>
    </row>
    <row r="455" spans="1:9" x14ac:dyDescent="0.2">
      <c r="A455" s="56"/>
      <c r="B455" s="120"/>
      <c r="C455" s="319"/>
      <c r="E455" s="225"/>
      <c r="I455" s="57"/>
    </row>
    <row r="456" spans="1:9" x14ac:dyDescent="0.2">
      <c r="A456" s="66" t="s">
        <v>917</v>
      </c>
      <c r="B456" s="540" t="str">
        <f>IF(PLOT_TYPE=1, "", ROUND('Efficiency vs VIN Calculations'!BH9,1)&amp;"%")</f>
        <v/>
      </c>
      <c r="C456" s="319"/>
      <c r="E456" s="225"/>
      <c r="I456" s="57"/>
    </row>
    <row r="457" spans="1:9" x14ac:dyDescent="0.2">
      <c r="A457" s="66" t="s">
        <v>915</v>
      </c>
      <c r="B457" s="540" t="e">
        <f>IF(PLOT_TYPE=1, ROUND('Efficiency vs Load Calculations'!BH109,1)&amp;"%", ROUND('Efficiency vs VIN Calculations'!BH209,1)&amp;"%")</f>
        <v>#VALUE!</v>
      </c>
      <c r="C457" s="319"/>
      <c r="E457" s="225"/>
      <c r="I457" s="57"/>
    </row>
    <row r="458" spans="1:9" x14ac:dyDescent="0.2">
      <c r="A458" s="66" t="s">
        <v>916</v>
      </c>
      <c r="B458" s="540" t="e">
        <f>IF(PLOT_TYPE=1, ROUND('Efficiency vs Load Calculations'!BH59,1)&amp;"%", ROUND('Efficiency vs VIN Calculations'!BH109,1)&amp;"%")</f>
        <v>#VALUE!</v>
      </c>
      <c r="C458" s="319"/>
      <c r="E458" s="225"/>
      <c r="I458" s="57"/>
    </row>
    <row r="459" spans="1:9" x14ac:dyDescent="0.2">
      <c r="A459" s="56"/>
      <c r="B459" s="120"/>
      <c r="C459" s="319"/>
      <c r="E459" s="225"/>
      <c r="I459" s="57"/>
    </row>
    <row r="460" spans="1:9" x14ac:dyDescent="0.2">
      <c r="A460" s="56" t="str">
        <f>"CDITH = "&amp;Cdither*1000000000&amp;"nF"</f>
        <v>CDITH = 39nF</v>
      </c>
      <c r="B460" t="str">
        <f>Cdither*1000000000&amp;"nF"</f>
        <v>39nF</v>
      </c>
      <c r="I460" s="57"/>
    </row>
    <row r="461" spans="1:9" x14ac:dyDescent="0.2">
      <c r="A461" s="56" t="str">
        <f>"Rs = "&amp;Rs&amp;"Ω"</f>
        <v>Rs = 0.003Ω</v>
      </c>
      <c r="B461" t="e">
        <f>'Standard Value Calculator'!O6&amp;"Ω"</f>
        <v>#VALUE!</v>
      </c>
      <c r="I461" s="57"/>
    </row>
    <row r="462" spans="1:9" x14ac:dyDescent="0.2">
      <c r="A462" s="56" t="s">
        <v>225</v>
      </c>
      <c r="B462" t="str">
        <f>'Standard Value Calculator'!O13&amp;"mΩ"</f>
        <v>2.94mΩ</v>
      </c>
      <c r="I462" s="57"/>
    </row>
    <row r="463" spans="1:9" x14ac:dyDescent="0.2">
      <c r="A463" s="56" t="s">
        <v>200</v>
      </c>
      <c r="B463" t="e">
        <f>'Standard Value Calculator'!O6&amp;"mΩ"</f>
        <v>#VALUE!</v>
      </c>
      <c r="I463" s="57"/>
    </row>
    <row r="464" spans="1:9" x14ac:dyDescent="0.2">
      <c r="A464" s="56" t="e">
        <f>"Rshunt = "&amp;ROUND(Rshunt,1)&amp;"mΩ"</f>
        <v>#VALUE!</v>
      </c>
      <c r="B464" t="e">
        <f>IF(Rshunt="0", "N/A",ROUND(Rshunt,1)&amp;"mΩ")</f>
        <v>#VALUE!</v>
      </c>
      <c r="I464" s="57"/>
    </row>
    <row r="465" spans="1:9" x14ac:dyDescent="0.2">
      <c r="A465" s="56"/>
      <c r="I465" s="57"/>
    </row>
    <row r="466" spans="1:9" x14ac:dyDescent="0.2">
      <c r="A466" s="223" t="s">
        <v>338</v>
      </c>
      <c r="B466" s="118" t="s">
        <v>339</v>
      </c>
      <c r="I466" s="57"/>
    </row>
    <row r="467" spans="1:9" x14ac:dyDescent="0.2">
      <c r="A467" s="223"/>
      <c r="B467" s="118"/>
      <c r="I467" s="57"/>
    </row>
    <row r="468" spans="1:9" x14ac:dyDescent="0.2">
      <c r="A468" s="223"/>
      <c r="B468" s="118"/>
      <c r="I468" s="57"/>
    </row>
    <row r="469" spans="1:9" x14ac:dyDescent="0.2">
      <c r="A469" s="223" t="s">
        <v>359</v>
      </c>
      <c r="B469" t="str">
        <f>'Standard Value Calculator'!O4/1000&amp;"kΩ"</f>
        <v>33.2kΩ</v>
      </c>
      <c r="I469" s="57"/>
    </row>
    <row r="470" spans="1:9" x14ac:dyDescent="0.2">
      <c r="A470" s="56" t="s">
        <v>183</v>
      </c>
      <c r="B470" t="str">
        <f>'Standard Value Calculator'!B4*1000000000 &amp;"nF"</f>
        <v>220nF</v>
      </c>
      <c r="I470" s="57"/>
    </row>
    <row r="471" spans="1:9" x14ac:dyDescent="0.2">
      <c r="A471" s="223" t="s">
        <v>438</v>
      </c>
      <c r="B471" s="118" t="str">
        <f>Cslope &amp;"pF"</f>
        <v>220pF</v>
      </c>
      <c r="I471" s="57"/>
    </row>
    <row r="472" spans="1:9" x14ac:dyDescent="0.2">
      <c r="A472" s="56" t="s">
        <v>226</v>
      </c>
      <c r="B472" t="str">
        <f>IF(B99="y","","|")</f>
        <v>|</v>
      </c>
      <c r="I472" s="57"/>
    </row>
    <row r="473" spans="1:9" x14ac:dyDescent="0.2">
      <c r="A473" s="56" t="s">
        <v>243</v>
      </c>
      <c r="B473" t="str">
        <f>'Design Converter'!$E$10&amp;"A"</f>
        <v>20A</v>
      </c>
      <c r="I473" s="57"/>
    </row>
    <row r="474" spans="1:9" x14ac:dyDescent="0.2">
      <c r="A474" s="56" t="s">
        <v>175</v>
      </c>
      <c r="B474" t="str">
        <f>VIN_nom&amp;"V"</f>
        <v>12V</v>
      </c>
      <c r="I474" s="57"/>
    </row>
    <row r="475" spans="1:9" x14ac:dyDescent="0.2">
      <c r="A475" s="223" t="s">
        <v>933</v>
      </c>
      <c r="B475" t="str">
        <f>VIN_min&amp;"V"&amp;"..."&amp;VIN_max&amp;"V"</f>
        <v>9V...48V</v>
      </c>
      <c r="I475" s="57"/>
    </row>
    <row r="476" spans="1:9" x14ac:dyDescent="0.2">
      <c r="A476" s="56"/>
      <c r="I476" s="57"/>
    </row>
    <row r="477" spans="1:9" x14ac:dyDescent="0.2">
      <c r="A477" s="56" t="s">
        <v>251</v>
      </c>
      <c r="B477">
        <v>12</v>
      </c>
      <c r="I477" s="57"/>
    </row>
    <row r="478" spans="1:9" x14ac:dyDescent="0.2">
      <c r="A478" s="56" t="s">
        <v>252</v>
      </c>
      <c r="B478">
        <v>18</v>
      </c>
      <c r="I478" s="57"/>
    </row>
    <row r="479" spans="1:9" x14ac:dyDescent="0.2">
      <c r="A479" s="56" t="s">
        <v>253</v>
      </c>
      <c r="B479">
        <v>14</v>
      </c>
      <c r="I479" s="57"/>
    </row>
    <row r="480" spans="1:9" x14ac:dyDescent="0.2">
      <c r="A480" s="56" t="s">
        <v>254</v>
      </c>
      <c r="B480">
        <v>6</v>
      </c>
      <c r="I480" s="57"/>
    </row>
    <row r="481" spans="1:9" x14ac:dyDescent="0.2">
      <c r="A481" s="56" t="s">
        <v>255</v>
      </c>
      <c r="B481">
        <v>7</v>
      </c>
      <c r="I481" s="57"/>
    </row>
    <row r="482" spans="1:9" x14ac:dyDescent="0.2">
      <c r="A482" s="56" t="s">
        <v>256</v>
      </c>
      <c r="B482">
        <v>11</v>
      </c>
      <c r="I482" s="57"/>
    </row>
    <row r="483" spans="1:9" x14ac:dyDescent="0.2">
      <c r="A483" s="56" t="s">
        <v>257</v>
      </c>
      <c r="B483">
        <v>1</v>
      </c>
      <c r="I483" s="57"/>
    </row>
    <row r="484" spans="1:9" x14ac:dyDescent="0.2">
      <c r="A484" s="56" t="s">
        <v>258</v>
      </c>
      <c r="B484">
        <v>5</v>
      </c>
      <c r="I484" s="57"/>
    </row>
    <row r="485" spans="1:9" x14ac:dyDescent="0.2">
      <c r="A485" s="56" t="s">
        <v>259</v>
      </c>
      <c r="B485">
        <v>13</v>
      </c>
      <c r="I485" s="57"/>
    </row>
    <row r="486" spans="1:9" x14ac:dyDescent="0.2">
      <c r="A486" s="56" t="s">
        <v>260</v>
      </c>
      <c r="B486">
        <v>4</v>
      </c>
      <c r="I486" s="57"/>
    </row>
    <row r="487" spans="1:9" x14ac:dyDescent="0.2">
      <c r="A487" s="56" t="s">
        <v>261</v>
      </c>
      <c r="B487">
        <v>3</v>
      </c>
      <c r="I487" s="57"/>
    </row>
    <row r="488" spans="1:9" x14ac:dyDescent="0.2">
      <c r="A488" s="56" t="s">
        <v>262</v>
      </c>
      <c r="B488">
        <v>24</v>
      </c>
      <c r="I488" s="57"/>
    </row>
    <row r="489" spans="1:9" x14ac:dyDescent="0.2">
      <c r="A489" s="56" t="s">
        <v>263</v>
      </c>
      <c r="B489">
        <v>23</v>
      </c>
      <c r="I489" s="57"/>
    </row>
    <row r="490" spans="1:9" x14ac:dyDescent="0.2">
      <c r="A490" s="56" t="s">
        <v>264</v>
      </c>
      <c r="B490">
        <v>15</v>
      </c>
      <c r="I490" s="57"/>
    </row>
    <row r="491" spans="1:9" x14ac:dyDescent="0.2">
      <c r="A491" s="56" t="s">
        <v>265</v>
      </c>
      <c r="B491">
        <v>16</v>
      </c>
      <c r="I491" s="57"/>
    </row>
    <row r="492" spans="1:9" x14ac:dyDescent="0.2">
      <c r="A492" s="56" t="s">
        <v>266</v>
      </c>
      <c r="B492">
        <v>17</v>
      </c>
      <c r="I492" s="57"/>
    </row>
    <row r="493" spans="1:9" x14ac:dyDescent="0.2">
      <c r="A493" t="s">
        <v>278</v>
      </c>
      <c r="B493">
        <v>2</v>
      </c>
      <c r="I493" s="57"/>
    </row>
    <row r="494" spans="1:9" x14ac:dyDescent="0.2">
      <c r="A494" s="56" t="s">
        <v>277</v>
      </c>
      <c r="B494">
        <v>8</v>
      </c>
      <c r="I494" s="57"/>
    </row>
    <row r="495" spans="1:9" ht="13.5" thickBot="1" x14ac:dyDescent="0.25">
      <c r="A495" s="60"/>
      <c r="B495" s="61"/>
      <c r="C495" s="318"/>
      <c r="D495" s="61"/>
      <c r="E495" s="61"/>
      <c r="F495" s="61"/>
      <c r="G495" s="61"/>
      <c r="H495" s="61"/>
      <c r="I495" s="62"/>
    </row>
  </sheetData>
  <sheetProtection selectLockedCells="1"/>
  <mergeCells count="2">
    <mergeCell ref="E5:H5"/>
    <mergeCell ref="A1:I1"/>
  </mergeCells>
  <phoneticPr fontId="6" type="noConversion"/>
  <pageMargins left="0.75" right="0.75" top="1" bottom="1" header="0.5" footer="0.5"/>
  <pageSetup orientation="portrait" r:id="rId1"/>
  <headerFooter alignWithMargins="0"/>
  <ignoredErrors>
    <ignoredError sqref="B291" 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B9"/>
  <sheetViews>
    <sheetView zoomScaleNormal="100" workbookViewId="0">
      <selection activeCell="E5" sqref="E5"/>
    </sheetView>
  </sheetViews>
  <sheetFormatPr defaultRowHeight="12.75" x14ac:dyDescent="0.2"/>
  <cols>
    <col min="1" max="1" width="10.5703125" customWidth="1"/>
    <col min="2" max="2" width="133.85546875" customWidth="1"/>
  </cols>
  <sheetData>
    <row r="2" spans="1:2" x14ac:dyDescent="0.2">
      <c r="A2" t="str">
        <f>IF(DITHER=1, "SCH_WITH_DITH", "SCH_NO_DITH")</f>
        <v>SCH_NO_DITH</v>
      </c>
    </row>
    <row r="5" spans="1:2" ht="393" customHeight="1" x14ac:dyDescent="0.2">
      <c r="B5" s="599"/>
    </row>
    <row r="6" spans="1:2" ht="12" customHeight="1" x14ac:dyDescent="0.2">
      <c r="B6" s="599"/>
    </row>
    <row r="7" spans="1:2" ht="34.5" customHeight="1" x14ac:dyDescent="0.2"/>
    <row r="8" spans="1:2" ht="393" customHeight="1" x14ac:dyDescent="0.2">
      <c r="B8" s="599"/>
    </row>
    <row r="9" spans="1:2" x14ac:dyDescent="0.2">
      <c r="B9" s="599"/>
    </row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/>
  <dimension ref="A2:B7"/>
  <sheetViews>
    <sheetView zoomScaleNormal="100" workbookViewId="0">
      <selection activeCell="B5" sqref="B5"/>
    </sheetView>
  </sheetViews>
  <sheetFormatPr defaultRowHeight="12.75" x14ac:dyDescent="0.2"/>
  <cols>
    <col min="1" max="1" width="10.5703125" customWidth="1"/>
    <col min="2" max="2" width="126" customWidth="1"/>
  </cols>
  <sheetData>
    <row r="2" spans="1:2" x14ac:dyDescent="0.2">
      <c r="A2" t="str">
        <f>IF(PLOT_TYPE=1, "EFF_IOUT", "EFF_VIN")</f>
        <v>EFF_IOUT</v>
      </c>
    </row>
    <row r="5" spans="1:2" ht="409.5" customHeight="1" x14ac:dyDescent="0.2">
      <c r="B5" s="599"/>
    </row>
    <row r="7" spans="1:2" ht="409.5" customHeight="1" x14ac:dyDescent="0.2">
      <c r="B7" s="599"/>
    </row>
  </sheetData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2">
    <tabColor rgb="FF92D050"/>
  </sheetPr>
  <dimension ref="A1:CD235"/>
  <sheetViews>
    <sheetView topLeftCell="F1" zoomScaleNormal="100" workbookViewId="0">
      <pane ySplit="8" topLeftCell="A9" activePane="bottomLeft" state="frozen"/>
      <selection pane="bottomLeft" activeCell="J97" sqref="J97"/>
    </sheetView>
  </sheetViews>
  <sheetFormatPr defaultRowHeight="12.75" x14ac:dyDescent="0.2"/>
  <cols>
    <col min="1" max="1" width="19.85546875" customWidth="1"/>
    <col min="2" max="2" width="13.140625" bestFit="1" customWidth="1"/>
    <col min="4" max="4" width="71.5703125" customWidth="1"/>
    <col min="6" max="6" width="9.140625" customWidth="1"/>
    <col min="7" max="7" width="6.85546875" customWidth="1"/>
    <col min="8" max="8" width="9.140625" style="609"/>
    <col min="9" max="9" width="11" customWidth="1"/>
    <col min="10" max="10" width="6.7109375" customWidth="1"/>
    <col min="11" max="11" width="5.85546875" customWidth="1"/>
    <col min="12" max="13" width="7.140625" customWidth="1"/>
    <col min="14" max="14" width="10.7109375" style="386" customWidth="1"/>
    <col min="15" max="15" width="11.42578125" style="386" customWidth="1"/>
    <col min="16" max="16" width="8.85546875" style="4" customWidth="1"/>
    <col min="17" max="17" width="8" style="4" customWidth="1"/>
    <col min="18" max="18" width="10.28515625" style="335" bestFit="1" customWidth="1"/>
    <col min="19" max="19" width="8" customWidth="1"/>
    <col min="20" max="20" width="9.28515625" customWidth="1"/>
    <col min="21" max="21" width="10.28515625" style="4" customWidth="1"/>
    <col min="22" max="22" width="9.85546875" customWidth="1"/>
    <col min="23" max="23" width="10.7109375" customWidth="1"/>
    <col min="24" max="24" width="9.7109375" style="335" customWidth="1"/>
    <col min="25" max="25" width="10.5703125" customWidth="1"/>
    <col min="27" max="28" width="8.5703125" customWidth="1"/>
    <col min="29" max="29" width="10" customWidth="1"/>
    <col min="30" max="30" width="8" customWidth="1"/>
    <col min="31" max="31" width="9.85546875" customWidth="1"/>
    <col min="32" max="32" width="8.85546875" customWidth="1"/>
    <col min="33" max="33" width="10.5703125" bestFit="1" customWidth="1"/>
    <col min="34" max="34" width="11.140625" customWidth="1"/>
    <col min="35" max="35" width="10.28515625" customWidth="1"/>
    <col min="36" max="37" width="8.5703125" customWidth="1"/>
    <col min="38" max="38" width="10" customWidth="1"/>
    <col min="39" max="39" width="8" customWidth="1"/>
    <col min="40" max="40" width="9.85546875" customWidth="1"/>
    <col min="41" max="41" width="8.85546875" customWidth="1"/>
    <col min="42" max="42" width="10.5703125" bestFit="1" customWidth="1"/>
    <col min="43" max="43" width="11.140625" customWidth="1"/>
    <col min="44" max="44" width="10.28515625" customWidth="1"/>
    <col min="45" max="45" width="12.28515625" style="335" customWidth="1"/>
    <col min="46" max="46" width="13.7109375" customWidth="1"/>
    <col min="47" max="47" width="12" style="335" customWidth="1"/>
    <col min="48" max="48" width="10.7109375" customWidth="1"/>
    <col min="49" max="49" width="11" customWidth="1"/>
    <col min="50" max="50" width="9.28515625" customWidth="1"/>
    <col min="51" max="52" width="10.42578125" customWidth="1"/>
    <col min="54" max="54" width="8.42578125" style="4" customWidth="1"/>
    <col min="55" max="55" width="7.28515625" customWidth="1"/>
    <col min="56" max="56" width="10.140625" style="9" customWidth="1"/>
    <col min="57" max="57" width="10.42578125" style="406" customWidth="1"/>
    <col min="58" max="58" width="10.5703125" style="406" customWidth="1"/>
    <col min="59" max="59" width="3.28515625" customWidth="1"/>
    <col min="60" max="60" width="9.28515625" style="386" customWidth="1"/>
    <col min="61" max="61" width="9.140625" style="335"/>
    <col min="62" max="62" width="10.28515625" style="335" customWidth="1"/>
    <col min="63" max="63" width="8.85546875" style="335" customWidth="1"/>
    <col min="64" max="64" width="7.85546875" customWidth="1"/>
    <col min="68" max="68" width="28.42578125" customWidth="1"/>
    <col min="71" max="71" width="12.42578125" bestFit="1" customWidth="1"/>
  </cols>
  <sheetData>
    <row r="1" spans="1:82" ht="12.75" customHeight="1" x14ac:dyDescent="0.2">
      <c r="A1" s="714" t="s">
        <v>888</v>
      </c>
      <c r="B1" s="714"/>
      <c r="C1" s="714"/>
      <c r="D1" s="714"/>
    </row>
    <row r="2" spans="1:82" ht="12.75" customHeight="1" x14ac:dyDescent="0.2">
      <c r="A2" s="714"/>
      <c r="B2" s="714"/>
      <c r="C2" s="714"/>
      <c r="D2" s="714"/>
      <c r="H2" s="615" t="e">
        <f>BD9</f>
        <v>#VALUE!</v>
      </c>
      <c r="I2" s="118" t="s">
        <v>923</v>
      </c>
      <c r="AI2" s="118"/>
      <c r="AJ2" s="118"/>
    </row>
    <row r="3" spans="1:82" ht="12.75" customHeight="1" x14ac:dyDescent="0.2">
      <c r="A3" s="714"/>
      <c r="B3" s="714"/>
      <c r="C3" s="714"/>
      <c r="D3" s="714"/>
      <c r="H3" s="615" t="e">
        <f>BD109</f>
        <v>#VALUE!</v>
      </c>
      <c r="I3" s="118" t="s">
        <v>925</v>
      </c>
      <c r="AI3" s="118"/>
      <c r="AJ3" s="118"/>
    </row>
    <row r="4" spans="1:82" ht="12.75" customHeight="1" x14ac:dyDescent="0.2">
      <c r="A4" s="714"/>
      <c r="B4" s="714"/>
      <c r="C4" s="714"/>
      <c r="D4" s="714"/>
      <c r="H4" s="615" t="e">
        <f>BD209</f>
        <v>#VALUE!</v>
      </c>
      <c r="I4" s="118" t="s">
        <v>924</v>
      </c>
      <c r="AI4" s="118"/>
      <c r="AJ4" s="118"/>
    </row>
    <row r="5" spans="1:82" x14ac:dyDescent="0.2">
      <c r="A5" s="10"/>
      <c r="B5" s="11"/>
      <c r="C5" s="6"/>
      <c r="D5" s="6"/>
    </row>
    <row r="6" spans="1:82" ht="13.5" customHeight="1" thickBot="1" x14ac:dyDescent="0.25">
      <c r="A6" s="715" t="s">
        <v>682</v>
      </c>
      <c r="B6" s="715"/>
      <c r="C6" s="715"/>
      <c r="D6" s="715"/>
      <c r="BU6">
        <v>80</v>
      </c>
      <c r="BV6">
        <v>100</v>
      </c>
      <c r="BW6">
        <v>120</v>
      </c>
      <c r="BX6">
        <v>140</v>
      </c>
      <c r="BY6">
        <v>160</v>
      </c>
      <c r="BZ6">
        <v>180</v>
      </c>
      <c r="CA6">
        <v>20</v>
      </c>
      <c r="CB6">
        <v>30</v>
      </c>
      <c r="CC6">
        <v>40</v>
      </c>
      <c r="CD6">
        <v>50</v>
      </c>
    </row>
    <row r="7" spans="1:82" ht="13.5" thickBot="1" x14ac:dyDescent="0.25">
      <c r="A7" s="715"/>
      <c r="B7" s="715"/>
      <c r="C7" s="715"/>
      <c r="D7" s="715"/>
      <c r="G7" s="711" t="s">
        <v>903</v>
      </c>
      <c r="H7" s="712"/>
      <c r="I7" s="712"/>
      <c r="J7" s="712"/>
      <c r="K7" s="712"/>
      <c r="L7" s="712"/>
      <c r="M7" s="712"/>
      <c r="N7" s="712"/>
      <c r="O7" s="712"/>
      <c r="P7" s="713"/>
      <c r="Q7" s="711" t="s">
        <v>694</v>
      </c>
      <c r="R7" s="712"/>
      <c r="S7" s="712"/>
      <c r="T7" s="713"/>
      <c r="U7" s="716" t="s">
        <v>27</v>
      </c>
      <c r="V7" s="717"/>
      <c r="W7" s="718"/>
      <c r="X7" s="711" t="s">
        <v>61</v>
      </c>
      <c r="Y7" s="712"/>
      <c r="Z7" s="713"/>
      <c r="AA7" s="711" t="s">
        <v>898</v>
      </c>
      <c r="AB7" s="712"/>
      <c r="AC7" s="712"/>
      <c r="AD7" s="712"/>
      <c r="AE7" s="713"/>
      <c r="AF7" s="711" t="s">
        <v>899</v>
      </c>
      <c r="AG7" s="712"/>
      <c r="AH7" s="712"/>
      <c r="AI7" s="713"/>
      <c r="AJ7" s="711" t="s">
        <v>900</v>
      </c>
      <c r="AK7" s="712"/>
      <c r="AL7" s="712"/>
      <c r="AM7" s="712"/>
      <c r="AN7" s="713"/>
      <c r="AO7" s="711" t="s">
        <v>901</v>
      </c>
      <c r="AP7" s="712"/>
      <c r="AQ7" s="712"/>
      <c r="AR7" s="713"/>
      <c r="AS7" s="510" t="s">
        <v>893</v>
      </c>
      <c r="AT7" s="508" t="s">
        <v>237</v>
      </c>
      <c r="AU7" s="511" t="s">
        <v>656</v>
      </c>
      <c r="AV7" s="509" t="s">
        <v>714</v>
      </c>
      <c r="AW7" s="509" t="s">
        <v>711</v>
      </c>
      <c r="AX7" s="719" t="s">
        <v>701</v>
      </c>
      <c r="AY7" s="720"/>
      <c r="AZ7" s="720"/>
      <c r="BA7" s="721"/>
      <c r="BB7" s="711" t="s">
        <v>709</v>
      </c>
      <c r="BC7" s="712"/>
      <c r="BD7" s="712"/>
      <c r="BE7" s="712"/>
      <c r="BF7" s="712"/>
      <c r="BG7" s="605"/>
      <c r="BH7" s="722" t="s">
        <v>710</v>
      </c>
      <c r="BI7" s="722"/>
      <c r="BJ7" s="722"/>
      <c r="BK7" s="722"/>
      <c r="BL7" s="722"/>
    </row>
    <row r="8" spans="1:82" ht="51.75" thickBot="1" x14ac:dyDescent="0.45">
      <c r="A8" s="13" t="s">
        <v>112</v>
      </c>
      <c r="B8" s="13"/>
      <c r="C8" s="13"/>
      <c r="D8" s="6"/>
      <c r="G8" s="493" t="s">
        <v>57</v>
      </c>
      <c r="H8" s="608" t="s">
        <v>4</v>
      </c>
      <c r="I8" s="600" t="s">
        <v>902</v>
      </c>
      <c r="J8" s="600" t="s">
        <v>904</v>
      </c>
      <c r="K8" s="494" t="s">
        <v>6</v>
      </c>
      <c r="L8" s="494" t="s">
        <v>412</v>
      </c>
      <c r="M8" s="494" t="s">
        <v>912</v>
      </c>
      <c r="N8" s="505" t="s">
        <v>909</v>
      </c>
      <c r="O8" s="611" t="s">
        <v>910</v>
      </c>
      <c r="P8" s="602" t="s">
        <v>695</v>
      </c>
      <c r="Q8" s="601" t="s">
        <v>897</v>
      </c>
      <c r="R8" s="507" t="s">
        <v>91</v>
      </c>
      <c r="S8" s="494" t="s">
        <v>896</v>
      </c>
      <c r="T8" s="495" t="s">
        <v>747</v>
      </c>
      <c r="U8" s="601" t="s">
        <v>697</v>
      </c>
      <c r="V8" s="496" t="s">
        <v>696</v>
      </c>
      <c r="W8" s="495" t="s">
        <v>746</v>
      </c>
      <c r="X8" s="506" t="s">
        <v>698</v>
      </c>
      <c r="Y8" s="494" t="s">
        <v>699</v>
      </c>
      <c r="Z8" s="495" t="s">
        <v>744</v>
      </c>
      <c r="AA8" s="493" t="s">
        <v>88</v>
      </c>
      <c r="AB8" s="494" t="s">
        <v>700</v>
      </c>
      <c r="AC8" s="494" t="s">
        <v>889</v>
      </c>
      <c r="AD8" s="497" t="s">
        <v>238</v>
      </c>
      <c r="AE8" s="495" t="s">
        <v>890</v>
      </c>
      <c r="AF8" s="493" t="s">
        <v>88</v>
      </c>
      <c r="AG8" s="494" t="s">
        <v>700</v>
      </c>
      <c r="AH8" s="494" t="s">
        <v>703</v>
      </c>
      <c r="AI8" s="498" t="s">
        <v>891</v>
      </c>
      <c r="AJ8" s="493" t="s">
        <v>88</v>
      </c>
      <c r="AK8" s="494" t="s">
        <v>700</v>
      </c>
      <c r="AL8" s="494" t="s">
        <v>889</v>
      </c>
      <c r="AM8" s="497" t="s">
        <v>238</v>
      </c>
      <c r="AN8" s="495" t="s">
        <v>890</v>
      </c>
      <c r="AO8" s="493" t="s">
        <v>88</v>
      </c>
      <c r="AP8" s="494" t="s">
        <v>700</v>
      </c>
      <c r="AQ8" s="494" t="s">
        <v>703</v>
      </c>
      <c r="AR8" s="498" t="s">
        <v>891</v>
      </c>
      <c r="AS8" s="507" t="s">
        <v>892</v>
      </c>
      <c r="AT8" s="495" t="s">
        <v>703</v>
      </c>
      <c r="AU8" s="512" t="s">
        <v>97</v>
      </c>
      <c r="AV8" s="513" t="s">
        <v>713</v>
      </c>
      <c r="AW8" s="513" t="s">
        <v>712</v>
      </c>
      <c r="AX8" s="499" t="s">
        <v>704</v>
      </c>
      <c r="AY8" s="500" t="s">
        <v>166</v>
      </c>
      <c r="AZ8" s="501" t="s">
        <v>240</v>
      </c>
      <c r="BA8" s="502" t="s">
        <v>702</v>
      </c>
      <c r="BB8" s="503" t="s">
        <v>58</v>
      </c>
      <c r="BC8" s="494" t="s">
        <v>394</v>
      </c>
      <c r="BD8" s="504" t="s">
        <v>706</v>
      </c>
      <c r="BE8" s="613" t="s">
        <v>894</v>
      </c>
      <c r="BF8" s="613" t="s">
        <v>895</v>
      </c>
      <c r="BH8" s="606" t="s">
        <v>705</v>
      </c>
      <c r="BI8" s="607" t="s">
        <v>745</v>
      </c>
      <c r="BJ8" s="607" t="s">
        <v>914</v>
      </c>
      <c r="BK8" s="607" t="s">
        <v>891</v>
      </c>
      <c r="BL8" s="607" t="s">
        <v>870</v>
      </c>
      <c r="BM8" s="607"/>
      <c r="BS8" t="s">
        <v>132</v>
      </c>
      <c r="BU8" t="s">
        <v>124</v>
      </c>
      <c r="BV8" t="s">
        <v>125</v>
      </c>
      <c r="BW8" t="s">
        <v>126</v>
      </c>
      <c r="BX8" t="s">
        <v>127</v>
      </c>
      <c r="BY8" t="s">
        <v>128</v>
      </c>
      <c r="BZ8" t="s">
        <v>129</v>
      </c>
      <c r="CA8" t="s">
        <v>133</v>
      </c>
      <c r="CB8" t="s">
        <v>134</v>
      </c>
      <c r="CC8" t="s">
        <v>135</v>
      </c>
      <c r="CD8" t="s">
        <v>136</v>
      </c>
    </row>
    <row r="9" spans="1:82" x14ac:dyDescent="0.2">
      <c r="A9" s="14" t="s">
        <v>59</v>
      </c>
      <c r="B9" s="15" t="s">
        <v>115</v>
      </c>
      <c r="C9" s="16" t="s">
        <v>80</v>
      </c>
      <c r="D9" s="17" t="s">
        <v>111</v>
      </c>
      <c r="G9">
        <v>0</v>
      </c>
      <c r="H9" s="610">
        <f t="shared" ref="H9:H72" si="0">VIN_min+(VIN_max-VIN_min)*(G9/200)</f>
        <v>9</v>
      </c>
      <c r="I9" s="4" t="str">
        <f t="shared" ref="I9:I72" si="1">IF(H9&gt;VIN_BB_to_buck, "BUCK", IF(H9&lt;VIN_boost_to_BB,"BOOST","BUCK-BST"))</f>
        <v>BOOST</v>
      </c>
      <c r="J9">
        <f>IF(I9="BOOST",2, IF(I9="BUCK", 1,3))</f>
        <v>2</v>
      </c>
      <c r="K9">
        <f t="shared" ref="K9:K72" si="2">Iout</f>
        <v>20</v>
      </c>
      <c r="L9" s="4">
        <f t="shared" ref="L9:L72" si="3">Vout*K9/(H9*Efficiency)</f>
        <v>31.60493827160494</v>
      </c>
      <c r="M9" s="4">
        <f t="shared" ref="M9:M72" si="4">Iout/(1-O9)</f>
        <v>28.819722153145104</v>
      </c>
      <c r="N9" s="386">
        <f t="shared" ref="N9:N72" si="5">CHOOSE(J9,(Vout+(Rdson2+Rs+Rdcr)*K9)/(H9+(Rs+Rdson2-Rdson1)*K9),1,IF(H9&lt;Vout,D_max_buck_BB,Vout/H9*(1-D_min_boost_exitBB_to_buck)))</f>
        <v>1</v>
      </c>
      <c r="O9" s="386">
        <f>CHOOSE(J9,0,(Vout+(Rdson3+Rdcr)*L9-H9)/(Vout+(Rdson3-Rdson4-Rs)*L9), IF(H9&gt;Vout,D_min_boost_exitBB_to_buck, (Vout-H9*D_max_buck_BB)/Vout))</f>
        <v>0.30603078358208963</v>
      </c>
      <c r="P9" s="4">
        <f t="shared" ref="P9:P72" si="6">MAX(0, CHOOSE(J9, (H9-(Rdson1+Rdcr)*K9-Vout)*N9/(Fsw*Lf), (H9-(Rdson4+Rdcr+Rs)*L9)*O9/(Fsw*Lf), IF(H9&lt;Vout, (H9-(Rdson4+Rdcr+Rs)*L9)*O9/(0.5*Fsw*Lf),(H9-(Rdson1+Rdcr)*K9-Vout)*N9/(0.5*Fsw*Lf))))</f>
        <v>5.3965513714759554</v>
      </c>
      <c r="Q9" s="386">
        <f t="shared" ref="Q9:Q72" si="7">CHOOSE(J9, SQRT(K9^2+(P9^2)/12), SQRT(L9^2+(P9^2)/12), SQRT(M9^2+(P9^2)/12))</f>
        <v>31.643309251362659</v>
      </c>
      <c r="R9" s="386">
        <f t="shared" ref="R9:R73" si="8">(Q9^2*Rdcr*(1+Ltc*Ta-Ltc*25))/(1-Q9^2*Rdcr*Ltc*ThetaCa)</f>
        <v>2.8080840181144762</v>
      </c>
      <c r="S9" s="386">
        <f>ABS(7.759*10^-3*Fsw^0.9458*(0.00787*P9)^2.304)</f>
        <v>0.68280892095603596</v>
      </c>
      <c r="T9" s="386">
        <f>R9+S9</f>
        <v>3.4908929390705121</v>
      </c>
      <c r="U9" s="4">
        <f t="shared" ref="U9:U72" si="9">IF(H9&gt;Vout, P9/SQRT(12), SQRT(O9/(1-O9))*SQRT(K9^2+(P9^2)/12))</f>
        <v>13.321586655651121</v>
      </c>
      <c r="V9" s="386">
        <f t="shared" ref="V9:V73" si="10">RCoutEsr*U9^2</f>
        <v>0.35492934204804405</v>
      </c>
      <c r="W9" s="386">
        <f>V9</f>
        <v>0.35492934204804405</v>
      </c>
      <c r="X9" s="386">
        <f t="shared" ref="X9:X72" si="11">IF(H9&gt;Vout, SQRT(N9*(1-N9))*SQRT(K9^2+(P9^2)/12), P9/SQRT(12))</f>
        <v>1.5578501935086435</v>
      </c>
      <c r="Y9" s="386">
        <f t="shared" ref="Y9:Y73" si="12">RCinEsr*X9^2</f>
        <v>4.8537944508298368E-3</v>
      </c>
      <c r="Z9" s="603">
        <f>Y9</f>
        <v>4.8537944508298368E-3</v>
      </c>
      <c r="AA9" s="386">
        <f t="shared" ref="AA9:AA72" si="13">CHOOSE(J9, SQRT(N9)*SQRT(K9^2+(P9^2)/12), SQRT(L9^2+(P9^2)/12), SQRT(N9)*SQRT(M9^2+(P9^2)/12))</f>
        <v>31.643309251362659</v>
      </c>
      <c r="AB9" s="386">
        <f t="shared" ref="AB9:AB72" si="14">Rdson1*AA9^2</f>
        <v>1.9024681387170099</v>
      </c>
      <c r="AC9" s="386">
        <f t="shared" ref="AC9:AC72" si="15">CHOOSE(J9, (H9*K9/2)*(Fsw)*(Tr_buck+Tf_buck), 0, (H9*M9/2)*(Fsw/2)*(Tr_buck+Tf_buck))</f>
        <v>0</v>
      </c>
      <c r="AD9">
        <f t="shared" ref="AD9:AD72" si="16">IF(H9&gt;Vout, IF(K9&gt;P9/2,0,ABS(K9-P9/2)*Vsd_Q1*Deadtime*Fsw),0)</f>
        <v>0</v>
      </c>
      <c r="AE9" s="386">
        <f t="shared" ref="AE9:AE72" si="17">(AD9+AC9+AB9*(1+RdsonTopTc*Ta-RdsonTopTc*25))/(1-AB9*RdsonTopTc*ThetaJA_Q1)</f>
        <v>3.0709420014311206</v>
      </c>
      <c r="AF9" s="386">
        <f t="shared" ref="AF9:AF72" si="18">CHOOSE(J9, SQRT((1-N9))*SQRT(K9^2+(P9^2)/12), 0, SQRT((1-N9))*SQRT(M9^2+(P9^2)/12))</f>
        <v>0</v>
      </c>
      <c r="AG9" s="386">
        <f t="shared" ref="AG9:AG72" si="19">Rdson2*AF9^2</f>
        <v>0</v>
      </c>
      <c r="AH9" s="386">
        <f t="shared" ref="AH9:AH72" si="20">CHOOSE(J9, IF(K9&lt;P9/2,Deadtime*Fsw*IF(VfdSky_Q2&gt;0,0,Vsd_Q2)*(K9+P9/2),2*Deadtime*Fsw*IF(VfdSky_Q2&gt;0,0,Vsd_Q2)*K9),0, IF(K9&lt;P9/2,Deadtime*Fsw/2*IF(VfdSky_Q2&gt;0,0,Vsd_Q2)*(K9+P9/2),2*Deadtime*Fsw/2*IF(VfdSky_Q2&gt;0,0,Vsd_Q2)*K9))</f>
        <v>0</v>
      </c>
      <c r="AI9" s="386">
        <f t="shared" ref="AI9:AI72" si="21">(AH9+AG9*(1+RdsonBotTc*Ta-RdsonBotTc*25))/(1-AG9*RdsonBotTc*ThetaJA_Q2)</f>
        <v>0</v>
      </c>
      <c r="AJ9" s="386">
        <f t="shared" ref="AJ9:AJ72" si="22">CHOOSE(J9, 0, SQRT(O9)*SQRT(L9^2+(P9^2)/12), SQRT(O9)*SQRT(M9^2+(P9^2)/12))</f>
        <v>17.505094224426969</v>
      </c>
      <c r="AK9" s="386">
        <f t="shared" ref="AK9:AK72" si="23">Rdson4*AJ9^2</f>
        <v>0.15321416190303322</v>
      </c>
      <c r="AL9" s="386">
        <f t="shared" ref="AL9:AL72" si="24">CHOOSE(J9, 0, (Vout*L9/2)*(Fsw)*(Tr_boost+Tf_boost), (Vout*Iout/2)*(Fsw/2)*(Tr_boost+Tf_boost))</f>
        <v>3.5593772340877194</v>
      </c>
      <c r="AM9">
        <f t="shared" ref="AM9:AM72" si="25">IF(H9&gt;Vout, 0, IF(L9&gt;P9/2,0,ABS(L9-P9/2)*Vsd_Q4*Deadtime*Fsw))</f>
        <v>0</v>
      </c>
      <c r="AN9" s="386">
        <f t="shared" ref="AN9:AN72" si="26">(AM9+AL9+AK9*(1+RdsonTopTc*Ta-RdsonTopTc*25))/(1-AK9*RdsonTopTc*ThetaJA_Q4)</f>
        <v>3.8299519723038329</v>
      </c>
      <c r="AO9" s="386">
        <f t="shared" ref="AO9:AO72" si="27">CHOOSE(J9, SQRT(Iout^2+(P9^2)/12), SQRT(1-O9)*SQRT(L9^2+(P9^2)/12), SQRT(1-O9)*SQRT(M9^2+(P9^2)/12))</f>
        <v>26.360400159544376</v>
      </c>
      <c r="AP9" s="386">
        <f t="shared" ref="AP9:AP72" si="28">Rdson3*AO9^2</f>
        <v>0.34743534828565359</v>
      </c>
      <c r="AQ9" s="386">
        <f t="shared" ref="AQ9:AQ72" si="29">CHOOSE(J9, 0, IF(L9&lt;P9/2,Deadtime*Fsw*IF(VfdSky_Q3&gt;0,0,Vsd_Q3)*(L9+P9/2), 2*Deadtime*Fsw*IF(VfdSky_Q3&gt;0,0,Vsd_Q3)*L9), IF(L9&lt;P9/2,Deadtime*Fsw/2*IF(VfdSky_Q3&gt;0,0,Vsd_Q3)*(L9+P9/2), 2*Deadtime*Fsw/2*IF(VfdSky_Q3&gt;0,0,Vsd_Q3)*L9))</f>
        <v>0</v>
      </c>
      <c r="AR9" s="386">
        <f t="shared" ref="AR9:AR72" si="30">(AQ9+AP9*(1+RdsonBotTc*Ta-RdsonBotTc*25))/(1-AP9*RdsonBotTc*ThetaJA_Q3)</f>
        <v>0.37338046249140555</v>
      </c>
      <c r="AS9" s="386">
        <f t="shared" ref="AS9:AS72" si="31">CHOOSE(J9, Rdson3*Q9^2, Rdson1*Q9^2, 0)</f>
        <v>1.9024681387170099</v>
      </c>
      <c r="AT9" s="386">
        <f t="shared" ref="AT9:AT72" si="32">CHOOSE(J9, 2*Deadtime*Fsw*IF(VfdSky_Q2&gt;0,VfdSky_Q2,0)*K9, 2*Deadtime*Fsw*IF(VfdSky_Q3&gt;0,VfdSky_Q3,0)*L9, 2*Deadtime*Fsw/2*IF(VfdSky_Q2&gt;0,VfdSky_Q2,0)*K9+2*Deadtime*Fsw/2*IF(VfdSky_Q3&gt;0,VfdSky_Q3,0)*L9)</f>
        <v>0.30814814814814817</v>
      </c>
      <c r="AU9" s="386">
        <f t="shared" ref="AU9:AU72" si="33">CHOOSE(J9, IF(QrrSky_Q2&gt;0,QrrSky_Q2,Qrr_Q2)*Fsw*(H9-K9*Rdson1), IF(QrrSky_Q3&gt;0,QrrSky_Q3,Qrr_Q3)*Fsw*Vout,  IF(QrrSky_Q2&gt;0,QrrSky_Q2,Qrr_Q2)*Fsw/2*(H9-K9*Rdson1)+IF(QrrSky_Q3&gt;0,QrrSky_Q3,Qrr_Q3)*Fsw/2*Vout)</f>
        <v>0.18560000000000001</v>
      </c>
      <c r="AV9" s="386">
        <f t="shared" ref="AV9:AV72" si="34">CHOOSE(J9, Rs*AF9^2, Rs*AJ9^2, Rs*(AF9^2+AJ9^2))</f>
        <v>0.91928497141819931</v>
      </c>
      <c r="AW9" s="386" t="e">
        <f t="shared" ref="AW9:AW72" si="35">Rshunt_std/1000*Iout^2</f>
        <v>#VALUE!</v>
      </c>
      <c r="AX9" s="386">
        <f t="shared" ref="AX9:AX72" si="36">IF(Vout&gt;8, Iq*Vout, Iq*H9)</f>
        <v>3.8400000000000004E-2</v>
      </c>
      <c r="AY9" s="386">
        <f t="shared" ref="AY9:AY72" si="37">CHOOSE(J9, (Qg_Q1+Qg_Q2)*Fsw, (Qg_Q3+Qg_Q4)*Fsw, (Qg_Q1+Qg_Q2+Qg_Q3+Qg_Q4)*Fsw/2)*IF(Vout&gt;8, Vout, H9)</f>
        <v>0.62720000000000009</v>
      </c>
      <c r="AZ9" s="386">
        <f t="shared" ref="AZ9:AZ72" si="38">(Vin-Vdd)*Fsw*(Qg_Q1+Qg_Q2)+(RdsonDRT+RdsonDRT2)*Fsw*Qg_Q1*Vdd/(RdsonDRT+2*Rgate1+RdsonDRT2)+(RdsonDRB+RdsonDRB2)*Fsw*Qg_Q2*Vdd/(RdsonDRB+2*Rgate2+RdsonDRB2)</f>
        <v>0.47314285714285709</v>
      </c>
      <c r="BA9" s="386">
        <f>SUM(AX9:AY9)</f>
        <v>0.66560000000000008</v>
      </c>
      <c r="BB9" s="386" t="e">
        <f>SUM(T9,W9,Z9,AE9,AI9,AN9,AR9, AT9,AU9,BA9,AV9,AW9)</f>
        <v>#VALUE!</v>
      </c>
      <c r="BC9">
        <f t="shared" ref="BC9:BC72" si="39">Vout*K9</f>
        <v>256</v>
      </c>
      <c r="BD9" s="604" t="e">
        <f>BC9/(BC9+BB9)</f>
        <v>#VALUE!</v>
      </c>
      <c r="BE9" s="614">
        <f t="shared" ref="BE9:BE72" si="40">IF(H9&gt;Vout,ThetaJA_Q1*(AE9+AU9),ThetaJA_Q4*(AN9+AU9))</f>
        <v>200.77759861519166</v>
      </c>
      <c r="BF9" s="614">
        <f t="shared" ref="BF9:BF72" si="41">IF(H9&gt;Vout, AI9*ThetaJA_Q2, ThetaJA_Q3*AR9)</f>
        <v>18.669023124570277</v>
      </c>
      <c r="BH9" s="4" t="e">
        <f>BD9*100</f>
        <v>#VALUE!</v>
      </c>
      <c r="BI9" s="386">
        <f>T9</f>
        <v>3.4908929390705121</v>
      </c>
      <c r="BJ9" s="386">
        <f>AE9+AI9+AN9+AR9+AU9</f>
        <v>7.4598744362263592</v>
      </c>
      <c r="BK9" s="386">
        <f>AI9+AU9*0.33</f>
        <v>6.1248000000000011E-2</v>
      </c>
      <c r="BL9" s="386">
        <f>AV9</f>
        <v>0.91928497141819931</v>
      </c>
      <c r="BP9" t="s">
        <v>137</v>
      </c>
      <c r="BQ9" s="18">
        <v>70</v>
      </c>
      <c r="BR9" s="18">
        <v>70</v>
      </c>
      <c r="BS9" s="18">
        <v>70</v>
      </c>
      <c r="BT9" s="19">
        <f>250000*(5-Vdd)*BS9/1000000000+((250000*BS9/1000000000*Vdd)*2.5/(2*4))</f>
        <v>-2.7343749999999972E-3</v>
      </c>
      <c r="BU9">
        <f t="shared" ref="BU9:CD17" si="42">BU$6*$BT9</f>
        <v>-0.21874999999999978</v>
      </c>
      <c r="BV9">
        <f t="shared" si="42"/>
        <v>-0.27343749999999972</v>
      </c>
      <c r="BW9">
        <f t="shared" si="42"/>
        <v>-0.32812499999999967</v>
      </c>
      <c r="BX9">
        <f t="shared" si="42"/>
        <v>-0.38281249999999961</v>
      </c>
      <c r="BY9">
        <f t="shared" si="42"/>
        <v>-0.43749999999999956</v>
      </c>
      <c r="BZ9">
        <f t="shared" si="42"/>
        <v>-0.4921874999999995</v>
      </c>
      <c r="CA9">
        <f t="shared" si="42"/>
        <v>-5.4687499999999944E-2</v>
      </c>
      <c r="CB9">
        <f t="shared" si="42"/>
        <v>-8.2031249999999917E-2</v>
      </c>
      <c r="CC9">
        <f t="shared" si="42"/>
        <v>-0.10937499999999989</v>
      </c>
      <c r="CD9">
        <f t="shared" si="42"/>
        <v>-0.13671874999999986</v>
      </c>
    </row>
    <row r="10" spans="1:82" x14ac:dyDescent="0.2">
      <c r="A10" s="547"/>
      <c r="B10" s="24"/>
      <c r="C10" s="16"/>
      <c r="D10" s="17"/>
      <c r="G10">
        <v>1</v>
      </c>
      <c r="H10" s="610">
        <f t="shared" si="0"/>
        <v>9.1950000000000003</v>
      </c>
      <c r="I10" s="4" t="str">
        <f t="shared" si="1"/>
        <v>BOOST</v>
      </c>
      <c r="J10">
        <f t="shared" ref="J10:J73" si="43">IF(I10="BOOST",2, IF(I10="BUCK", 1,3))</f>
        <v>2</v>
      </c>
      <c r="K10">
        <f t="shared" si="2"/>
        <v>20</v>
      </c>
      <c r="L10" s="4">
        <f t="shared" si="3"/>
        <v>30.934686725877587</v>
      </c>
      <c r="M10" s="4">
        <f t="shared" si="4"/>
        <v>28.188450674805146</v>
      </c>
      <c r="N10" s="386">
        <f t="shared" si="5"/>
        <v>1</v>
      </c>
      <c r="O10" s="386">
        <f t="shared" ref="O10:O41" si="44">CHOOSE(J10,0,(Vout+(Rdson3+Rdcr)*L10-H10)/(Vout+(Rdson3-Rdson4-Rs)*L10),IF(H10&gt;Vout,D_min_boost_exitBB_to_buck, (Vout-H10*D_max_buck_BB)/Vout))</f>
        <v>0.29048956146156663</v>
      </c>
      <c r="P10" s="4">
        <f t="shared" si="6"/>
        <v>5.2380427978107971</v>
      </c>
      <c r="Q10" s="386">
        <f t="shared" si="7"/>
        <v>30.971620351393121</v>
      </c>
      <c r="R10" s="386">
        <f t="shared" si="8"/>
        <v>2.6649890172299018</v>
      </c>
      <c r="S10" s="386">
        <f t="shared" ref="S10:S72" si="45">7.759*10^-3*Fsw^0.9458*(0.00787*P10)^2.304</f>
        <v>0.63748309052080043</v>
      </c>
      <c r="T10" s="386">
        <f t="shared" ref="T10:T73" si="46">R10+S10</f>
        <v>3.3024721077507024</v>
      </c>
      <c r="U10" s="4">
        <f t="shared" si="9"/>
        <v>12.833749535964191</v>
      </c>
      <c r="V10" s="386">
        <f t="shared" si="10"/>
        <v>0.32941025430372217</v>
      </c>
      <c r="W10" s="386">
        <f t="shared" ref="W10:W73" si="47">V10</f>
        <v>0.32941025430372217</v>
      </c>
      <c r="X10" s="386">
        <f t="shared" si="11"/>
        <v>1.5120927096714221</v>
      </c>
      <c r="Y10" s="386">
        <f t="shared" si="12"/>
        <v>4.5728487252829266E-3</v>
      </c>
      <c r="Z10" s="603">
        <f t="shared" ref="Z10:Z73" si="48">Y10</f>
        <v>4.5728487252829266E-3</v>
      </c>
      <c r="AA10" s="386">
        <f t="shared" si="13"/>
        <v>30.971620351393121</v>
      </c>
      <c r="AB10" s="386">
        <f t="shared" si="14"/>
        <v>1.822558407662574</v>
      </c>
      <c r="AC10" s="386">
        <f t="shared" si="15"/>
        <v>0</v>
      </c>
      <c r="AD10">
        <f t="shared" si="16"/>
        <v>0</v>
      </c>
      <c r="AE10" s="386">
        <f t="shared" si="17"/>
        <v>2.8679652397982283</v>
      </c>
      <c r="AF10" s="386">
        <f t="shared" si="18"/>
        <v>0</v>
      </c>
      <c r="AG10" s="386">
        <f t="shared" si="19"/>
        <v>0</v>
      </c>
      <c r="AH10" s="386">
        <f t="shared" si="20"/>
        <v>0</v>
      </c>
      <c r="AI10" s="386">
        <f t="shared" si="21"/>
        <v>0</v>
      </c>
      <c r="AJ10" s="386">
        <f t="shared" si="22"/>
        <v>16.692800095912645</v>
      </c>
      <c r="AK10" s="386">
        <f t="shared" si="23"/>
        <v>0.13932478752105062</v>
      </c>
      <c r="AL10" s="386">
        <f t="shared" si="24"/>
        <v>3.4838928881772131</v>
      </c>
      <c r="AM10">
        <f t="shared" si="25"/>
        <v>0</v>
      </c>
      <c r="AN10" s="386">
        <f t="shared" si="26"/>
        <v>3.7270723894452713</v>
      </c>
      <c r="AO10" s="386">
        <f t="shared" si="27"/>
        <v>26.088152332979185</v>
      </c>
      <c r="AP10" s="386">
        <f t="shared" si="28"/>
        <v>0.34029584607436364</v>
      </c>
      <c r="AQ10" s="386">
        <f t="shared" si="29"/>
        <v>0</v>
      </c>
      <c r="AR10" s="386">
        <f t="shared" si="30"/>
        <v>0.36514748021897098</v>
      </c>
      <c r="AS10" s="386">
        <f t="shared" si="31"/>
        <v>1.822558407662574</v>
      </c>
      <c r="AT10" s="386">
        <f t="shared" si="32"/>
        <v>0.30161319557730648</v>
      </c>
      <c r="AU10" s="386">
        <f t="shared" si="33"/>
        <v>0.18560000000000001</v>
      </c>
      <c r="AV10" s="386">
        <f t="shared" si="34"/>
        <v>0.83594872512630369</v>
      </c>
      <c r="AW10" s="386" t="e">
        <f t="shared" si="35"/>
        <v>#VALUE!</v>
      </c>
      <c r="AX10" s="386">
        <f t="shared" si="36"/>
        <v>3.8400000000000004E-2</v>
      </c>
      <c r="AY10" s="386">
        <f t="shared" si="37"/>
        <v>0.62720000000000009</v>
      </c>
      <c r="AZ10" s="386">
        <f t="shared" si="38"/>
        <v>0.47314285714285709</v>
      </c>
      <c r="BA10" s="386">
        <f t="shared" ref="BA10" si="49">SUM(AX10:AY10)</f>
        <v>0.66560000000000008</v>
      </c>
      <c r="BB10" s="386" t="e">
        <f>SUM(T10,W10,Z10,AE10,AI10,AN10,AR10, AT10,AU10,BA10,AV10,AW10)</f>
        <v>#VALUE!</v>
      </c>
      <c r="BC10">
        <f t="shared" si="39"/>
        <v>256</v>
      </c>
      <c r="BD10" s="604" t="e">
        <f t="shared" ref="BD10:BD73" si="50">BC10/(BC10+BB10)</f>
        <v>#VALUE!</v>
      </c>
      <c r="BE10" s="614">
        <f t="shared" si="40"/>
        <v>195.63361947226358</v>
      </c>
      <c r="BF10" s="614">
        <f t="shared" si="41"/>
        <v>18.257374010948549</v>
      </c>
      <c r="BG10" s="9"/>
      <c r="BH10" s="4" t="e">
        <f t="shared" ref="BH10:BH73" si="51">BD10*100</f>
        <v>#VALUE!</v>
      </c>
      <c r="BI10" s="386">
        <f t="shared" ref="BI10:BI73" si="52">T10</f>
        <v>3.3024721077507024</v>
      </c>
      <c r="BJ10" s="386">
        <f t="shared" ref="BJ10:BJ73" si="53">AE10+AI10+AN10+AR10+AU10</f>
        <v>7.1457851094624703</v>
      </c>
      <c r="BK10" s="386">
        <f t="shared" ref="BK10:BK73" si="54">AI10+AU10*0.33</f>
        <v>6.1248000000000011E-2</v>
      </c>
      <c r="BL10" s="386">
        <f t="shared" ref="BL10:BL73" si="55">AV10</f>
        <v>0.83594872512630369</v>
      </c>
      <c r="BQ10" s="18"/>
      <c r="BR10" s="18"/>
      <c r="BS10" s="18"/>
      <c r="BT10" s="19"/>
    </row>
    <row r="11" spans="1:82" x14ac:dyDescent="0.2">
      <c r="A11" s="20" t="s">
        <v>4</v>
      </c>
      <c r="B11" s="5">
        <f>Vin</f>
        <v>12</v>
      </c>
      <c r="C11" s="482" t="s">
        <v>0</v>
      </c>
      <c r="D11" s="21" t="s">
        <v>4</v>
      </c>
      <c r="G11">
        <v>2</v>
      </c>
      <c r="H11" s="610">
        <f t="shared" si="0"/>
        <v>9.39</v>
      </c>
      <c r="I11" s="4" t="str">
        <f t="shared" si="1"/>
        <v>BOOST</v>
      </c>
      <c r="J11">
        <f t="shared" si="43"/>
        <v>2</v>
      </c>
      <c r="K11">
        <f t="shared" si="2"/>
        <v>20</v>
      </c>
      <c r="L11" s="4">
        <f t="shared" si="3"/>
        <v>30.292273103774701</v>
      </c>
      <c r="M11" s="4">
        <f t="shared" si="4"/>
        <v>27.584729683656583</v>
      </c>
      <c r="N11" s="386">
        <f t="shared" si="5"/>
        <v>1</v>
      </c>
      <c r="O11" s="386">
        <f t="shared" si="44"/>
        <v>0.27496117491955668</v>
      </c>
      <c r="P11" s="4">
        <f t="shared" si="6"/>
        <v>5.0673187405276101</v>
      </c>
      <c r="Q11" s="386">
        <f t="shared" si="7"/>
        <v>30.327571939219169</v>
      </c>
      <c r="R11" s="386">
        <f t="shared" si="8"/>
        <v>2.5330787034131808</v>
      </c>
      <c r="S11" s="386">
        <f t="shared" si="45"/>
        <v>0.59062553706187482</v>
      </c>
      <c r="T11" s="386">
        <f t="shared" si="46"/>
        <v>3.1237042404750555</v>
      </c>
      <c r="U11" s="4">
        <f t="shared" si="9"/>
        <v>12.349335515307722</v>
      </c>
      <c r="V11" s="386">
        <f t="shared" si="10"/>
        <v>0.30501217533928127</v>
      </c>
      <c r="W11" s="386">
        <f t="shared" si="47"/>
        <v>0.30501217533928127</v>
      </c>
      <c r="X11" s="386">
        <f t="shared" si="11"/>
        <v>1.4628089194566256</v>
      </c>
      <c r="Y11" s="386">
        <f t="shared" si="12"/>
        <v>4.279619869683721E-3</v>
      </c>
      <c r="Z11" s="603">
        <f t="shared" si="48"/>
        <v>4.279619869683721E-3</v>
      </c>
      <c r="AA11" s="386">
        <f t="shared" si="13"/>
        <v>30.327571939219169</v>
      </c>
      <c r="AB11" s="386">
        <f t="shared" si="14"/>
        <v>1.7475470774841764</v>
      </c>
      <c r="AC11" s="386">
        <f t="shared" si="15"/>
        <v>0</v>
      </c>
      <c r="AD11">
        <f t="shared" si="16"/>
        <v>0</v>
      </c>
      <c r="AE11" s="386">
        <f t="shared" si="17"/>
        <v>2.6865063370885336</v>
      </c>
      <c r="AF11" s="386">
        <f t="shared" si="18"/>
        <v>0</v>
      </c>
      <c r="AG11" s="386">
        <f t="shared" si="19"/>
        <v>0</v>
      </c>
      <c r="AH11" s="386">
        <f t="shared" si="20"/>
        <v>0</v>
      </c>
      <c r="AI11" s="386">
        <f t="shared" si="21"/>
        <v>0</v>
      </c>
      <c r="AJ11" s="386">
        <f t="shared" si="22"/>
        <v>15.902790183061169</v>
      </c>
      <c r="AK11" s="386">
        <f t="shared" si="23"/>
        <v>0.12644936780323335</v>
      </c>
      <c r="AL11" s="386">
        <f t="shared" si="24"/>
        <v>3.4115436748444594</v>
      </c>
      <c r="AM11">
        <f t="shared" si="25"/>
        <v>0</v>
      </c>
      <c r="AN11" s="386">
        <f t="shared" si="26"/>
        <v>3.6297899720936444</v>
      </c>
      <c r="AO11" s="386">
        <f t="shared" si="27"/>
        <v>25.823688429851519</v>
      </c>
      <c r="AP11" s="386">
        <f t="shared" si="28"/>
        <v>0.3334314420610236</v>
      </c>
      <c r="AQ11" s="386">
        <f t="shared" si="29"/>
        <v>0</v>
      </c>
      <c r="AR11" s="386">
        <f t="shared" si="30"/>
        <v>0.35725548432560261</v>
      </c>
      <c r="AS11" s="386">
        <f t="shared" si="31"/>
        <v>1.7475470774841764</v>
      </c>
      <c r="AT11" s="386">
        <f t="shared" si="32"/>
        <v>0.29534966276180336</v>
      </c>
      <c r="AU11" s="386">
        <f t="shared" si="33"/>
        <v>0.18560000000000001</v>
      </c>
      <c r="AV11" s="386">
        <f t="shared" si="34"/>
        <v>0.75869620681940009</v>
      </c>
      <c r="AW11" s="386" t="e">
        <f t="shared" si="35"/>
        <v>#VALUE!</v>
      </c>
      <c r="AX11" s="386">
        <f t="shared" si="36"/>
        <v>3.8400000000000004E-2</v>
      </c>
      <c r="AY11" s="386">
        <f t="shared" si="37"/>
        <v>0.62720000000000009</v>
      </c>
      <c r="AZ11" s="386">
        <f t="shared" si="38"/>
        <v>0.47314285714285709</v>
      </c>
      <c r="BA11" s="386">
        <f t="shared" ref="BA11:BA74" si="56">SUM(AX11:AY11)</f>
        <v>0.66560000000000008</v>
      </c>
      <c r="BB11" s="386" t="e">
        <f t="shared" ref="BB11:BB74" si="57">SUM(T11,W11,Z11,AE11,AI11,AN11,AR11, AT11,AU11,BA11,AV11,AW11)</f>
        <v>#VALUE!</v>
      </c>
      <c r="BC11">
        <f t="shared" si="39"/>
        <v>256</v>
      </c>
      <c r="BD11" s="604" t="e">
        <f t="shared" si="50"/>
        <v>#VALUE!</v>
      </c>
      <c r="BE11" s="614">
        <f t="shared" si="40"/>
        <v>190.76949860468221</v>
      </c>
      <c r="BF11" s="614">
        <f t="shared" si="41"/>
        <v>17.86277421628013</v>
      </c>
      <c r="BG11" s="9"/>
      <c r="BH11" s="4" t="e">
        <f t="shared" si="51"/>
        <v>#VALUE!</v>
      </c>
      <c r="BI11" s="386">
        <f t="shared" si="52"/>
        <v>3.1237042404750555</v>
      </c>
      <c r="BJ11" s="386">
        <f t="shared" si="53"/>
        <v>6.8591517935077801</v>
      </c>
      <c r="BK11" s="386">
        <f t="shared" si="54"/>
        <v>6.1248000000000011E-2</v>
      </c>
      <c r="BL11" s="386">
        <f t="shared" si="55"/>
        <v>0.75869620681940009</v>
      </c>
      <c r="BP11" t="s">
        <v>138</v>
      </c>
      <c r="BQ11" s="18">
        <v>90</v>
      </c>
      <c r="BR11" s="18">
        <v>90</v>
      </c>
      <c r="BS11" s="18">
        <v>90</v>
      </c>
      <c r="BT11" s="19">
        <f>250000*(12-Vdd)*BS11/1000000000+((250000*BS9/1000000000*Vdd)*2.5/(2*4))</f>
        <v>0.14226562500000001</v>
      </c>
      <c r="BU11">
        <f t="shared" si="42"/>
        <v>11.381250000000001</v>
      </c>
      <c r="BV11">
        <f t="shared" si="42"/>
        <v>14.2265625</v>
      </c>
      <c r="BW11">
        <f t="shared" si="42"/>
        <v>17.071875000000002</v>
      </c>
      <c r="BX11">
        <f t="shared" si="42"/>
        <v>19.917187500000001</v>
      </c>
      <c r="BY11">
        <f t="shared" si="42"/>
        <v>22.762500000000003</v>
      </c>
      <c r="BZ11">
        <f t="shared" si="42"/>
        <v>25.607812500000001</v>
      </c>
      <c r="CA11">
        <f t="shared" si="42"/>
        <v>2.8453125000000004</v>
      </c>
      <c r="CB11">
        <f t="shared" si="42"/>
        <v>4.2679687500000005</v>
      </c>
      <c r="CC11">
        <f t="shared" si="42"/>
        <v>5.6906250000000007</v>
      </c>
      <c r="CD11">
        <f t="shared" si="42"/>
        <v>7.11328125</v>
      </c>
    </row>
    <row r="12" spans="1:82" x14ac:dyDescent="0.2">
      <c r="A12" s="22" t="s">
        <v>5</v>
      </c>
      <c r="B12" s="5">
        <f>Vout</f>
        <v>12.8</v>
      </c>
      <c r="C12" s="482" t="s">
        <v>0</v>
      </c>
      <c r="D12" s="21" t="s">
        <v>5</v>
      </c>
      <c r="G12">
        <v>3</v>
      </c>
      <c r="H12" s="610">
        <f t="shared" si="0"/>
        <v>9.5850000000000009</v>
      </c>
      <c r="I12" s="4" t="str">
        <f t="shared" si="1"/>
        <v>BOOST</v>
      </c>
      <c r="J12">
        <f t="shared" si="43"/>
        <v>2</v>
      </c>
      <c r="K12">
        <f t="shared" si="2"/>
        <v>20</v>
      </c>
      <c r="L12" s="4">
        <f t="shared" si="3"/>
        <v>29.675998377093833</v>
      </c>
      <c r="M12" s="4">
        <f t="shared" si="4"/>
        <v>27.006765933609707</v>
      </c>
      <c r="N12" s="386">
        <f t="shared" si="5"/>
        <v>1</v>
      </c>
      <c r="O12" s="386">
        <f t="shared" si="44"/>
        <v>0.25944483507704424</v>
      </c>
      <c r="P12" s="4">
        <f t="shared" si="6"/>
        <v>4.8843997738626079</v>
      </c>
      <c r="Q12" s="386">
        <f t="shared" si="7"/>
        <v>29.709476486577785</v>
      </c>
      <c r="R12" s="386">
        <f t="shared" si="8"/>
        <v>2.4111657459989235</v>
      </c>
      <c r="S12" s="386">
        <f t="shared" si="45"/>
        <v>0.54265549601174978</v>
      </c>
      <c r="T12" s="386">
        <f t="shared" si="46"/>
        <v>2.9538212420106733</v>
      </c>
      <c r="U12" s="4">
        <f t="shared" si="9"/>
        <v>11.867258779709935</v>
      </c>
      <c r="V12" s="386">
        <f t="shared" si="10"/>
        <v>0.28166366188920511</v>
      </c>
      <c r="W12" s="386">
        <f t="shared" si="47"/>
        <v>0.28166366188920511</v>
      </c>
      <c r="X12" s="386">
        <f t="shared" si="11"/>
        <v>1.4100047621346621</v>
      </c>
      <c r="Y12" s="386">
        <f t="shared" si="12"/>
        <v>3.9762268584848503E-3</v>
      </c>
      <c r="Z12" s="603">
        <f t="shared" si="48"/>
        <v>3.9762268584848503E-3</v>
      </c>
      <c r="AA12" s="386">
        <f t="shared" si="13"/>
        <v>29.709476486577785</v>
      </c>
      <c r="AB12" s="386">
        <f t="shared" si="14"/>
        <v>1.6770406869023846</v>
      </c>
      <c r="AC12" s="386">
        <f t="shared" si="15"/>
        <v>0</v>
      </c>
      <c r="AD12">
        <f t="shared" si="16"/>
        <v>0</v>
      </c>
      <c r="AE12" s="386">
        <f t="shared" si="17"/>
        <v>2.523414416018039</v>
      </c>
      <c r="AF12" s="386">
        <f t="shared" si="18"/>
        <v>0</v>
      </c>
      <c r="AG12" s="386">
        <f t="shared" si="19"/>
        <v>0</v>
      </c>
      <c r="AH12" s="386">
        <f t="shared" si="20"/>
        <v>0</v>
      </c>
      <c r="AI12" s="386">
        <f t="shared" si="21"/>
        <v>0</v>
      </c>
      <c r="AJ12" s="386">
        <f t="shared" si="22"/>
        <v>15.132738028089303</v>
      </c>
      <c r="AK12" s="386">
        <f t="shared" si="23"/>
        <v>0.11449988011339006</v>
      </c>
      <c r="AL12" s="386">
        <f t="shared" si="24"/>
        <v>3.3421382479696891</v>
      </c>
      <c r="AM12">
        <f t="shared" si="25"/>
        <v>0</v>
      </c>
      <c r="AN12" s="386">
        <f t="shared" si="26"/>
        <v>3.5376502336093547</v>
      </c>
      <c r="AO12" s="386">
        <f t="shared" si="27"/>
        <v>25.56664297243066</v>
      </c>
      <c r="AP12" s="386">
        <f t="shared" si="28"/>
        <v>0.32682661643986904</v>
      </c>
      <c r="AQ12" s="386">
        <f t="shared" si="29"/>
        <v>0</v>
      </c>
      <c r="AR12" s="386">
        <f t="shared" si="30"/>
        <v>0.3496838118500164</v>
      </c>
      <c r="AS12" s="386">
        <f t="shared" si="31"/>
        <v>1.6770406869023846</v>
      </c>
      <c r="AT12" s="386">
        <f t="shared" si="32"/>
        <v>0.28934098417666487</v>
      </c>
      <c r="AU12" s="386">
        <f t="shared" si="33"/>
        <v>0.18560000000000001</v>
      </c>
      <c r="AV12" s="386">
        <f t="shared" si="34"/>
        <v>0.68699928068034044</v>
      </c>
      <c r="AW12" s="386" t="e">
        <f t="shared" si="35"/>
        <v>#VALUE!</v>
      </c>
      <c r="AX12" s="386">
        <f t="shared" si="36"/>
        <v>3.8400000000000004E-2</v>
      </c>
      <c r="AY12" s="386">
        <f t="shared" si="37"/>
        <v>0.62720000000000009</v>
      </c>
      <c r="AZ12" s="386">
        <f t="shared" si="38"/>
        <v>0.47314285714285709</v>
      </c>
      <c r="BA12" s="386">
        <f t="shared" si="56"/>
        <v>0.66560000000000008</v>
      </c>
      <c r="BB12" s="386" t="e">
        <f t="shared" si="57"/>
        <v>#VALUE!</v>
      </c>
      <c r="BC12">
        <f t="shared" si="39"/>
        <v>256</v>
      </c>
      <c r="BD12" s="604" t="e">
        <f t="shared" si="50"/>
        <v>#VALUE!</v>
      </c>
      <c r="BE12" s="614">
        <f t="shared" si="40"/>
        <v>186.16251168046773</v>
      </c>
      <c r="BF12" s="614">
        <f t="shared" si="41"/>
        <v>17.48419059250082</v>
      </c>
      <c r="BG12" s="9"/>
      <c r="BH12" s="4" t="e">
        <f t="shared" si="51"/>
        <v>#VALUE!</v>
      </c>
      <c r="BI12" s="386">
        <f t="shared" si="52"/>
        <v>2.9538212420106733</v>
      </c>
      <c r="BJ12" s="386">
        <f t="shared" si="53"/>
        <v>6.5963484614774099</v>
      </c>
      <c r="BK12" s="386">
        <f t="shared" si="54"/>
        <v>6.1248000000000011E-2</v>
      </c>
      <c r="BL12" s="386">
        <f t="shared" si="55"/>
        <v>0.68699928068034044</v>
      </c>
      <c r="BP12" t="s">
        <v>143</v>
      </c>
      <c r="BQ12" s="18">
        <v>60</v>
      </c>
      <c r="BR12" s="18">
        <v>60</v>
      </c>
      <c r="BS12" s="18">
        <v>60</v>
      </c>
      <c r="BT12" s="19">
        <f>250000*(18-Vdd)*BS12/1000000000+((250000*BS9/1000000000*Vdd)*2.5/(2*4))</f>
        <v>0.198515625</v>
      </c>
      <c r="BU12">
        <f t="shared" si="42"/>
        <v>15.88125</v>
      </c>
      <c r="BV12">
        <f t="shared" si="42"/>
        <v>19.8515625</v>
      </c>
      <c r="BW12">
        <f t="shared" si="42"/>
        <v>23.821874999999999</v>
      </c>
      <c r="BX12">
        <f t="shared" si="42"/>
        <v>27.792187500000001</v>
      </c>
      <c r="BY12">
        <f t="shared" si="42"/>
        <v>31.762499999999999</v>
      </c>
      <c r="BZ12">
        <f t="shared" si="42"/>
        <v>35.732812500000001</v>
      </c>
      <c r="CA12">
        <f t="shared" si="42"/>
        <v>3.9703124999999999</v>
      </c>
      <c r="CB12">
        <f t="shared" si="42"/>
        <v>5.9554687499999996</v>
      </c>
      <c r="CC12">
        <f t="shared" si="42"/>
        <v>7.9406249999999998</v>
      </c>
      <c r="CD12">
        <f t="shared" si="42"/>
        <v>9.92578125</v>
      </c>
    </row>
    <row r="13" spans="1:82" x14ac:dyDescent="0.2">
      <c r="A13" s="22" t="s">
        <v>7</v>
      </c>
      <c r="B13" s="5">
        <f>Fsw/1000</f>
        <v>250</v>
      </c>
      <c r="C13" s="482" t="s">
        <v>3</v>
      </c>
      <c r="D13" s="21" t="s">
        <v>98</v>
      </c>
      <c r="G13">
        <v>4</v>
      </c>
      <c r="H13" s="610">
        <f t="shared" si="0"/>
        <v>9.7799999999999994</v>
      </c>
      <c r="I13" s="4" t="str">
        <f t="shared" si="1"/>
        <v>BOOST</v>
      </c>
      <c r="J13">
        <f t="shared" si="43"/>
        <v>2</v>
      </c>
      <c r="K13">
        <f t="shared" si="2"/>
        <v>20</v>
      </c>
      <c r="L13" s="4">
        <f t="shared" si="3"/>
        <v>29.084299022949331</v>
      </c>
      <c r="M13" s="4">
        <f t="shared" si="4"/>
        <v>26.452920592728344</v>
      </c>
      <c r="N13" s="386">
        <f t="shared" si="5"/>
        <v>1</v>
      </c>
      <c r="O13" s="386">
        <f t="shared" si="44"/>
        <v>0.24393981640356913</v>
      </c>
      <c r="P13" s="4">
        <f t="shared" si="6"/>
        <v>4.6893048098840264</v>
      </c>
      <c r="Q13" s="386">
        <f t="shared" si="7"/>
        <v>29.115784630042139</v>
      </c>
      <c r="R13" s="386">
        <f t="shared" si="8"/>
        <v>2.2982221652096535</v>
      </c>
      <c r="S13" s="386">
        <f t="shared" si="45"/>
        <v>0.49401154082866588</v>
      </c>
      <c r="T13" s="386">
        <f t="shared" si="46"/>
        <v>2.7922337060383193</v>
      </c>
      <c r="U13" s="4">
        <f t="shared" si="9"/>
        <v>11.386379995437963</v>
      </c>
      <c r="V13" s="386">
        <f t="shared" si="10"/>
        <v>0.25929929880101965</v>
      </c>
      <c r="W13" s="386">
        <f t="shared" si="47"/>
        <v>0.25929929880101965</v>
      </c>
      <c r="X13" s="386">
        <f t="shared" si="11"/>
        <v>1.3536856971493749</v>
      </c>
      <c r="Y13" s="386">
        <f t="shared" si="12"/>
        <v>3.6649299333335783E-3</v>
      </c>
      <c r="Z13" s="603">
        <f t="shared" si="48"/>
        <v>3.6649299333335783E-3</v>
      </c>
      <c r="AA13" s="386">
        <f t="shared" si="13"/>
        <v>29.115784630042139</v>
      </c>
      <c r="AB13" s="386">
        <f t="shared" si="14"/>
        <v>1.6106849377836965</v>
      </c>
      <c r="AC13" s="386">
        <f t="shared" si="15"/>
        <v>0</v>
      </c>
      <c r="AD13">
        <f t="shared" si="16"/>
        <v>0</v>
      </c>
      <c r="AE13" s="386">
        <f t="shared" si="17"/>
        <v>2.3761215883106113</v>
      </c>
      <c r="AF13" s="386">
        <f t="shared" si="18"/>
        <v>0</v>
      </c>
      <c r="AG13" s="386">
        <f t="shared" si="19"/>
        <v>0</v>
      </c>
      <c r="AH13" s="386">
        <f t="shared" si="20"/>
        <v>0</v>
      </c>
      <c r="AI13" s="386">
        <f t="shared" si="21"/>
        <v>0</v>
      </c>
      <c r="AJ13" s="386">
        <f t="shared" si="22"/>
        <v>14.38036285331949</v>
      </c>
      <c r="AK13" s="386">
        <f t="shared" si="23"/>
        <v>0.10339741789656554</v>
      </c>
      <c r="AL13" s="386">
        <f t="shared" si="24"/>
        <v>3.2755005221666131</v>
      </c>
      <c r="AM13">
        <f t="shared" si="25"/>
        <v>0</v>
      </c>
      <c r="AN13" s="386">
        <f t="shared" si="26"/>
        <v>3.4502472718663082</v>
      </c>
      <c r="AO13" s="386">
        <f t="shared" si="27"/>
        <v>25.316675904033431</v>
      </c>
      <c r="AP13" s="386">
        <f t="shared" si="28"/>
        <v>0.32046703941493349</v>
      </c>
      <c r="AQ13" s="386">
        <f t="shared" si="29"/>
        <v>0</v>
      </c>
      <c r="AR13" s="386">
        <f t="shared" si="30"/>
        <v>0.34241348668144284</v>
      </c>
      <c r="AS13" s="386">
        <f t="shared" si="31"/>
        <v>1.6106849377836965</v>
      </c>
      <c r="AT13" s="386">
        <f t="shared" si="32"/>
        <v>0.28357191547375599</v>
      </c>
      <c r="AU13" s="386">
        <f t="shared" si="33"/>
        <v>0.18560000000000001</v>
      </c>
      <c r="AV13" s="386">
        <f t="shared" si="34"/>
        <v>0.62038450737939321</v>
      </c>
      <c r="AW13" s="386" t="e">
        <f t="shared" si="35"/>
        <v>#VALUE!</v>
      </c>
      <c r="AX13" s="386">
        <f t="shared" si="36"/>
        <v>3.8400000000000004E-2</v>
      </c>
      <c r="AY13" s="386">
        <f t="shared" si="37"/>
        <v>0.62720000000000009</v>
      </c>
      <c r="AZ13" s="386">
        <f t="shared" si="38"/>
        <v>0.47314285714285709</v>
      </c>
      <c r="BA13" s="386">
        <f t="shared" si="56"/>
        <v>0.66560000000000008</v>
      </c>
      <c r="BB13" s="386" t="e">
        <f t="shared" si="57"/>
        <v>#VALUE!</v>
      </c>
      <c r="BC13">
        <f t="shared" si="39"/>
        <v>256</v>
      </c>
      <c r="BD13" s="604" t="e">
        <f t="shared" si="50"/>
        <v>#VALUE!</v>
      </c>
      <c r="BE13" s="614">
        <f t="shared" si="40"/>
        <v>181.7923635933154</v>
      </c>
      <c r="BF13" s="614">
        <f t="shared" si="41"/>
        <v>17.120674334072142</v>
      </c>
      <c r="BG13" s="9"/>
      <c r="BH13" s="4" t="e">
        <f t="shared" si="51"/>
        <v>#VALUE!</v>
      </c>
      <c r="BI13" s="386">
        <f t="shared" si="52"/>
        <v>2.7922337060383193</v>
      </c>
      <c r="BJ13" s="386">
        <f t="shared" si="53"/>
        <v>6.3543823468583627</v>
      </c>
      <c r="BK13" s="386">
        <f t="shared" si="54"/>
        <v>6.1248000000000011E-2</v>
      </c>
      <c r="BL13" s="386">
        <f t="shared" si="55"/>
        <v>0.62038450737939321</v>
      </c>
      <c r="BP13" t="s">
        <v>139</v>
      </c>
      <c r="BQ13" s="18">
        <v>30</v>
      </c>
      <c r="BR13" s="18">
        <v>30</v>
      </c>
      <c r="BS13" s="18">
        <v>30</v>
      </c>
      <c r="BT13" s="19">
        <f>500000*(5-Vdd)*BS13/1000000000+((500000*BS9/1000000000*Vdd)*2.5/(2*4))</f>
        <v>4.4531250000000001E-2</v>
      </c>
      <c r="BU13">
        <f t="shared" si="42"/>
        <v>3.5625</v>
      </c>
      <c r="BV13">
        <f t="shared" si="42"/>
        <v>4.453125</v>
      </c>
      <c r="BW13">
        <f t="shared" si="42"/>
        <v>5.34375</v>
      </c>
      <c r="BX13">
        <f t="shared" si="42"/>
        <v>6.234375</v>
      </c>
      <c r="BY13">
        <f t="shared" si="42"/>
        <v>7.125</v>
      </c>
      <c r="BZ13">
        <f t="shared" si="42"/>
        <v>8.015625</v>
      </c>
      <c r="CA13">
        <f t="shared" si="42"/>
        <v>0.890625</v>
      </c>
      <c r="CB13">
        <f t="shared" si="42"/>
        <v>1.3359375</v>
      </c>
      <c r="CC13">
        <f t="shared" si="42"/>
        <v>1.78125</v>
      </c>
      <c r="CD13">
        <f t="shared" si="42"/>
        <v>2.2265625</v>
      </c>
    </row>
    <row r="14" spans="1:82" x14ac:dyDescent="0.2">
      <c r="A14" s="22" t="s">
        <v>6</v>
      </c>
      <c r="B14" s="5">
        <f>Iout</f>
        <v>20</v>
      </c>
      <c r="C14" s="482" t="s">
        <v>2</v>
      </c>
      <c r="D14" s="21" t="s">
        <v>99</v>
      </c>
      <c r="G14">
        <v>5</v>
      </c>
      <c r="H14" s="610">
        <f t="shared" si="0"/>
        <v>9.9749999999999996</v>
      </c>
      <c r="I14" s="4" t="str">
        <f t="shared" si="1"/>
        <v>BOOST</v>
      </c>
      <c r="J14">
        <f t="shared" si="43"/>
        <v>2</v>
      </c>
      <c r="K14">
        <f t="shared" si="2"/>
        <v>20</v>
      </c>
      <c r="L14" s="4">
        <f t="shared" si="3"/>
        <v>28.515733778891676</v>
      </c>
      <c r="M14" s="4">
        <f t="shared" si="4"/>
        <v>25.921692785734621</v>
      </c>
      <c r="N14" s="386">
        <f t="shared" si="5"/>
        <v>1</v>
      </c>
      <c r="O14" s="386">
        <f t="shared" si="44"/>
        <v>0.22844545048359968</v>
      </c>
      <c r="P14" s="4">
        <f t="shared" si="6"/>
        <v>4.4820512630125178</v>
      </c>
      <c r="Q14" s="386">
        <f t="shared" si="7"/>
        <v>28.545072048294308</v>
      </c>
      <c r="R14" s="386">
        <f t="shared" si="8"/>
        <v>2.1933538059733353</v>
      </c>
      <c r="S14" s="386">
        <f t="shared" si="45"/>
        <v>0.44514939491800432</v>
      </c>
      <c r="T14" s="386">
        <f t="shared" si="46"/>
        <v>2.6385032008913396</v>
      </c>
      <c r="U14" s="4">
        <f t="shared" si="9"/>
        <v>10.905481224288861</v>
      </c>
      <c r="V14" s="386">
        <f t="shared" si="10"/>
        <v>0.23785904146663375</v>
      </c>
      <c r="W14" s="386">
        <f t="shared" si="47"/>
        <v>0.23785904146663375</v>
      </c>
      <c r="X14" s="386">
        <f t="shared" si="11"/>
        <v>1.2938567516109898</v>
      </c>
      <c r="Y14" s="386">
        <f t="shared" si="12"/>
        <v>3.3481305873786851E-3</v>
      </c>
      <c r="Z14" s="603">
        <f t="shared" si="48"/>
        <v>3.3481305873786851E-3</v>
      </c>
      <c r="AA14" s="386">
        <f t="shared" si="13"/>
        <v>28.545072048294308</v>
      </c>
      <c r="AB14" s="386">
        <f t="shared" si="14"/>
        <v>1.5481601626603947</v>
      </c>
      <c r="AC14" s="386">
        <f t="shared" si="15"/>
        <v>0</v>
      </c>
      <c r="AD14">
        <f t="shared" si="16"/>
        <v>0</v>
      </c>
      <c r="AE14" s="386">
        <f t="shared" si="17"/>
        <v>2.2425144786752176</v>
      </c>
      <c r="AF14" s="386">
        <f t="shared" si="18"/>
        <v>0</v>
      </c>
      <c r="AG14" s="386">
        <f t="shared" si="19"/>
        <v>0</v>
      </c>
      <c r="AH14" s="386">
        <f t="shared" si="20"/>
        <v>0</v>
      </c>
      <c r="AI14" s="386">
        <f t="shared" si="21"/>
        <v>0</v>
      </c>
      <c r="AJ14" s="386">
        <f t="shared" si="22"/>
        <v>13.643393345840492</v>
      </c>
      <c r="AK14" s="386">
        <f t="shared" si="23"/>
        <v>9.3071090994662306E-2</v>
      </c>
      <c r="AL14" s="386">
        <f t="shared" si="24"/>
        <v>3.2114681811317771</v>
      </c>
      <c r="AM14">
        <f t="shared" si="25"/>
        <v>0</v>
      </c>
      <c r="AN14" s="386">
        <f t="shared" si="26"/>
        <v>3.3672173913726908</v>
      </c>
      <c r="AO14" s="386">
        <f t="shared" si="27"/>
        <v>25.073471164818571</v>
      </c>
      <c r="AP14" s="386">
        <f t="shared" si="28"/>
        <v>0.31433947812649415</v>
      </c>
      <c r="AQ14" s="386">
        <f t="shared" si="29"/>
        <v>0</v>
      </c>
      <c r="AR14" s="386">
        <f t="shared" si="30"/>
        <v>0.33542707229759916</v>
      </c>
      <c r="AS14" s="386">
        <f t="shared" si="31"/>
        <v>1.5481601626603947</v>
      </c>
      <c r="AT14" s="386">
        <f t="shared" si="32"/>
        <v>0.27802840434419385</v>
      </c>
      <c r="AU14" s="386">
        <f t="shared" si="33"/>
        <v>0.18560000000000001</v>
      </c>
      <c r="AV14" s="386">
        <f t="shared" si="34"/>
        <v>0.55842654596797381</v>
      </c>
      <c r="AW14" s="386" t="e">
        <f t="shared" si="35"/>
        <v>#VALUE!</v>
      </c>
      <c r="AX14" s="386">
        <f t="shared" si="36"/>
        <v>3.8400000000000004E-2</v>
      </c>
      <c r="AY14" s="386">
        <f t="shared" si="37"/>
        <v>0.62720000000000009</v>
      </c>
      <c r="AZ14" s="386">
        <f t="shared" si="38"/>
        <v>0.47314285714285709</v>
      </c>
      <c r="BA14" s="386">
        <f t="shared" si="56"/>
        <v>0.66560000000000008</v>
      </c>
      <c r="BB14" s="386" t="e">
        <f t="shared" si="57"/>
        <v>#VALUE!</v>
      </c>
      <c r="BC14">
        <f t="shared" si="39"/>
        <v>256</v>
      </c>
      <c r="BD14" s="604" t="e">
        <f t="shared" si="50"/>
        <v>#VALUE!</v>
      </c>
      <c r="BE14" s="614">
        <f t="shared" si="40"/>
        <v>177.64086956863454</v>
      </c>
      <c r="BF14" s="614">
        <f t="shared" si="41"/>
        <v>16.771353614879956</v>
      </c>
      <c r="BG14" s="9"/>
      <c r="BH14" s="4" t="e">
        <f t="shared" si="51"/>
        <v>#VALUE!</v>
      </c>
      <c r="BI14" s="386">
        <f t="shared" si="52"/>
        <v>2.6385032008913396</v>
      </c>
      <c r="BJ14" s="386">
        <f t="shared" si="53"/>
        <v>6.1307589423455076</v>
      </c>
      <c r="BK14" s="386">
        <f t="shared" si="54"/>
        <v>6.1248000000000011E-2</v>
      </c>
      <c r="BL14" s="386">
        <f t="shared" si="55"/>
        <v>0.55842654596797381</v>
      </c>
      <c r="BP14" t="s">
        <v>142</v>
      </c>
      <c r="BQ14" s="18">
        <v>45</v>
      </c>
      <c r="BR14" s="18">
        <v>45</v>
      </c>
      <c r="BS14" s="18">
        <v>45</v>
      </c>
      <c r="BT14" s="19">
        <f>500000*(12-Vdd)*BS14/1000000000+((500000*BS9/1000000000*Vdd)*2.5/(2*4))</f>
        <v>0.18328125000000001</v>
      </c>
      <c r="BU14">
        <f t="shared" si="42"/>
        <v>14.662500000000001</v>
      </c>
      <c r="BV14">
        <f t="shared" si="42"/>
        <v>18.328125</v>
      </c>
      <c r="BW14">
        <f t="shared" si="42"/>
        <v>21.993750000000002</v>
      </c>
      <c r="BX14">
        <f t="shared" si="42"/>
        <v>25.659375000000001</v>
      </c>
      <c r="BY14">
        <f t="shared" si="42"/>
        <v>29.325000000000003</v>
      </c>
      <c r="BZ14">
        <f t="shared" si="42"/>
        <v>32.990625000000001</v>
      </c>
      <c r="CA14">
        <f t="shared" si="42"/>
        <v>3.6656250000000004</v>
      </c>
      <c r="CB14">
        <f t="shared" si="42"/>
        <v>5.4984375000000005</v>
      </c>
      <c r="CC14">
        <f t="shared" si="42"/>
        <v>7.3312500000000007</v>
      </c>
      <c r="CD14">
        <f t="shared" si="42"/>
        <v>9.1640625</v>
      </c>
    </row>
    <row r="15" spans="1:82" x14ac:dyDescent="0.2">
      <c r="A15" s="23" t="s">
        <v>87</v>
      </c>
      <c r="B15" s="5">
        <f>Ta</f>
        <v>25</v>
      </c>
      <c r="C15" s="482" t="s">
        <v>673</v>
      </c>
      <c r="D15" s="21" t="s">
        <v>100</v>
      </c>
      <c r="G15">
        <v>6</v>
      </c>
      <c r="H15" s="610">
        <f t="shared" si="0"/>
        <v>10.17</v>
      </c>
      <c r="I15" s="4" t="str">
        <f t="shared" si="1"/>
        <v>BOOST</v>
      </c>
      <c r="J15">
        <f t="shared" si="43"/>
        <v>2</v>
      </c>
      <c r="K15">
        <f t="shared" si="2"/>
        <v>20</v>
      </c>
      <c r="L15" s="4">
        <f t="shared" si="3"/>
        <v>27.96897192177428</v>
      </c>
      <c r="M15" s="4">
        <f t="shared" si="4"/>
        <v>25.411705216935939</v>
      </c>
      <c r="N15" s="386">
        <f t="shared" si="5"/>
        <v>1</v>
      </c>
      <c r="O15" s="386">
        <f t="shared" si="44"/>
        <v>0.21296112050478389</v>
      </c>
      <c r="P15" s="4">
        <f t="shared" si="6"/>
        <v>4.2626551953812974</v>
      </c>
      <c r="Q15" s="386">
        <f t="shared" si="7"/>
        <v>27.996027863559931</v>
      </c>
      <c r="R15" s="386">
        <f t="shared" si="8"/>
        <v>2.0957795526294714</v>
      </c>
      <c r="S15" s="386">
        <f t="shared" si="45"/>
        <v>0.39653943711655198</v>
      </c>
      <c r="T15" s="386">
        <f t="shared" si="46"/>
        <v>2.4923189897460234</v>
      </c>
      <c r="U15" s="4">
        <f t="shared" si="9"/>
        <v>10.423234655899741</v>
      </c>
      <c r="V15" s="386">
        <f t="shared" si="10"/>
        <v>0.21728764138389878</v>
      </c>
      <c r="W15" s="386">
        <f t="shared" si="47"/>
        <v>0.21728764138389878</v>
      </c>
      <c r="X15" s="386">
        <f t="shared" si="11"/>
        <v>1.2305225622579745</v>
      </c>
      <c r="Y15" s="386">
        <f t="shared" si="12"/>
        <v>3.0283715524518618E-3</v>
      </c>
      <c r="Z15" s="603">
        <f t="shared" si="48"/>
        <v>3.0283715524518618E-3</v>
      </c>
      <c r="AA15" s="386">
        <f t="shared" si="13"/>
        <v>27.996027863559931</v>
      </c>
      <c r="AB15" s="386">
        <f t="shared" si="14"/>
        <v>1.4891773946607256</v>
      </c>
      <c r="AC15" s="386">
        <f t="shared" si="15"/>
        <v>0</v>
      </c>
      <c r="AD15">
        <f t="shared" si="16"/>
        <v>0</v>
      </c>
      <c r="AE15" s="386">
        <f t="shared" si="17"/>
        <v>2.1208382793194649</v>
      </c>
      <c r="AF15" s="386">
        <f t="shared" si="18"/>
        <v>0</v>
      </c>
      <c r="AG15" s="386">
        <f t="shared" si="19"/>
        <v>0</v>
      </c>
      <c r="AH15" s="386">
        <f t="shared" si="20"/>
        <v>0</v>
      </c>
      <c r="AI15" s="386">
        <f t="shared" si="21"/>
        <v>0</v>
      </c>
      <c r="AJ15" s="386">
        <f t="shared" si="22"/>
        <v>12.919525952631032</v>
      </c>
      <c r="AK15" s="386">
        <f t="shared" si="23"/>
        <v>8.3457075420353397E-2</v>
      </c>
      <c r="AL15" s="386">
        <f t="shared" si="24"/>
        <v>3.1498913575997514</v>
      </c>
      <c r="AM15">
        <f t="shared" si="25"/>
        <v>0</v>
      </c>
      <c r="AN15" s="386">
        <f t="shared" si="26"/>
        <v>3.2882337067122713</v>
      </c>
      <c r="AO15" s="386">
        <f t="shared" si="27"/>
        <v>24.83673539933373</v>
      </c>
      <c r="AP15" s="386">
        <f t="shared" si="28"/>
        <v>0.30843171264825864</v>
      </c>
      <c r="AQ15" s="386">
        <f t="shared" si="29"/>
        <v>0</v>
      </c>
      <c r="AR15" s="386">
        <f t="shared" si="30"/>
        <v>0.32870854025484059</v>
      </c>
      <c r="AS15" s="386">
        <f t="shared" si="31"/>
        <v>1.4891773946607256</v>
      </c>
      <c r="AT15" s="386">
        <f t="shared" si="32"/>
        <v>0.27269747623729923</v>
      </c>
      <c r="AU15" s="386">
        <f t="shared" si="33"/>
        <v>0.18560000000000001</v>
      </c>
      <c r="AV15" s="386">
        <f t="shared" si="34"/>
        <v>0.50074245252212035</v>
      </c>
      <c r="AW15" s="386" t="e">
        <f t="shared" si="35"/>
        <v>#VALUE!</v>
      </c>
      <c r="AX15" s="386">
        <f t="shared" si="36"/>
        <v>3.8400000000000004E-2</v>
      </c>
      <c r="AY15" s="386">
        <f t="shared" si="37"/>
        <v>0.62720000000000009</v>
      </c>
      <c r="AZ15" s="386">
        <f t="shared" si="38"/>
        <v>0.47314285714285709</v>
      </c>
      <c r="BA15" s="386">
        <f t="shared" si="56"/>
        <v>0.66560000000000008</v>
      </c>
      <c r="BB15" s="386" t="e">
        <f t="shared" si="57"/>
        <v>#VALUE!</v>
      </c>
      <c r="BC15">
        <f t="shared" si="39"/>
        <v>256</v>
      </c>
      <c r="BD15" s="604" t="e">
        <f t="shared" si="50"/>
        <v>#VALUE!</v>
      </c>
      <c r="BE15" s="614">
        <f t="shared" si="40"/>
        <v>173.69168533561356</v>
      </c>
      <c r="BF15" s="614">
        <f t="shared" si="41"/>
        <v>16.435427012742029</v>
      </c>
      <c r="BG15" s="9"/>
      <c r="BH15" s="4" t="e">
        <f t="shared" si="51"/>
        <v>#VALUE!</v>
      </c>
      <c r="BI15" s="386">
        <f t="shared" si="52"/>
        <v>2.4923189897460234</v>
      </c>
      <c r="BJ15" s="386">
        <f t="shared" si="53"/>
        <v>5.9233805262865769</v>
      </c>
      <c r="BK15" s="386">
        <f t="shared" si="54"/>
        <v>6.1248000000000011E-2</v>
      </c>
      <c r="BL15" s="386">
        <f t="shared" si="55"/>
        <v>0.50074245252212035</v>
      </c>
      <c r="BP15" t="s">
        <v>140</v>
      </c>
      <c r="BQ15" s="18">
        <v>20</v>
      </c>
      <c r="BR15" s="18">
        <v>20</v>
      </c>
      <c r="BS15" s="18">
        <v>20</v>
      </c>
      <c r="BT15" s="19">
        <f>1000000*(5-Vdd)*BS15/1000000000+((1000000*BS9/1000000000*Vdd)*2.5/(2*4))</f>
        <v>0.1140625</v>
      </c>
      <c r="BU15">
        <f t="shared" si="42"/>
        <v>9.125</v>
      </c>
      <c r="BV15">
        <f t="shared" si="42"/>
        <v>11.40625</v>
      </c>
      <c r="BW15">
        <f t="shared" si="42"/>
        <v>13.6875</v>
      </c>
      <c r="BX15">
        <f t="shared" si="42"/>
        <v>15.96875</v>
      </c>
      <c r="BY15">
        <f t="shared" si="42"/>
        <v>18.25</v>
      </c>
      <c r="BZ15">
        <f t="shared" si="42"/>
        <v>20.53125</v>
      </c>
      <c r="CA15">
        <f t="shared" si="42"/>
        <v>2.28125</v>
      </c>
      <c r="CB15">
        <f t="shared" si="42"/>
        <v>3.421875</v>
      </c>
      <c r="CC15">
        <f t="shared" si="42"/>
        <v>4.5625</v>
      </c>
      <c r="CD15">
        <f t="shared" si="42"/>
        <v>5.703125</v>
      </c>
    </row>
    <row r="16" spans="1:82" x14ac:dyDescent="0.2">
      <c r="A16" s="490" t="s">
        <v>684</v>
      </c>
      <c r="B16" s="5">
        <f>Vdd</f>
        <v>7.5</v>
      </c>
      <c r="C16" s="482" t="s">
        <v>0</v>
      </c>
      <c r="D16" s="482" t="s">
        <v>683</v>
      </c>
      <c r="G16">
        <v>7</v>
      </c>
      <c r="H16" s="610">
        <f t="shared" si="0"/>
        <v>10.365</v>
      </c>
      <c r="I16" s="4" t="str">
        <f t="shared" si="1"/>
        <v>BOOST</v>
      </c>
      <c r="J16">
        <f t="shared" si="43"/>
        <v>2</v>
      </c>
      <c r="K16">
        <f t="shared" si="2"/>
        <v>20</v>
      </c>
      <c r="L16" s="4">
        <f t="shared" si="3"/>
        <v>27.44278286970038</v>
      </c>
      <c r="M16" s="4">
        <f t="shared" si="4"/>
        <v>24.921691570780876</v>
      </c>
      <c r="N16" s="386">
        <f t="shared" si="5"/>
        <v>1</v>
      </c>
      <c r="O16" s="386">
        <f t="shared" si="44"/>
        <v>0.19748625637239042</v>
      </c>
      <c r="P16" s="4">
        <f t="shared" si="6"/>
        <v>4.0311314455895424</v>
      </c>
      <c r="Q16" s="386">
        <f t="shared" si="7"/>
        <v>27.467444366519111</v>
      </c>
      <c r="R16" s="386">
        <f t="shared" si="8"/>
        <v>2.0048142897475927</v>
      </c>
      <c r="S16" s="386">
        <f t="shared" si="45"/>
        <v>0.34866384129750344</v>
      </c>
      <c r="T16" s="386">
        <f t="shared" si="46"/>
        <v>2.3534781310450961</v>
      </c>
      <c r="U16" s="4">
        <f t="shared" si="9"/>
        <v>9.9381623741112275</v>
      </c>
      <c r="V16" s="386">
        <f t="shared" si="10"/>
        <v>0.19753414274840023</v>
      </c>
      <c r="W16" s="386">
        <f t="shared" si="47"/>
        <v>0.19753414274840023</v>
      </c>
      <c r="X16" s="386">
        <f t="shared" si="11"/>
        <v>1.1636874126249439</v>
      </c>
      <c r="Y16" s="386">
        <f t="shared" si="12"/>
        <v>2.7083367886034729E-3</v>
      </c>
      <c r="Z16" s="603">
        <f t="shared" si="48"/>
        <v>2.7083367886034729E-3</v>
      </c>
      <c r="AA16" s="386">
        <f t="shared" si="13"/>
        <v>27.467444366519111</v>
      </c>
      <c r="AB16" s="386">
        <f t="shared" si="14"/>
        <v>1.4334749500528625</v>
      </c>
      <c r="AC16" s="386">
        <f t="shared" si="15"/>
        <v>0</v>
      </c>
      <c r="AD16">
        <f t="shared" si="16"/>
        <v>0</v>
      </c>
      <c r="AE16" s="386">
        <f t="shared" si="17"/>
        <v>2.0096241158801185</v>
      </c>
      <c r="AF16" s="386">
        <f t="shared" si="18"/>
        <v>0</v>
      </c>
      <c r="AG16" s="386">
        <f t="shared" si="19"/>
        <v>0</v>
      </c>
      <c r="AH16" s="386">
        <f t="shared" si="20"/>
        <v>0</v>
      </c>
      <c r="AI16" s="386">
        <f t="shared" si="21"/>
        <v>0</v>
      </c>
      <c r="AJ16" s="386">
        <f t="shared" si="22"/>
        <v>12.206374553131507</v>
      </c>
      <c r="AK16" s="386">
        <f t="shared" si="23"/>
        <v>7.4497789865668199E-2</v>
      </c>
      <c r="AL16" s="386">
        <f t="shared" si="24"/>
        <v>3.0906314623048221</v>
      </c>
      <c r="AM16">
        <f t="shared" si="25"/>
        <v>0</v>
      </c>
      <c r="AN16" s="386">
        <f t="shared" si="26"/>
        <v>3.2130015551085993</v>
      </c>
      <c r="AO16" s="386">
        <f t="shared" si="27"/>
        <v>24.60619678651063</v>
      </c>
      <c r="AP16" s="386">
        <f t="shared" si="28"/>
        <v>0.30273246014824307</v>
      </c>
      <c r="AQ16" s="386">
        <f t="shared" si="29"/>
        <v>0</v>
      </c>
      <c r="AR16" s="386">
        <f t="shared" si="30"/>
        <v>0.32224315261995606</v>
      </c>
      <c r="AS16" s="386">
        <f t="shared" si="31"/>
        <v>1.4334749500528625</v>
      </c>
      <c r="AT16" s="386">
        <f t="shared" si="32"/>
        <v>0.26756713297957868</v>
      </c>
      <c r="AU16" s="386">
        <f t="shared" si="33"/>
        <v>0.18560000000000001</v>
      </c>
      <c r="AV16" s="386">
        <f t="shared" si="34"/>
        <v>0.44698673919400916</v>
      </c>
      <c r="AW16" s="386" t="e">
        <f t="shared" si="35"/>
        <v>#VALUE!</v>
      </c>
      <c r="AX16" s="386">
        <f t="shared" si="36"/>
        <v>3.8400000000000004E-2</v>
      </c>
      <c r="AY16" s="386">
        <f t="shared" si="37"/>
        <v>0.62720000000000009</v>
      </c>
      <c r="AZ16" s="386">
        <f t="shared" si="38"/>
        <v>0.47314285714285709</v>
      </c>
      <c r="BA16" s="386">
        <f t="shared" si="56"/>
        <v>0.66560000000000008</v>
      </c>
      <c r="BB16" s="386" t="e">
        <f t="shared" si="57"/>
        <v>#VALUE!</v>
      </c>
      <c r="BC16">
        <f t="shared" si="39"/>
        <v>256</v>
      </c>
      <c r="BD16" s="604" t="e">
        <f t="shared" si="50"/>
        <v>#VALUE!</v>
      </c>
      <c r="BE16" s="614">
        <f t="shared" si="40"/>
        <v>169.93007775542998</v>
      </c>
      <c r="BF16" s="614">
        <f t="shared" si="41"/>
        <v>16.112157630997803</v>
      </c>
      <c r="BG16" s="9"/>
      <c r="BH16" s="4" t="e">
        <f t="shared" si="51"/>
        <v>#VALUE!</v>
      </c>
      <c r="BI16" s="386">
        <f t="shared" si="52"/>
        <v>2.3534781310450961</v>
      </c>
      <c r="BJ16" s="386">
        <f t="shared" si="53"/>
        <v>5.7304688236086738</v>
      </c>
      <c r="BK16" s="386">
        <f t="shared" si="54"/>
        <v>6.1248000000000011E-2</v>
      </c>
      <c r="BL16" s="386">
        <f t="shared" si="55"/>
        <v>0.44698673919400916</v>
      </c>
      <c r="BP16" t="s">
        <v>141</v>
      </c>
      <c r="BQ16" s="18">
        <v>25</v>
      </c>
      <c r="BR16" s="18">
        <v>25</v>
      </c>
      <c r="BS16" s="18">
        <v>25</v>
      </c>
      <c r="BT16" s="19">
        <f>1000000*(12-Vdd)*BS16/1000000000+((1000000*BS9/1000000000*Vdd)*2.5/(2*4))</f>
        <v>0.27656249999999999</v>
      </c>
      <c r="BU16">
        <f t="shared" si="42"/>
        <v>22.125</v>
      </c>
      <c r="BV16">
        <f t="shared" si="42"/>
        <v>27.65625</v>
      </c>
      <c r="BW16">
        <f t="shared" si="42"/>
        <v>33.1875</v>
      </c>
      <c r="BX16">
        <f t="shared" si="42"/>
        <v>38.71875</v>
      </c>
      <c r="BY16">
        <f t="shared" si="42"/>
        <v>44.25</v>
      </c>
      <c r="BZ16">
        <f t="shared" si="42"/>
        <v>49.78125</v>
      </c>
      <c r="CA16">
        <f t="shared" si="42"/>
        <v>5.53125</v>
      </c>
      <c r="CB16">
        <f t="shared" si="42"/>
        <v>8.296875</v>
      </c>
      <c r="CC16">
        <f t="shared" si="42"/>
        <v>11.0625</v>
      </c>
      <c r="CD16">
        <f t="shared" si="42"/>
        <v>13.828125</v>
      </c>
    </row>
    <row r="17" spans="1:82" x14ac:dyDescent="0.2">
      <c r="A17" s="24" t="s">
        <v>62</v>
      </c>
      <c r="B17" s="16" t="s">
        <v>115</v>
      </c>
      <c r="C17" s="24" t="s">
        <v>80</v>
      </c>
      <c r="D17" s="17" t="s">
        <v>111</v>
      </c>
      <c r="G17">
        <v>8</v>
      </c>
      <c r="H17" s="610">
        <f t="shared" si="0"/>
        <v>10.56</v>
      </c>
      <c r="I17" s="4" t="str">
        <f t="shared" si="1"/>
        <v>BOOST</v>
      </c>
      <c r="J17">
        <f t="shared" si="43"/>
        <v>2</v>
      </c>
      <c r="K17">
        <f t="shared" si="2"/>
        <v>20</v>
      </c>
      <c r="L17" s="4">
        <f t="shared" si="3"/>
        <v>26.936026936026931</v>
      </c>
      <c r="M17" s="4">
        <f t="shared" si="4"/>
        <v>24.450485436893203</v>
      </c>
      <c r="N17" s="386">
        <f t="shared" si="5"/>
        <v>1</v>
      </c>
      <c r="O17" s="386">
        <f t="shared" si="44"/>
        <v>0.18202033036848789</v>
      </c>
      <c r="P17" s="4">
        <f t="shared" si="6"/>
        <v>3.7874937430210616</v>
      </c>
      <c r="Q17" s="386">
        <f t="shared" si="7"/>
        <v>26.958207893629609</v>
      </c>
      <c r="R17" s="386">
        <f t="shared" si="8"/>
        <v>1.9198548457267186</v>
      </c>
      <c r="S17" s="386">
        <f t="shared" si="45"/>
        <v>0.30201327196878403</v>
      </c>
      <c r="T17" s="386">
        <f t="shared" si="46"/>
        <v>2.2218681176955029</v>
      </c>
      <c r="U17" s="4">
        <f t="shared" si="9"/>
        <v>9.4485829614661831</v>
      </c>
      <c r="V17" s="386">
        <f t="shared" si="10"/>
        <v>0.17855143995941813</v>
      </c>
      <c r="W17" s="386">
        <f t="shared" si="47"/>
        <v>0.17855143995941813</v>
      </c>
      <c r="X17" s="386">
        <f t="shared" si="11"/>
        <v>1.0933552660436165</v>
      </c>
      <c r="Y17" s="386">
        <f t="shared" si="12"/>
        <v>2.3908514755706148E-3</v>
      </c>
      <c r="Z17" s="603">
        <f t="shared" si="48"/>
        <v>2.3908514755706148E-3</v>
      </c>
      <c r="AA17" s="386">
        <f t="shared" si="13"/>
        <v>26.958207893629609</v>
      </c>
      <c r="AB17" s="386">
        <f t="shared" si="14"/>
        <v>1.3808154483886923</v>
      </c>
      <c r="AC17" s="386">
        <f t="shared" si="15"/>
        <v>0</v>
      </c>
      <c r="AD17">
        <f t="shared" si="16"/>
        <v>0</v>
      </c>
      <c r="AE17" s="386">
        <f t="shared" si="17"/>
        <v>1.9076333752777757</v>
      </c>
      <c r="AF17" s="386">
        <f t="shared" si="18"/>
        <v>0</v>
      </c>
      <c r="AG17" s="386">
        <f t="shared" si="19"/>
        <v>0</v>
      </c>
      <c r="AH17" s="386">
        <f t="shared" si="20"/>
        <v>0</v>
      </c>
      <c r="AI17" s="386">
        <f t="shared" si="21"/>
        <v>0</v>
      </c>
      <c r="AJ17" s="386">
        <f t="shared" si="22"/>
        <v>11.501406872607998</v>
      </c>
      <c r="AK17" s="386">
        <f t="shared" si="23"/>
        <v>6.6141180024637244E-2</v>
      </c>
      <c r="AL17" s="386">
        <f t="shared" si="24"/>
        <v>3.0335601426883967</v>
      </c>
      <c r="AM17">
        <f t="shared" si="25"/>
        <v>0</v>
      </c>
      <c r="AN17" s="386">
        <f t="shared" si="26"/>
        <v>3.1412545796441256</v>
      </c>
      <c r="AO17" s="386">
        <f t="shared" si="27"/>
        <v>24.381603983062298</v>
      </c>
      <c r="AP17" s="386">
        <f t="shared" si="28"/>
        <v>0.29723130639343964</v>
      </c>
      <c r="AQ17" s="386">
        <f t="shared" si="29"/>
        <v>0</v>
      </c>
      <c r="AR17" s="386">
        <f t="shared" si="30"/>
        <v>0.31601735675148901</v>
      </c>
      <c r="AS17" s="386">
        <f t="shared" si="31"/>
        <v>1.3808154483886923</v>
      </c>
      <c r="AT17" s="386">
        <f t="shared" si="32"/>
        <v>0.2626262626262626</v>
      </c>
      <c r="AU17" s="386">
        <f t="shared" si="33"/>
        <v>0.18560000000000001</v>
      </c>
      <c r="AV17" s="386">
        <f t="shared" si="34"/>
        <v>0.39684708014782344</v>
      </c>
      <c r="AW17" s="386" t="e">
        <f t="shared" si="35"/>
        <v>#VALUE!</v>
      </c>
      <c r="AX17" s="386">
        <f t="shared" si="36"/>
        <v>3.8400000000000004E-2</v>
      </c>
      <c r="AY17" s="386">
        <f t="shared" si="37"/>
        <v>0.62720000000000009</v>
      </c>
      <c r="AZ17" s="386">
        <f t="shared" si="38"/>
        <v>0.47314285714285709</v>
      </c>
      <c r="BA17" s="386">
        <f t="shared" si="56"/>
        <v>0.66560000000000008</v>
      </c>
      <c r="BB17" s="386" t="e">
        <f t="shared" si="57"/>
        <v>#VALUE!</v>
      </c>
      <c r="BC17">
        <f t="shared" si="39"/>
        <v>256</v>
      </c>
      <c r="BD17" s="604" t="e">
        <f t="shared" si="50"/>
        <v>#VALUE!</v>
      </c>
      <c r="BE17" s="614">
        <f t="shared" si="40"/>
        <v>166.34272898220627</v>
      </c>
      <c r="BF17" s="614">
        <f t="shared" si="41"/>
        <v>15.800867837574451</v>
      </c>
      <c r="BG17" s="9"/>
      <c r="BH17" s="4" t="e">
        <f t="shared" si="51"/>
        <v>#VALUE!</v>
      </c>
      <c r="BI17" s="386">
        <f t="shared" si="52"/>
        <v>2.2218681176955029</v>
      </c>
      <c r="BJ17" s="386">
        <f t="shared" si="53"/>
        <v>5.5505053116733905</v>
      </c>
      <c r="BK17" s="386">
        <f t="shared" si="54"/>
        <v>6.1248000000000011E-2</v>
      </c>
      <c r="BL17" s="386">
        <f t="shared" si="55"/>
        <v>0.39684708014782344</v>
      </c>
      <c r="BP17" t="s">
        <v>144</v>
      </c>
      <c r="BQ17" s="18">
        <v>50</v>
      </c>
      <c r="BR17" s="18">
        <v>50</v>
      </c>
      <c r="BS17" s="18">
        <v>50</v>
      </c>
      <c r="BT17" s="19">
        <f>500000*(18-Vdd)*BS17/1000000000+((500000*BS15/1000000000*Vdd)*2.5/(2*4))</f>
        <v>0.28593750000000001</v>
      </c>
      <c r="BU17">
        <f t="shared" si="42"/>
        <v>22.875</v>
      </c>
      <c r="BV17">
        <f t="shared" si="42"/>
        <v>28.59375</v>
      </c>
      <c r="BW17">
        <f t="shared" si="42"/>
        <v>34.3125</v>
      </c>
      <c r="BX17">
        <f t="shared" si="42"/>
        <v>40.03125</v>
      </c>
      <c r="BY17">
        <f t="shared" si="42"/>
        <v>45.75</v>
      </c>
      <c r="BZ17">
        <f t="shared" si="42"/>
        <v>51.46875</v>
      </c>
      <c r="CA17">
        <f t="shared" si="42"/>
        <v>5.71875</v>
      </c>
      <c r="CB17">
        <f t="shared" si="42"/>
        <v>8.578125</v>
      </c>
      <c r="CC17">
        <f t="shared" si="42"/>
        <v>11.4375</v>
      </c>
      <c r="CD17">
        <f t="shared" si="42"/>
        <v>14.296875</v>
      </c>
    </row>
    <row r="18" spans="1:82" x14ac:dyDescent="0.2">
      <c r="A18" s="35" t="s">
        <v>60</v>
      </c>
      <c r="B18" s="38">
        <f>Lf*1000000</f>
        <v>2</v>
      </c>
      <c r="C18" s="483" t="s">
        <v>11</v>
      </c>
      <c r="D18" s="482" t="s">
        <v>676</v>
      </c>
      <c r="G18">
        <v>9</v>
      </c>
      <c r="H18" s="610">
        <f t="shared" si="0"/>
        <v>10.754999999999999</v>
      </c>
      <c r="I18" s="4" t="str">
        <f t="shared" si="1"/>
        <v>BOOST</v>
      </c>
      <c r="J18">
        <f t="shared" si="43"/>
        <v>2</v>
      </c>
      <c r="K18">
        <f t="shared" si="2"/>
        <v>20</v>
      </c>
      <c r="L18" s="4">
        <f t="shared" si="3"/>
        <v>26.447647089209156</v>
      </c>
      <c r="M18" s="4">
        <f t="shared" si="4"/>
        <v>23.99701054705951</v>
      </c>
      <c r="N18" s="386">
        <f t="shared" si="5"/>
        <v>1</v>
      </c>
      <c r="O18" s="386">
        <f t="shared" si="44"/>
        <v>0.16656285328629356</v>
      </c>
      <c r="P18" s="4">
        <f t="shared" si="6"/>
        <v>3.5317548095815154</v>
      </c>
      <c r="Q18" s="386">
        <f t="shared" si="7"/>
        <v>26.467290710578414</v>
      </c>
      <c r="R18" s="386">
        <f t="shared" si="8"/>
        <v>1.8403683284411232</v>
      </c>
      <c r="S18" s="386">
        <f t="shared" si="45"/>
        <v>0.25708303107278002</v>
      </c>
      <c r="T18" s="386">
        <f t="shared" si="46"/>
        <v>2.097451359513903</v>
      </c>
      <c r="U18" s="4">
        <f t="shared" si="9"/>
        <v>8.9525383983413054</v>
      </c>
      <c r="V18" s="386">
        <f t="shared" si="10"/>
        <v>0.16029588754755103</v>
      </c>
      <c r="W18" s="386">
        <f t="shared" si="47"/>
        <v>0.16029588754755103</v>
      </c>
      <c r="X18" s="386">
        <f t="shared" si="11"/>
        <v>1.0195297950118218</v>
      </c>
      <c r="Y18" s="386">
        <f t="shared" si="12"/>
        <v>2.0788820058336949E-3</v>
      </c>
      <c r="Z18" s="603">
        <f t="shared" si="48"/>
        <v>2.0788820058336949E-3</v>
      </c>
      <c r="AA18" s="386">
        <f t="shared" si="13"/>
        <v>26.467290710578414</v>
      </c>
      <c r="AB18" s="386">
        <f t="shared" si="14"/>
        <v>1.330983207360714</v>
      </c>
      <c r="AC18" s="386">
        <f t="shared" si="15"/>
        <v>0</v>
      </c>
      <c r="AD18">
        <f t="shared" si="16"/>
        <v>0</v>
      </c>
      <c r="AE18" s="386">
        <f t="shared" si="17"/>
        <v>1.8138145483974182</v>
      </c>
      <c r="AF18" s="386">
        <f t="shared" si="18"/>
        <v>0</v>
      </c>
      <c r="AG18" s="386">
        <f t="shared" si="19"/>
        <v>0</v>
      </c>
      <c r="AH18" s="386">
        <f t="shared" si="20"/>
        <v>0</v>
      </c>
      <c r="AI18" s="386">
        <f t="shared" si="21"/>
        <v>0</v>
      </c>
      <c r="AJ18" s="386">
        <f t="shared" si="22"/>
        <v>10.801860480446072</v>
      </c>
      <c r="AK18" s="386">
        <f t="shared" si="23"/>
        <v>5.8340094919511323E-2</v>
      </c>
      <c r="AL18" s="386">
        <f t="shared" si="24"/>
        <v>2.9785583548851213</v>
      </c>
      <c r="AM18">
        <f t="shared" si="25"/>
        <v>0</v>
      </c>
      <c r="AN18" s="386">
        <f t="shared" si="26"/>
        <v>3.0727513711358574</v>
      </c>
      <c r="AO18" s="386">
        <f t="shared" si="27"/>
        <v>24.162725171620188</v>
      </c>
      <c r="AP18" s="386">
        <f t="shared" si="28"/>
        <v>0.29191864385962396</v>
      </c>
      <c r="AQ18" s="386">
        <f t="shared" si="29"/>
        <v>0</v>
      </c>
      <c r="AR18" s="386">
        <f t="shared" si="30"/>
        <v>0.31001869103100532</v>
      </c>
      <c r="AS18" s="386">
        <f t="shared" si="31"/>
        <v>1.330983207360714</v>
      </c>
      <c r="AT18" s="386">
        <f t="shared" si="32"/>
        <v>0.25786455911978928</v>
      </c>
      <c r="AU18" s="386">
        <f t="shared" si="33"/>
        <v>0.18560000000000001</v>
      </c>
      <c r="AV18" s="386">
        <f t="shared" si="34"/>
        <v>0.35004056951706797</v>
      </c>
      <c r="AW18" s="386" t="e">
        <f t="shared" si="35"/>
        <v>#VALUE!</v>
      </c>
      <c r="AX18" s="386">
        <f t="shared" si="36"/>
        <v>3.8400000000000004E-2</v>
      </c>
      <c r="AY18" s="386">
        <f t="shared" si="37"/>
        <v>0.62720000000000009</v>
      </c>
      <c r="AZ18" s="386">
        <f t="shared" si="38"/>
        <v>0.47314285714285709</v>
      </c>
      <c r="BA18" s="386">
        <f t="shared" si="56"/>
        <v>0.66560000000000008</v>
      </c>
      <c r="BB18" s="386" t="e">
        <f t="shared" si="57"/>
        <v>#VALUE!</v>
      </c>
      <c r="BC18">
        <f t="shared" si="39"/>
        <v>256</v>
      </c>
      <c r="BD18" s="604" t="e">
        <f t="shared" si="50"/>
        <v>#VALUE!</v>
      </c>
      <c r="BE18" s="614">
        <f t="shared" si="40"/>
        <v>162.91756855679287</v>
      </c>
      <c r="BF18" s="614">
        <f t="shared" si="41"/>
        <v>15.500934551550266</v>
      </c>
      <c r="BG18" s="9"/>
      <c r="BH18" s="4" t="e">
        <f t="shared" si="51"/>
        <v>#VALUE!</v>
      </c>
      <c r="BI18" s="386">
        <f t="shared" si="52"/>
        <v>2.097451359513903</v>
      </c>
      <c r="BJ18" s="386">
        <f t="shared" si="53"/>
        <v>5.3821846105642805</v>
      </c>
      <c r="BK18" s="386">
        <f t="shared" si="54"/>
        <v>6.1248000000000011E-2</v>
      </c>
      <c r="BL18" s="386">
        <f t="shared" si="55"/>
        <v>0.35004056951706797</v>
      </c>
      <c r="BP18" t="s">
        <v>145</v>
      </c>
      <c r="BR18" s="18"/>
      <c r="BS18" s="19"/>
    </row>
    <row r="19" spans="1:82" x14ac:dyDescent="0.2">
      <c r="A19" s="35" t="s">
        <v>12</v>
      </c>
      <c r="B19" s="39">
        <f>Rdcr*1000</f>
        <v>2.29</v>
      </c>
      <c r="C19" s="484" t="s">
        <v>674</v>
      </c>
      <c r="D19" s="482" t="s">
        <v>677</v>
      </c>
      <c r="G19">
        <v>10</v>
      </c>
      <c r="H19" s="610">
        <f t="shared" si="0"/>
        <v>10.95</v>
      </c>
      <c r="I19" s="4" t="str">
        <f t="shared" si="1"/>
        <v>BOOST</v>
      </c>
      <c r="J19">
        <f t="shared" si="43"/>
        <v>2</v>
      </c>
      <c r="K19">
        <f t="shared" si="2"/>
        <v>20</v>
      </c>
      <c r="L19" s="4">
        <f t="shared" si="3"/>
        <v>25.976661593099948</v>
      </c>
      <c r="M19" s="4">
        <f t="shared" si="4"/>
        <v>23.560272145046309</v>
      </c>
      <c r="N19" s="386">
        <f t="shared" si="5"/>
        <v>1</v>
      </c>
      <c r="O19" s="386">
        <f t="shared" si="44"/>
        <v>0.15111337098009195</v>
      </c>
      <c r="P19" s="4">
        <f t="shared" si="6"/>
        <v>3.2639264504403642</v>
      </c>
      <c r="Q19" s="386">
        <f t="shared" si="7"/>
        <v>25.993743776376736</v>
      </c>
      <c r="R19" s="386">
        <f t="shared" si="8"/>
        <v>1.7658823921129656</v>
      </c>
      <c r="S19" s="386">
        <f t="shared" si="45"/>
        <v>0.21436851207971436</v>
      </c>
      <c r="T19" s="386">
        <f t="shared" si="46"/>
        <v>1.9802509041926799</v>
      </c>
      <c r="U19" s="4">
        <f t="shared" si="9"/>
        <v>8.4476906716059688</v>
      </c>
      <c r="V19" s="386">
        <f t="shared" si="10"/>
        <v>0.142726955366277</v>
      </c>
      <c r="W19" s="386">
        <f t="shared" si="47"/>
        <v>0.142726955366277</v>
      </c>
      <c r="X19" s="386">
        <f t="shared" si="11"/>
        <v>0.94221440738844209</v>
      </c>
      <c r="Y19" s="386">
        <f t="shared" si="12"/>
        <v>1.7755359789807061E-3</v>
      </c>
      <c r="Z19" s="603">
        <f t="shared" si="48"/>
        <v>1.7755359789807061E-3</v>
      </c>
      <c r="AA19" s="386">
        <f t="shared" si="13"/>
        <v>25.993743776376736</v>
      </c>
      <c r="AB19" s="386">
        <f t="shared" si="14"/>
        <v>1.2837819594726563</v>
      </c>
      <c r="AC19" s="386">
        <f t="shared" si="15"/>
        <v>0</v>
      </c>
      <c r="AD19">
        <f t="shared" si="16"/>
        <v>0</v>
      </c>
      <c r="AE19" s="386">
        <f t="shared" si="17"/>
        <v>1.7272694248188991</v>
      </c>
      <c r="AF19" s="386">
        <f t="shared" si="18"/>
        <v>0</v>
      </c>
      <c r="AG19" s="386">
        <f t="shared" si="19"/>
        <v>0</v>
      </c>
      <c r="AH19" s="386">
        <f t="shared" si="20"/>
        <v>0</v>
      </c>
      <c r="AI19" s="386">
        <f t="shared" si="21"/>
        <v>0</v>
      </c>
      <c r="AJ19" s="386">
        <f t="shared" si="22"/>
        <v>10.10462685837639</v>
      </c>
      <c r="AK19" s="386">
        <f t="shared" si="23"/>
        <v>5.1051741973510756E-2</v>
      </c>
      <c r="AL19" s="386">
        <f t="shared" si="24"/>
        <v>2.9255155348666189</v>
      </c>
      <c r="AM19">
        <f t="shared" si="25"/>
        <v>0</v>
      </c>
      <c r="AN19" s="386">
        <f t="shared" si="26"/>
        <v>3.0072725775750042</v>
      </c>
      <c r="AO19" s="386">
        <f t="shared" si="27"/>
        <v>23.94934720540213</v>
      </c>
      <c r="AP19" s="386">
        <f t="shared" si="28"/>
        <v>0.28678561578245143</v>
      </c>
      <c r="AQ19" s="386">
        <f t="shared" si="29"/>
        <v>0</v>
      </c>
      <c r="AR19" s="386">
        <f t="shared" si="30"/>
        <v>0.30423570031396036</v>
      </c>
      <c r="AS19" s="386">
        <f t="shared" si="31"/>
        <v>1.2837819594726563</v>
      </c>
      <c r="AT19" s="386">
        <f t="shared" si="32"/>
        <v>0.25327245053272451</v>
      </c>
      <c r="AU19" s="386">
        <f t="shared" si="33"/>
        <v>0.18560000000000001</v>
      </c>
      <c r="AV19" s="386">
        <f t="shared" si="34"/>
        <v>0.30631045184106453</v>
      </c>
      <c r="AW19" s="386" t="e">
        <f t="shared" si="35"/>
        <v>#VALUE!</v>
      </c>
      <c r="AX19" s="386">
        <f t="shared" si="36"/>
        <v>3.8400000000000004E-2</v>
      </c>
      <c r="AY19" s="386">
        <f t="shared" si="37"/>
        <v>0.62720000000000009</v>
      </c>
      <c r="AZ19" s="386">
        <f t="shared" si="38"/>
        <v>0.47314285714285709</v>
      </c>
      <c r="BA19" s="386">
        <f t="shared" si="56"/>
        <v>0.66560000000000008</v>
      </c>
      <c r="BB19" s="386" t="e">
        <f t="shared" si="57"/>
        <v>#VALUE!</v>
      </c>
      <c r="BC19">
        <f t="shared" si="39"/>
        <v>256</v>
      </c>
      <c r="BD19" s="604" t="e">
        <f t="shared" si="50"/>
        <v>#VALUE!</v>
      </c>
      <c r="BE19" s="614">
        <f t="shared" si="40"/>
        <v>159.64362887875021</v>
      </c>
      <c r="BF19" s="614">
        <f t="shared" si="41"/>
        <v>15.211785015698018</v>
      </c>
      <c r="BG19" s="9"/>
      <c r="BH19" s="4" t="e">
        <f t="shared" si="51"/>
        <v>#VALUE!</v>
      </c>
      <c r="BI19" s="386">
        <f t="shared" si="52"/>
        <v>1.9802509041926799</v>
      </c>
      <c r="BJ19" s="386">
        <f t="shared" si="53"/>
        <v>5.2243777027078631</v>
      </c>
      <c r="BK19" s="386">
        <f t="shared" si="54"/>
        <v>6.1248000000000011E-2</v>
      </c>
      <c r="BL19" s="386">
        <f t="shared" si="55"/>
        <v>0.30631045184106453</v>
      </c>
      <c r="BP19" t="s">
        <v>146</v>
      </c>
      <c r="BR19" s="18"/>
      <c r="BS19" s="19"/>
    </row>
    <row r="20" spans="1:82" x14ac:dyDescent="0.2">
      <c r="A20" s="35" t="s">
        <v>86</v>
      </c>
      <c r="B20" s="39">
        <f>Ltc*1000000</f>
        <v>4000</v>
      </c>
      <c r="C20" s="483" t="s">
        <v>85</v>
      </c>
      <c r="D20" s="21" t="s">
        <v>101</v>
      </c>
      <c r="G20">
        <v>11</v>
      </c>
      <c r="H20" s="610">
        <f t="shared" si="0"/>
        <v>11.145</v>
      </c>
      <c r="I20" s="4" t="str">
        <f t="shared" si="1"/>
        <v>BOOST</v>
      </c>
      <c r="J20">
        <f t="shared" si="43"/>
        <v>2</v>
      </c>
      <c r="K20">
        <f t="shared" si="2"/>
        <v>20</v>
      </c>
      <c r="L20" s="4">
        <f t="shared" si="3"/>
        <v>25.522157419869398</v>
      </c>
      <c r="M20" s="4">
        <f t="shared" si="4"/>
        <v>23.139349337703656</v>
      </c>
      <c r="N20" s="386">
        <f t="shared" si="5"/>
        <v>1</v>
      </c>
      <c r="O20" s="386">
        <f t="shared" si="44"/>
        <v>0.1356714612795247</v>
      </c>
      <c r="P20" s="4">
        <f t="shared" si="6"/>
        <v>2.9840196351393953</v>
      </c>
      <c r="Q20" s="386">
        <f t="shared" si="7"/>
        <v>25.536690280127715</v>
      </c>
      <c r="R20" s="386">
        <f t="shared" si="8"/>
        <v>1.6959770732380099</v>
      </c>
      <c r="S20" s="386">
        <f t="shared" si="45"/>
        <v>0.17435975821308444</v>
      </c>
      <c r="T20" s="386">
        <f t="shared" si="46"/>
        <v>1.8703368314510944</v>
      </c>
      <c r="U20" s="4">
        <f t="shared" si="9"/>
        <v>7.9311702475716954</v>
      </c>
      <c r="V20" s="386">
        <f t="shared" si="10"/>
        <v>0.12580692299193294</v>
      </c>
      <c r="W20" s="386">
        <f t="shared" si="47"/>
        <v>0.12580692299193294</v>
      </c>
      <c r="X20" s="386">
        <f t="shared" si="11"/>
        <v>0.86141226980742946</v>
      </c>
      <c r="Y20" s="386">
        <f t="shared" si="12"/>
        <v>1.4840621971495753E-3</v>
      </c>
      <c r="Z20" s="603">
        <f t="shared" si="48"/>
        <v>1.4840621971495753E-3</v>
      </c>
      <c r="AA20" s="386">
        <f t="shared" si="13"/>
        <v>25.536690280127715</v>
      </c>
      <c r="AB20" s="386">
        <f t="shared" si="14"/>
        <v>1.2390328458800217</v>
      </c>
      <c r="AC20" s="386">
        <f t="shared" si="15"/>
        <v>0</v>
      </c>
      <c r="AD20">
        <f t="shared" si="16"/>
        <v>0</v>
      </c>
      <c r="AE20" s="386">
        <f t="shared" si="17"/>
        <v>1.6472263584151676</v>
      </c>
      <c r="AF20" s="386">
        <f t="shared" si="18"/>
        <v>0</v>
      </c>
      <c r="AG20" s="386">
        <f t="shared" si="19"/>
        <v>0</v>
      </c>
      <c r="AH20" s="386">
        <f t="shared" si="20"/>
        <v>0</v>
      </c>
      <c r="AI20" s="386">
        <f t="shared" si="21"/>
        <v>0</v>
      </c>
      <c r="AJ20" s="386">
        <f t="shared" si="22"/>
        <v>9.4060841668926596</v>
      </c>
      <c r="AK20" s="386">
        <f t="shared" si="23"/>
        <v>4.423720967733439E-2</v>
      </c>
      <c r="AL20" s="386">
        <f t="shared" si="24"/>
        <v>2.8743288565984275</v>
      </c>
      <c r="AM20">
        <f t="shared" si="25"/>
        <v>0</v>
      </c>
      <c r="AN20" s="386">
        <f t="shared" si="26"/>
        <v>2.9446184066507111</v>
      </c>
      <c r="AO20" s="386">
        <f t="shared" si="27"/>
        <v>23.74127484168659</v>
      </c>
      <c r="AP20" s="386">
        <f t="shared" si="28"/>
        <v>0.28182406555425032</v>
      </c>
      <c r="AQ20" s="386">
        <f t="shared" si="29"/>
        <v>0</v>
      </c>
      <c r="AR20" s="386">
        <f t="shared" si="30"/>
        <v>0.29865786001826633</v>
      </c>
      <c r="AS20" s="386">
        <f t="shared" si="31"/>
        <v>1.2390328458800217</v>
      </c>
      <c r="AT20" s="386">
        <f t="shared" si="32"/>
        <v>0.24884103484372663</v>
      </c>
      <c r="AU20" s="386">
        <f t="shared" si="33"/>
        <v>0.18560000000000001</v>
      </c>
      <c r="AV20" s="386">
        <f t="shared" si="34"/>
        <v>0.26542325806400635</v>
      </c>
      <c r="AW20" s="386" t="e">
        <f t="shared" si="35"/>
        <v>#VALUE!</v>
      </c>
      <c r="AX20" s="386">
        <f t="shared" si="36"/>
        <v>3.8400000000000004E-2</v>
      </c>
      <c r="AY20" s="386">
        <f t="shared" si="37"/>
        <v>0.62720000000000009</v>
      </c>
      <c r="AZ20" s="386">
        <f t="shared" si="38"/>
        <v>0.47314285714285709</v>
      </c>
      <c r="BA20" s="386">
        <f t="shared" si="56"/>
        <v>0.66560000000000008</v>
      </c>
      <c r="BB20" s="386" t="e">
        <f t="shared" si="57"/>
        <v>#VALUE!</v>
      </c>
      <c r="BC20">
        <f t="shared" si="39"/>
        <v>256</v>
      </c>
      <c r="BD20" s="604" t="e">
        <f t="shared" si="50"/>
        <v>#VALUE!</v>
      </c>
      <c r="BE20" s="614">
        <f t="shared" si="40"/>
        <v>156.51092033253556</v>
      </c>
      <c r="BF20" s="614">
        <f t="shared" si="41"/>
        <v>14.932893000913317</v>
      </c>
      <c r="BG20" s="9"/>
      <c r="BH20" s="4" t="e">
        <f t="shared" si="51"/>
        <v>#VALUE!</v>
      </c>
      <c r="BI20" s="386">
        <f t="shared" si="52"/>
        <v>1.8703368314510944</v>
      </c>
      <c r="BJ20" s="386">
        <f t="shared" si="53"/>
        <v>5.0761026250841459</v>
      </c>
      <c r="BK20" s="386">
        <f t="shared" si="54"/>
        <v>6.1248000000000011E-2</v>
      </c>
      <c r="BL20" s="386">
        <f t="shared" si="55"/>
        <v>0.26542325806400635</v>
      </c>
      <c r="BR20" s="18"/>
      <c r="BS20" s="19"/>
    </row>
    <row r="21" spans="1:82" x14ac:dyDescent="0.2">
      <c r="A21" s="25" t="s">
        <v>159</v>
      </c>
      <c r="B21" s="39">
        <f>ThetaCa</f>
        <v>20</v>
      </c>
      <c r="C21" s="483" t="s">
        <v>241</v>
      </c>
      <c r="D21" s="26" t="s">
        <v>160</v>
      </c>
      <c r="G21">
        <v>12</v>
      </c>
      <c r="H21" s="610">
        <f t="shared" si="0"/>
        <v>11.34</v>
      </c>
      <c r="I21" s="4" t="str">
        <f t="shared" si="1"/>
        <v>BOOST</v>
      </c>
      <c r="J21">
        <f t="shared" si="43"/>
        <v>2</v>
      </c>
      <c r="K21">
        <f t="shared" si="2"/>
        <v>20</v>
      </c>
      <c r="L21" s="4">
        <f t="shared" si="3"/>
        <v>25.083284342543603</v>
      </c>
      <c r="M21" s="4">
        <f t="shared" si="4"/>
        <v>22.73338829868241</v>
      </c>
      <c r="N21" s="386">
        <f t="shared" si="5"/>
        <v>1</v>
      </c>
      <c r="O21" s="386">
        <f t="shared" si="44"/>
        <v>0.12023673122412783</v>
      </c>
      <c r="P21" s="4">
        <f t="shared" si="6"/>
        <v>2.692044570240105</v>
      </c>
      <c r="Q21" s="386">
        <f t="shared" si="7"/>
        <v>25.095319857287596</v>
      </c>
      <c r="R21" s="386">
        <f t="shared" si="8"/>
        <v>1.6302779089098631</v>
      </c>
      <c r="S21" s="386">
        <f t="shared" si="45"/>
        <v>0.13753482842632564</v>
      </c>
      <c r="T21" s="386">
        <f t="shared" si="46"/>
        <v>1.7678127373361887</v>
      </c>
      <c r="U21" s="4">
        <f t="shared" si="9"/>
        <v>7.3993448422989516</v>
      </c>
      <c r="V21" s="386">
        <f t="shared" si="10"/>
        <v>0.1095006081905122</v>
      </c>
      <c r="W21" s="386">
        <f t="shared" si="47"/>
        <v>0.1095006081905122</v>
      </c>
      <c r="X21" s="386">
        <f t="shared" si="11"/>
        <v>0.77712632864929754</v>
      </c>
      <c r="Y21" s="386">
        <f t="shared" si="12"/>
        <v>1.2078506613598721E-3</v>
      </c>
      <c r="Z21" s="603">
        <f t="shared" si="48"/>
        <v>1.2078506613598721E-3</v>
      </c>
      <c r="AA21" s="386">
        <f t="shared" si="13"/>
        <v>25.095319857287596</v>
      </c>
      <c r="AB21" s="386">
        <f t="shared" si="14"/>
        <v>1.1965726496051889</v>
      </c>
      <c r="AC21" s="386">
        <f t="shared" si="15"/>
        <v>0</v>
      </c>
      <c r="AD21">
        <f t="shared" si="16"/>
        <v>0</v>
      </c>
      <c r="AE21" s="386">
        <f t="shared" si="17"/>
        <v>1.5730189370923304</v>
      </c>
      <c r="AF21" s="386">
        <f t="shared" si="18"/>
        <v>0</v>
      </c>
      <c r="AG21" s="386">
        <f t="shared" si="19"/>
        <v>0</v>
      </c>
      <c r="AH21" s="386">
        <f t="shared" si="20"/>
        <v>0</v>
      </c>
      <c r="AI21" s="386">
        <f t="shared" si="21"/>
        <v>0</v>
      </c>
      <c r="AJ21" s="386">
        <f t="shared" si="22"/>
        <v>8.7018444524172001</v>
      </c>
      <c r="AK21" s="386">
        <f t="shared" si="23"/>
        <v>3.7861048437031995E-2</v>
      </c>
      <c r="AL21" s="386">
        <f t="shared" si="24"/>
        <v>2.8249025667362853</v>
      </c>
      <c r="AM21">
        <f t="shared" si="25"/>
        <v>0</v>
      </c>
      <c r="AN21" s="386">
        <f t="shared" si="26"/>
        <v>2.8846064601552599</v>
      </c>
      <c r="AO21" s="386">
        <f t="shared" si="27"/>
        <v>23.538330056856395</v>
      </c>
      <c r="AP21" s="386">
        <f t="shared" si="28"/>
        <v>0.27702649093275461</v>
      </c>
      <c r="AQ21" s="386">
        <f t="shared" si="29"/>
        <v>0</v>
      </c>
      <c r="AR21" s="386">
        <f t="shared" si="30"/>
        <v>0.29327550789869394</v>
      </c>
      <c r="AS21" s="386">
        <f t="shared" si="31"/>
        <v>1.1965726496051889</v>
      </c>
      <c r="AT21" s="386">
        <f t="shared" si="32"/>
        <v>0.24456202233980012</v>
      </c>
      <c r="AU21" s="386">
        <f t="shared" si="33"/>
        <v>0.18560000000000001</v>
      </c>
      <c r="AV21" s="386">
        <f t="shared" si="34"/>
        <v>0.22716629062219199</v>
      </c>
      <c r="AW21" s="386" t="e">
        <f t="shared" si="35"/>
        <v>#VALUE!</v>
      </c>
      <c r="AX21" s="386">
        <f t="shared" si="36"/>
        <v>3.8400000000000004E-2</v>
      </c>
      <c r="AY21" s="386">
        <f t="shared" si="37"/>
        <v>0.62720000000000009</v>
      </c>
      <c r="AZ21" s="386">
        <f t="shared" si="38"/>
        <v>0.47314285714285709</v>
      </c>
      <c r="BA21" s="386">
        <f t="shared" si="56"/>
        <v>0.66560000000000008</v>
      </c>
      <c r="BB21" s="386" t="e">
        <f t="shared" si="57"/>
        <v>#VALUE!</v>
      </c>
      <c r="BC21">
        <f t="shared" si="39"/>
        <v>256</v>
      </c>
      <c r="BD21" s="604" t="e">
        <f t="shared" si="50"/>
        <v>#VALUE!</v>
      </c>
      <c r="BE21" s="614">
        <f t="shared" si="40"/>
        <v>153.51032300776299</v>
      </c>
      <c r="BF21" s="614">
        <f t="shared" si="41"/>
        <v>14.663775394934698</v>
      </c>
      <c r="BG21" s="9"/>
      <c r="BH21" s="4" t="e">
        <f t="shared" si="51"/>
        <v>#VALUE!</v>
      </c>
      <c r="BI21" s="386">
        <f t="shared" si="52"/>
        <v>1.7678127373361887</v>
      </c>
      <c r="BJ21" s="386">
        <f t="shared" si="53"/>
        <v>4.9365009051462847</v>
      </c>
      <c r="BK21" s="386">
        <f t="shared" si="54"/>
        <v>6.1248000000000011E-2</v>
      </c>
      <c r="BL21" s="386">
        <f t="shared" si="55"/>
        <v>0.22716629062219199</v>
      </c>
      <c r="BR21" s="18"/>
      <c r="BS21" s="19"/>
    </row>
    <row r="22" spans="1:82" x14ac:dyDescent="0.2">
      <c r="A22" s="36" t="s">
        <v>61</v>
      </c>
      <c r="B22" s="39">
        <f>Cin*1000000</f>
        <v>290</v>
      </c>
      <c r="C22" s="485" t="s">
        <v>675</v>
      </c>
      <c r="D22" s="482" t="s">
        <v>693</v>
      </c>
      <c r="G22">
        <v>13</v>
      </c>
      <c r="H22" s="610">
        <f t="shared" si="0"/>
        <v>11.535</v>
      </c>
      <c r="I22" s="445" t="str">
        <f t="shared" si="1"/>
        <v>BOOST</v>
      </c>
      <c r="J22">
        <f t="shared" si="43"/>
        <v>2</v>
      </c>
      <c r="K22">
        <f t="shared" si="2"/>
        <v>20</v>
      </c>
      <c r="L22" s="4">
        <f t="shared" si="3"/>
        <v>24.659249626739872</v>
      </c>
      <c r="M22" s="4">
        <f t="shared" si="4"/>
        <v>22.34159621513319</v>
      </c>
      <c r="N22" s="386">
        <f t="shared" si="5"/>
        <v>1</v>
      </c>
      <c r="O22" s="386">
        <f t="shared" si="44"/>
        <v>0.10480881458000296</v>
      </c>
      <c r="P22" s="4">
        <f t="shared" si="6"/>
        <v>2.3880107645220972</v>
      </c>
      <c r="Q22" s="386">
        <f t="shared" si="7"/>
        <v>24.668883404770472</v>
      </c>
      <c r="R22" s="386">
        <f t="shared" si="8"/>
        <v>1.5684501091510938</v>
      </c>
      <c r="S22" s="386">
        <f t="shared" si="45"/>
        <v>0.1043515213063031</v>
      </c>
      <c r="T22" s="386">
        <f t="shared" si="46"/>
        <v>1.6728016304573969</v>
      </c>
      <c r="U22" s="4">
        <f t="shared" si="9"/>
        <v>6.8474493452158454</v>
      </c>
      <c r="V22" s="386">
        <f t="shared" si="10"/>
        <v>9.3775125070593823E-2</v>
      </c>
      <c r="W22" s="386">
        <f t="shared" si="47"/>
        <v>9.3775125070593823E-2</v>
      </c>
      <c r="X22" s="386">
        <f t="shared" si="11"/>
        <v>0.68935932886227846</v>
      </c>
      <c r="Y22" s="386">
        <f t="shared" si="12"/>
        <v>9.5043256857890203E-4</v>
      </c>
      <c r="Z22" s="603">
        <f t="shared" si="48"/>
        <v>9.5043256857890203E-4</v>
      </c>
      <c r="AA22" s="386">
        <f t="shared" si="13"/>
        <v>24.668883404770472</v>
      </c>
      <c r="AB22" s="386">
        <f t="shared" si="14"/>
        <v>1.156252236032504</v>
      </c>
      <c r="AC22" s="386">
        <f t="shared" si="15"/>
        <v>0</v>
      </c>
      <c r="AD22">
        <f t="shared" si="16"/>
        <v>0</v>
      </c>
      <c r="AE22" s="386">
        <f t="shared" si="17"/>
        <v>1.5040688242755902</v>
      </c>
      <c r="AF22" s="386">
        <f t="shared" si="18"/>
        <v>0</v>
      </c>
      <c r="AG22" s="386">
        <f t="shared" si="19"/>
        <v>0</v>
      </c>
      <c r="AH22" s="386">
        <f t="shared" si="20"/>
        <v>0</v>
      </c>
      <c r="AI22" s="386">
        <f t="shared" si="21"/>
        <v>0</v>
      </c>
      <c r="AJ22" s="386">
        <f t="shared" si="22"/>
        <v>7.9863510610634787</v>
      </c>
      <c r="AK22" s="386">
        <f t="shared" si="23"/>
        <v>3.1890901635274874E-2</v>
      </c>
      <c r="AL22" s="386">
        <f t="shared" si="24"/>
        <v>2.7771473868044625</v>
      </c>
      <c r="AM22">
        <f t="shared" si="25"/>
        <v>0</v>
      </c>
      <c r="AN22" s="386">
        <f t="shared" si="26"/>
        <v>2.82706984973855</v>
      </c>
      <c r="AO22" s="386">
        <f t="shared" si="27"/>
        <v>23.340351436248987</v>
      </c>
      <c r="AP22" s="386">
        <f t="shared" si="28"/>
        <v>0.27238600258380508</v>
      </c>
      <c r="AQ22" s="386">
        <f t="shared" si="29"/>
        <v>0</v>
      </c>
      <c r="AR22" s="386">
        <f t="shared" si="30"/>
        <v>0.28807978266909423</v>
      </c>
      <c r="AS22" s="386">
        <f t="shared" si="31"/>
        <v>1.156252236032504</v>
      </c>
      <c r="AT22" s="386">
        <f t="shared" si="32"/>
        <v>0.24042768386071375</v>
      </c>
      <c r="AU22" s="386">
        <f t="shared" si="33"/>
        <v>0.18560000000000001</v>
      </c>
      <c r="AV22" s="386">
        <f t="shared" si="34"/>
        <v>0.19134540981164927</v>
      </c>
      <c r="AW22" s="386" t="e">
        <f t="shared" si="35"/>
        <v>#VALUE!</v>
      </c>
      <c r="AX22" s="386">
        <f t="shared" si="36"/>
        <v>3.8400000000000004E-2</v>
      </c>
      <c r="AY22" s="386">
        <f t="shared" si="37"/>
        <v>0.62720000000000009</v>
      </c>
      <c r="AZ22" s="386">
        <f t="shared" si="38"/>
        <v>0.47314285714285709</v>
      </c>
      <c r="BA22" s="386">
        <f t="shared" si="56"/>
        <v>0.66560000000000008</v>
      </c>
      <c r="BB22" s="386" t="e">
        <f t="shared" si="57"/>
        <v>#VALUE!</v>
      </c>
      <c r="BC22">
        <f t="shared" si="39"/>
        <v>256</v>
      </c>
      <c r="BD22" s="604" t="e">
        <f t="shared" si="50"/>
        <v>#VALUE!</v>
      </c>
      <c r="BE22" s="614">
        <f t="shared" si="40"/>
        <v>150.63349248692751</v>
      </c>
      <c r="BF22" s="614">
        <f t="shared" si="41"/>
        <v>14.403989133454711</v>
      </c>
      <c r="BG22" s="9"/>
      <c r="BH22" s="4" t="e">
        <f t="shared" si="51"/>
        <v>#VALUE!</v>
      </c>
      <c r="BI22" s="386">
        <f t="shared" si="52"/>
        <v>1.6728016304573969</v>
      </c>
      <c r="BJ22" s="386">
        <f t="shared" si="53"/>
        <v>4.8048184566832344</v>
      </c>
      <c r="BK22" s="386">
        <f t="shared" si="54"/>
        <v>6.1248000000000011E-2</v>
      </c>
      <c r="BL22" s="386">
        <f t="shared" si="55"/>
        <v>0.19134540981164927</v>
      </c>
      <c r="BR22" s="18"/>
      <c r="BS22" s="19"/>
    </row>
    <row r="23" spans="1:82" x14ac:dyDescent="0.2">
      <c r="A23" s="36" t="s">
        <v>90</v>
      </c>
      <c r="B23" s="39">
        <f>RCinEsr*1000</f>
        <v>2</v>
      </c>
      <c r="C23" s="484" t="s">
        <v>674</v>
      </c>
      <c r="D23" s="482" t="s">
        <v>689</v>
      </c>
      <c r="G23">
        <v>14</v>
      </c>
      <c r="H23" s="610">
        <f t="shared" si="0"/>
        <v>11.73</v>
      </c>
      <c r="I23" s="445" t="str">
        <f t="shared" si="1"/>
        <v>BOOST</v>
      </c>
      <c r="J23">
        <f t="shared" si="43"/>
        <v>2</v>
      </c>
      <c r="K23">
        <f t="shared" si="2"/>
        <v>20</v>
      </c>
      <c r="L23" s="4">
        <f t="shared" si="3"/>
        <v>24.249313251870795</v>
      </c>
      <c r="M23" s="4">
        <f t="shared" si="4"/>
        <v>21.963235883668485</v>
      </c>
      <c r="N23" s="386">
        <f t="shared" si="5"/>
        <v>1</v>
      </c>
      <c r="O23" s="386">
        <f t="shared" si="44"/>
        <v>8.9387369605601591E-2</v>
      </c>
      <c r="P23" s="4">
        <f t="shared" si="6"/>
        <v>2.0719270876085467</v>
      </c>
      <c r="Q23" s="386">
        <f t="shared" si="7"/>
        <v>24.256688424887138</v>
      </c>
      <c r="R23" s="386">
        <f t="shared" si="8"/>
        <v>1.5101936001377572</v>
      </c>
      <c r="S23" s="386">
        <f t="shared" si="45"/>
        <v>7.5236740160246673E-2</v>
      </c>
      <c r="T23" s="386">
        <f t="shared" si="46"/>
        <v>1.5854303402980039</v>
      </c>
      <c r="U23" s="4">
        <f t="shared" si="9"/>
        <v>6.2689579747200614</v>
      </c>
      <c r="V23" s="386">
        <f t="shared" si="10"/>
        <v>7.8599668177612519E-2</v>
      </c>
      <c r="W23" s="386">
        <f t="shared" si="47"/>
        <v>7.8599668177612519E-2</v>
      </c>
      <c r="X23" s="386">
        <f t="shared" si="11"/>
        <v>0.59811383088603587</v>
      </c>
      <c r="Y23" s="386">
        <f t="shared" si="12"/>
        <v>7.1548030939433903E-4</v>
      </c>
      <c r="Z23" s="603">
        <f t="shared" si="48"/>
        <v>7.1548030939433903E-4</v>
      </c>
      <c r="AA23" s="386">
        <f t="shared" si="13"/>
        <v>24.256688424887138</v>
      </c>
      <c r="AB23" s="386">
        <f t="shared" si="14"/>
        <v>1.1179351733499019</v>
      </c>
      <c r="AC23" s="386">
        <f t="shared" si="15"/>
        <v>0</v>
      </c>
      <c r="AD23">
        <f t="shared" si="16"/>
        <v>0</v>
      </c>
      <c r="AE23" s="386">
        <f t="shared" si="17"/>
        <v>1.4398718507678656</v>
      </c>
      <c r="AF23" s="386">
        <f t="shared" si="18"/>
        <v>0</v>
      </c>
      <c r="AG23" s="386">
        <f t="shared" si="19"/>
        <v>0</v>
      </c>
      <c r="AH23" s="386">
        <f t="shared" si="20"/>
        <v>0</v>
      </c>
      <c r="AI23" s="386">
        <f t="shared" si="21"/>
        <v>0</v>
      </c>
      <c r="AJ23" s="386">
        <f t="shared" si="22"/>
        <v>7.2521969279489795</v>
      </c>
      <c r="AK23" s="386">
        <f t="shared" si="23"/>
        <v>2.6297180140876307E-2</v>
      </c>
      <c r="AL23" s="386">
        <f t="shared" si="24"/>
        <v>2.7309799750033656</v>
      </c>
      <c r="AM23">
        <f t="shared" si="25"/>
        <v>0</v>
      </c>
      <c r="AN23" s="386">
        <f t="shared" si="26"/>
        <v>2.7718555520998538</v>
      </c>
      <c r="AO23" s="386">
        <f t="shared" si="27"/>
        <v>23.147193632496812</v>
      </c>
      <c r="AP23" s="386">
        <f t="shared" si="28"/>
        <v>0.26789628653015046</v>
      </c>
      <c r="AQ23" s="386">
        <f t="shared" si="29"/>
        <v>0</v>
      </c>
      <c r="AR23" s="386">
        <f t="shared" si="30"/>
        <v>0.28306256873405838</v>
      </c>
      <c r="AS23" s="386">
        <f t="shared" si="31"/>
        <v>1.1179351733499019</v>
      </c>
      <c r="AT23" s="386">
        <f t="shared" si="32"/>
        <v>0.23643080420574025</v>
      </c>
      <c r="AU23" s="386">
        <f t="shared" si="33"/>
        <v>0.18560000000000001</v>
      </c>
      <c r="AV23" s="386">
        <f t="shared" si="34"/>
        <v>0.15778308084525786</v>
      </c>
      <c r="AW23" s="386" t="e">
        <f t="shared" si="35"/>
        <v>#VALUE!</v>
      </c>
      <c r="AX23" s="386">
        <f t="shared" si="36"/>
        <v>3.8400000000000004E-2</v>
      </c>
      <c r="AY23" s="386">
        <f t="shared" si="37"/>
        <v>0.62720000000000009</v>
      </c>
      <c r="AZ23" s="386">
        <f t="shared" si="38"/>
        <v>0.47314285714285709</v>
      </c>
      <c r="BA23" s="386">
        <f t="shared" si="56"/>
        <v>0.66560000000000008</v>
      </c>
      <c r="BB23" s="386" t="e">
        <f t="shared" si="57"/>
        <v>#VALUE!</v>
      </c>
      <c r="BC23">
        <f t="shared" si="39"/>
        <v>256</v>
      </c>
      <c r="BD23" s="604" t="e">
        <f t="shared" si="50"/>
        <v>#VALUE!</v>
      </c>
      <c r="BE23" s="614">
        <f t="shared" si="40"/>
        <v>147.87277760499268</v>
      </c>
      <c r="BF23" s="614">
        <f t="shared" si="41"/>
        <v>14.15312843670292</v>
      </c>
      <c r="BG23" s="9"/>
      <c r="BH23" s="4" t="e">
        <f t="shared" si="51"/>
        <v>#VALUE!</v>
      </c>
      <c r="BI23" s="386">
        <f t="shared" si="52"/>
        <v>1.5854303402980039</v>
      </c>
      <c r="BJ23" s="386">
        <f t="shared" si="53"/>
        <v>4.6803899716017776</v>
      </c>
      <c r="BK23" s="386">
        <f t="shared" si="54"/>
        <v>6.1248000000000011E-2</v>
      </c>
      <c r="BL23" s="386">
        <f t="shared" si="55"/>
        <v>0.15778308084525786</v>
      </c>
      <c r="BR23" s="18"/>
      <c r="BS23" s="19"/>
    </row>
    <row r="24" spans="1:82" x14ac:dyDescent="0.2">
      <c r="A24" s="35" t="s">
        <v>27</v>
      </c>
      <c r="B24" s="39">
        <f>Cout*1000000</f>
        <v>990</v>
      </c>
      <c r="C24" s="483" t="s">
        <v>675</v>
      </c>
      <c r="D24" s="482" t="s">
        <v>692</v>
      </c>
      <c r="G24">
        <v>15</v>
      </c>
      <c r="H24" s="610">
        <f t="shared" si="0"/>
        <v>11.925000000000001</v>
      </c>
      <c r="I24" s="445" t="str">
        <f t="shared" si="1"/>
        <v>BUCK-BST</v>
      </c>
      <c r="J24">
        <f t="shared" si="43"/>
        <v>3</v>
      </c>
      <c r="K24">
        <f t="shared" si="2"/>
        <v>20</v>
      </c>
      <c r="L24" s="4">
        <f t="shared" si="3"/>
        <v>23.852783601211272</v>
      </c>
      <c r="M24" s="4">
        <f t="shared" si="4"/>
        <v>22.303901549184566</v>
      </c>
      <c r="N24" s="386">
        <f t="shared" si="5"/>
        <v>0.96250000000000002</v>
      </c>
      <c r="O24" s="386">
        <f t="shared" si="44"/>
        <v>0.10329589843750001</v>
      </c>
      <c r="P24" s="4">
        <f t="shared" si="6"/>
        <v>4.8701505539313645</v>
      </c>
      <c r="Q24" s="386">
        <f t="shared" si="7"/>
        <v>22.348166699990124</v>
      </c>
      <c r="R24" s="386">
        <f t="shared" si="8"/>
        <v>1.2589055976779986</v>
      </c>
      <c r="S24" s="386">
        <f t="shared" si="45"/>
        <v>0.53901500497869159</v>
      </c>
      <c r="T24" s="386">
        <f t="shared" si="46"/>
        <v>1.7979206026566903</v>
      </c>
      <c r="U24" s="4">
        <f t="shared" si="9"/>
        <v>6.8048304587073734</v>
      </c>
      <c r="V24" s="386">
        <f t="shared" si="10"/>
        <v>9.2611435143503201E-2</v>
      </c>
      <c r="W24" s="386">
        <f t="shared" si="47"/>
        <v>9.2611435143503201E-2</v>
      </c>
      <c r="X24" s="386">
        <f t="shared" si="11"/>
        <v>1.4058913666531392</v>
      </c>
      <c r="Y24" s="386">
        <f t="shared" si="12"/>
        <v>3.9530610696596634E-3</v>
      </c>
      <c r="Z24" s="603">
        <f t="shared" si="48"/>
        <v>3.9530610696596634E-3</v>
      </c>
      <c r="AA24" s="386">
        <f t="shared" si="13"/>
        <v>21.925134755427433</v>
      </c>
      <c r="AB24" s="386">
        <f t="shared" si="14"/>
        <v>0.91335191468293875</v>
      </c>
      <c r="AC24" s="386">
        <f t="shared" si="15"/>
        <v>0.46103446755139077</v>
      </c>
      <c r="AD24">
        <f t="shared" si="16"/>
        <v>0</v>
      </c>
      <c r="AE24" s="386">
        <f t="shared" si="17"/>
        <v>1.6815570530435069</v>
      </c>
      <c r="AF24" s="386">
        <f t="shared" si="18"/>
        <v>4.3277038723664445</v>
      </c>
      <c r="AG24" s="386">
        <f t="shared" si="19"/>
        <v>3.5585139533101488E-2</v>
      </c>
      <c r="AH24" s="386">
        <f t="shared" si="20"/>
        <v>0</v>
      </c>
      <c r="AI24" s="386">
        <f t="shared" si="21"/>
        <v>3.5840215345897521E-2</v>
      </c>
      <c r="AJ24" s="386">
        <f t="shared" si="22"/>
        <v>7.1826291028710925</v>
      </c>
      <c r="AK24" s="386">
        <f t="shared" si="23"/>
        <v>2.5795080414705397E-2</v>
      </c>
      <c r="AL24" s="386">
        <f t="shared" si="24"/>
        <v>1.1262092029730675</v>
      </c>
      <c r="AM24">
        <f t="shared" si="25"/>
        <v>0</v>
      </c>
      <c r="AN24" s="386">
        <f t="shared" si="26"/>
        <v>1.1579783121237162</v>
      </c>
      <c r="AO24" s="386">
        <f t="shared" si="27"/>
        <v>21.162476084360655</v>
      </c>
      <c r="AP24" s="386">
        <f t="shared" si="28"/>
        <v>0.22392519701056837</v>
      </c>
      <c r="AQ24" s="386">
        <f t="shared" si="29"/>
        <v>0</v>
      </c>
      <c r="AR24" s="386">
        <f t="shared" si="30"/>
        <v>0.23442387969971654</v>
      </c>
      <c r="AS24" s="386">
        <f t="shared" si="31"/>
        <v>0</v>
      </c>
      <c r="AT24" s="386">
        <f t="shared" si="32"/>
        <v>0.25378232005590495</v>
      </c>
      <c r="AU24" s="386">
        <f t="shared" si="33"/>
        <v>0.50141562500000003</v>
      </c>
      <c r="AV24" s="386">
        <f t="shared" si="34"/>
        <v>0.21095754490891894</v>
      </c>
      <c r="AW24" s="386" t="e">
        <f t="shared" si="35"/>
        <v>#VALUE!</v>
      </c>
      <c r="AX24" s="386">
        <f t="shared" si="36"/>
        <v>3.8400000000000004E-2</v>
      </c>
      <c r="AY24" s="386">
        <f t="shared" si="37"/>
        <v>0.62080000000000002</v>
      </c>
      <c r="AZ24" s="386">
        <f t="shared" si="38"/>
        <v>0.47314285714285709</v>
      </c>
      <c r="BA24" s="386">
        <f t="shared" si="56"/>
        <v>0.65920000000000001</v>
      </c>
      <c r="BB24" s="386" t="e">
        <f t="shared" si="57"/>
        <v>#VALUE!</v>
      </c>
      <c r="BC24">
        <f t="shared" si="39"/>
        <v>256</v>
      </c>
      <c r="BD24" s="604" t="e">
        <f t="shared" si="50"/>
        <v>#VALUE!</v>
      </c>
      <c r="BE24" s="614">
        <f t="shared" si="40"/>
        <v>82.969696856185806</v>
      </c>
      <c r="BF24" s="614">
        <f t="shared" si="41"/>
        <v>11.721193984985828</v>
      </c>
      <c r="BG24" s="9"/>
      <c r="BH24" s="4" t="e">
        <f t="shared" si="51"/>
        <v>#VALUE!</v>
      </c>
      <c r="BI24" s="386">
        <f t="shared" si="52"/>
        <v>1.7979206026566903</v>
      </c>
      <c r="BJ24" s="386">
        <f t="shared" si="53"/>
        <v>3.6112150852128369</v>
      </c>
      <c r="BK24" s="386">
        <f t="shared" si="54"/>
        <v>0.20130737159589754</v>
      </c>
      <c r="BL24" s="386">
        <f t="shared" si="55"/>
        <v>0.21095754490891894</v>
      </c>
      <c r="BR24" s="18"/>
      <c r="BS24" s="19"/>
    </row>
    <row r="25" spans="1:82" x14ac:dyDescent="0.2">
      <c r="A25" s="35" t="s">
        <v>89</v>
      </c>
      <c r="B25" s="40">
        <f>CoutEsr*1000</f>
        <v>2</v>
      </c>
      <c r="C25" s="484" t="s">
        <v>674</v>
      </c>
      <c r="D25" s="482" t="s">
        <v>691</v>
      </c>
      <c r="G25">
        <v>16</v>
      </c>
      <c r="H25" s="610">
        <f t="shared" si="0"/>
        <v>12.120000000000001</v>
      </c>
      <c r="I25" s="445" t="str">
        <f t="shared" si="1"/>
        <v>BUCK-BST</v>
      </c>
      <c r="J25">
        <f t="shared" si="43"/>
        <v>3</v>
      </c>
      <c r="K25">
        <f t="shared" si="2"/>
        <v>20</v>
      </c>
      <c r="L25" s="4">
        <f t="shared" si="3"/>
        <v>23.469013568023467</v>
      </c>
      <c r="M25" s="4">
        <f t="shared" si="4"/>
        <v>21.945051648021945</v>
      </c>
      <c r="N25" s="386">
        <f t="shared" si="5"/>
        <v>0.96250000000000002</v>
      </c>
      <c r="O25" s="386">
        <f t="shared" si="44"/>
        <v>8.8632812499999936E-2</v>
      </c>
      <c r="P25" s="4">
        <f t="shared" si="6"/>
        <v>4.2487430624312408</v>
      </c>
      <c r="Q25" s="386">
        <f t="shared" si="7"/>
        <v>21.979299578661823</v>
      </c>
      <c r="R25" s="386">
        <f t="shared" si="8"/>
        <v>1.21368914348688</v>
      </c>
      <c r="S25" s="386">
        <f t="shared" si="45"/>
        <v>0.39356395365155106</v>
      </c>
      <c r="T25" s="386">
        <f t="shared" si="46"/>
        <v>1.6072530971384311</v>
      </c>
      <c r="U25" s="4">
        <f t="shared" si="9"/>
        <v>6.2487864248783467</v>
      </c>
      <c r="V25" s="386">
        <f t="shared" si="10"/>
        <v>7.8094663567487815E-2</v>
      </c>
      <c r="W25" s="386">
        <f t="shared" si="47"/>
        <v>7.8094663567487815E-2</v>
      </c>
      <c r="X25" s="386">
        <f t="shared" si="11"/>
        <v>1.2265064754061159</v>
      </c>
      <c r="Y25" s="386">
        <f t="shared" si="12"/>
        <v>3.0086362684262663E-3</v>
      </c>
      <c r="Z25" s="603">
        <f t="shared" si="48"/>
        <v>3.0086362684262663E-3</v>
      </c>
      <c r="AA25" s="386">
        <f t="shared" si="13"/>
        <v>21.563249977560034</v>
      </c>
      <c r="AB25" s="386">
        <f t="shared" si="14"/>
        <v>0.88345012423001135</v>
      </c>
      <c r="AC25" s="386">
        <f t="shared" si="15"/>
        <v>0.46103446755139088</v>
      </c>
      <c r="AD25">
        <f t="shared" si="16"/>
        <v>0</v>
      </c>
      <c r="AE25" s="386">
        <f t="shared" si="17"/>
        <v>1.6330235662818493</v>
      </c>
      <c r="AF25" s="386">
        <f t="shared" si="18"/>
        <v>4.2562730614730455</v>
      </c>
      <c r="AG25" s="386">
        <f t="shared" si="19"/>
        <v>3.4420134710260147E-2</v>
      </c>
      <c r="AH25" s="386">
        <f t="shared" si="20"/>
        <v>0</v>
      </c>
      <c r="AI25" s="386">
        <f t="shared" si="21"/>
        <v>3.4658726315996674E-2</v>
      </c>
      <c r="AJ25" s="386">
        <f t="shared" si="22"/>
        <v>6.54351517313453</v>
      </c>
      <c r="AK25" s="386">
        <f t="shared" si="23"/>
        <v>2.140879541052091E-2</v>
      </c>
      <c r="AL25" s="386">
        <f t="shared" si="24"/>
        <v>1.1262092029730675</v>
      </c>
      <c r="AM25">
        <f t="shared" si="25"/>
        <v>0</v>
      </c>
      <c r="AN25" s="386">
        <f t="shared" si="26"/>
        <v>1.1525529524553701</v>
      </c>
      <c r="AO25" s="386">
        <f t="shared" si="27"/>
        <v>20.982659963587121</v>
      </c>
      <c r="AP25" s="386">
        <f t="shared" si="28"/>
        <v>0.22013600957376098</v>
      </c>
      <c r="AQ25" s="386">
        <f t="shared" si="29"/>
        <v>0</v>
      </c>
      <c r="AR25" s="386">
        <f t="shared" si="30"/>
        <v>0.23027434464106017</v>
      </c>
      <c r="AS25" s="386">
        <f t="shared" si="31"/>
        <v>0</v>
      </c>
      <c r="AT25" s="386">
        <f t="shared" si="32"/>
        <v>0.2519114411441144</v>
      </c>
      <c r="AU25" s="386">
        <f t="shared" si="33"/>
        <v>0.50811875000000006</v>
      </c>
      <c r="AV25" s="386">
        <f t="shared" si="34"/>
        <v>0.18280035358458888</v>
      </c>
      <c r="AW25" s="386" t="e">
        <f t="shared" si="35"/>
        <v>#VALUE!</v>
      </c>
      <c r="AX25" s="386">
        <f t="shared" si="36"/>
        <v>3.8400000000000004E-2</v>
      </c>
      <c r="AY25" s="386">
        <f t="shared" si="37"/>
        <v>0.62080000000000002</v>
      </c>
      <c r="AZ25" s="386">
        <f t="shared" si="38"/>
        <v>0.47314285714285709</v>
      </c>
      <c r="BA25" s="386">
        <f t="shared" si="56"/>
        <v>0.65920000000000001</v>
      </c>
      <c r="BB25" s="386" t="e">
        <f t="shared" si="57"/>
        <v>#VALUE!</v>
      </c>
      <c r="BC25">
        <f t="shared" si="39"/>
        <v>256</v>
      </c>
      <c r="BD25" s="604" t="e">
        <f t="shared" si="50"/>
        <v>#VALUE!</v>
      </c>
      <c r="BE25" s="614">
        <f t="shared" si="40"/>
        <v>83.0335851227685</v>
      </c>
      <c r="BF25" s="614">
        <f t="shared" si="41"/>
        <v>11.513717232053008</v>
      </c>
      <c r="BG25" s="9"/>
      <c r="BH25" s="4" t="e">
        <f t="shared" si="51"/>
        <v>#VALUE!</v>
      </c>
      <c r="BI25" s="386">
        <f t="shared" si="52"/>
        <v>1.6072530971384311</v>
      </c>
      <c r="BJ25" s="386">
        <f t="shared" si="53"/>
        <v>3.5586283396942764</v>
      </c>
      <c r="BK25" s="386">
        <f t="shared" si="54"/>
        <v>0.2023379138159967</v>
      </c>
      <c r="BL25" s="386">
        <f t="shared" si="55"/>
        <v>0.18280035358458888</v>
      </c>
      <c r="BP25" t="s">
        <v>151</v>
      </c>
      <c r="BQ25" t="s">
        <v>4</v>
      </c>
      <c r="BR25" t="s">
        <v>6</v>
      </c>
      <c r="BS25" t="s">
        <v>5</v>
      </c>
      <c r="BT25" t="s">
        <v>152</v>
      </c>
      <c r="BU25" t="s">
        <v>153</v>
      </c>
    </row>
    <row r="26" spans="1:82" x14ac:dyDescent="0.2">
      <c r="A26" s="24" t="s">
        <v>116</v>
      </c>
      <c r="B26" s="37" t="s">
        <v>115</v>
      </c>
      <c r="C26" s="24" t="s">
        <v>80</v>
      </c>
      <c r="D26" s="17" t="s">
        <v>111</v>
      </c>
      <c r="G26">
        <v>17</v>
      </c>
      <c r="H26" s="610">
        <f t="shared" si="0"/>
        <v>12.315000000000001</v>
      </c>
      <c r="I26" s="445" t="str">
        <f t="shared" si="1"/>
        <v>BUCK-BST</v>
      </c>
      <c r="J26">
        <f t="shared" si="43"/>
        <v>3</v>
      </c>
      <c r="K26">
        <f t="shared" si="2"/>
        <v>20</v>
      </c>
      <c r="L26" s="4">
        <f t="shared" si="3"/>
        <v>23.097397031623583</v>
      </c>
      <c r="M26" s="4">
        <f t="shared" si="4"/>
        <v>21.597566055544132</v>
      </c>
      <c r="N26" s="386">
        <f t="shared" si="5"/>
        <v>0.96250000000000002</v>
      </c>
      <c r="O26" s="386">
        <f t="shared" si="44"/>
        <v>7.3969726562500004E-2</v>
      </c>
      <c r="P26" s="4">
        <f t="shared" si="6"/>
        <v>3.6041796818830152</v>
      </c>
      <c r="Q26" s="386">
        <f t="shared" si="7"/>
        <v>21.622612441343289</v>
      </c>
      <c r="R26" s="386">
        <f t="shared" si="8"/>
        <v>1.1709563154404645</v>
      </c>
      <c r="S26" s="386">
        <f t="shared" si="45"/>
        <v>0.2693923256193887</v>
      </c>
      <c r="T26" s="386">
        <f t="shared" si="46"/>
        <v>1.4403486410598532</v>
      </c>
      <c r="U26" s="4">
        <f t="shared" si="9"/>
        <v>5.6601934696357112</v>
      </c>
      <c r="V26" s="386">
        <f t="shared" si="10"/>
        <v>6.4075580227413498E-2</v>
      </c>
      <c r="W26" s="386">
        <f t="shared" si="47"/>
        <v>6.4075580227413498E-2</v>
      </c>
      <c r="X26" s="386">
        <f t="shared" si="11"/>
        <v>1.0404370547714694</v>
      </c>
      <c r="Y26" s="386">
        <f t="shared" si="12"/>
        <v>2.1650185298830592E-3</v>
      </c>
      <c r="Z26" s="603">
        <f t="shared" si="48"/>
        <v>2.1650185298830592E-3</v>
      </c>
      <c r="AA26" s="386">
        <f t="shared" si="13"/>
        <v>21.213314626879122</v>
      </c>
      <c r="AB26" s="386">
        <f t="shared" si="14"/>
        <v>0.85500896317203101</v>
      </c>
      <c r="AC26" s="386">
        <f t="shared" si="15"/>
        <v>0.46103446755139088</v>
      </c>
      <c r="AD26">
        <f t="shared" si="16"/>
        <v>0</v>
      </c>
      <c r="AE26" s="386">
        <f t="shared" si="17"/>
        <v>1.5875105869113633</v>
      </c>
      <c r="AF26" s="386">
        <f t="shared" si="18"/>
        <v>4.1872008943409913</v>
      </c>
      <c r="AG26" s="386">
        <f t="shared" si="19"/>
        <v>3.3312037526182996E-2</v>
      </c>
      <c r="AH26" s="386">
        <f t="shared" si="20"/>
        <v>0</v>
      </c>
      <c r="AI26" s="386">
        <f t="shared" si="21"/>
        <v>3.3535464456268031E-2</v>
      </c>
      <c r="AJ26" s="386">
        <f t="shared" si="22"/>
        <v>5.8807832239454765</v>
      </c>
      <c r="AK26" s="386">
        <f t="shared" si="23"/>
        <v>1.7291805663519278E-2</v>
      </c>
      <c r="AL26" s="386">
        <f t="shared" si="24"/>
        <v>1.1262092029730675</v>
      </c>
      <c r="AM26">
        <f t="shared" si="25"/>
        <v>0</v>
      </c>
      <c r="AN26" s="386">
        <f t="shared" si="26"/>
        <v>1.1474693721140741</v>
      </c>
      <c r="AO26" s="386">
        <f t="shared" si="27"/>
        <v>20.807540879726634</v>
      </c>
      <c r="AP26" s="386">
        <f t="shared" si="28"/>
        <v>0.21647687873074753</v>
      </c>
      <c r="AQ26" s="386">
        <f t="shared" si="29"/>
        <v>0</v>
      </c>
      <c r="AR26" s="386">
        <f t="shared" si="30"/>
        <v>0.22627347380031884</v>
      </c>
      <c r="AS26" s="386">
        <f t="shared" si="31"/>
        <v>0</v>
      </c>
      <c r="AT26" s="386">
        <f t="shared" si="32"/>
        <v>0.25009981052916497</v>
      </c>
      <c r="AU26" s="386">
        <f t="shared" si="33"/>
        <v>0.5148218750000001</v>
      </c>
      <c r="AV26" s="386">
        <f t="shared" si="34"/>
        <v>0.15634878796982568</v>
      </c>
      <c r="AW26" s="386" t="e">
        <f t="shared" si="35"/>
        <v>#VALUE!</v>
      </c>
      <c r="AX26" s="386">
        <f t="shared" si="36"/>
        <v>3.8400000000000004E-2</v>
      </c>
      <c r="AY26" s="386">
        <f t="shared" si="37"/>
        <v>0.62080000000000002</v>
      </c>
      <c r="AZ26" s="386">
        <f t="shared" si="38"/>
        <v>0.47314285714285709</v>
      </c>
      <c r="BA26" s="386">
        <f t="shared" si="56"/>
        <v>0.65920000000000001</v>
      </c>
      <c r="BB26" s="386" t="e">
        <f t="shared" si="57"/>
        <v>#VALUE!</v>
      </c>
      <c r="BC26">
        <f t="shared" si="39"/>
        <v>256</v>
      </c>
      <c r="BD26" s="604" t="e">
        <f t="shared" si="50"/>
        <v>#VALUE!</v>
      </c>
      <c r="BE26" s="614">
        <f t="shared" si="40"/>
        <v>83.114562355703711</v>
      </c>
      <c r="BF26" s="614">
        <f t="shared" si="41"/>
        <v>11.313673690015943</v>
      </c>
      <c r="BG26" s="9"/>
      <c r="BH26" s="4" t="e">
        <f t="shared" si="51"/>
        <v>#VALUE!</v>
      </c>
      <c r="BI26" s="386">
        <f t="shared" si="52"/>
        <v>1.4403486410598532</v>
      </c>
      <c r="BJ26" s="386">
        <f t="shared" si="53"/>
        <v>3.5096107722820244</v>
      </c>
      <c r="BK26" s="386">
        <f t="shared" si="54"/>
        <v>0.20342668320626808</v>
      </c>
      <c r="BL26" s="386">
        <f t="shared" si="55"/>
        <v>0.15634878796982568</v>
      </c>
      <c r="BP26" t="s">
        <v>154</v>
      </c>
      <c r="BQ26">
        <v>9.9989640000000009</v>
      </c>
      <c r="BR26">
        <v>0.1027</v>
      </c>
      <c r="BS26">
        <v>5.1211359999999999</v>
      </c>
      <c r="BT26">
        <v>61.870683235325004</v>
      </c>
      <c r="BU26">
        <v>324.12365701136014</v>
      </c>
    </row>
    <row r="27" spans="1:82" x14ac:dyDescent="0.2">
      <c r="A27" s="22" t="s">
        <v>65</v>
      </c>
      <c r="B27" s="5">
        <f>RdsonDRT</f>
        <v>1.5</v>
      </c>
      <c r="C27" s="486" t="s">
        <v>120</v>
      </c>
      <c r="D27" s="482" t="s">
        <v>718</v>
      </c>
      <c r="G27">
        <v>18</v>
      </c>
      <c r="H27" s="610">
        <f t="shared" si="0"/>
        <v>12.51</v>
      </c>
      <c r="I27" s="445" t="str">
        <f t="shared" si="1"/>
        <v>BUCK-BST</v>
      </c>
      <c r="J27">
        <f t="shared" si="43"/>
        <v>3</v>
      </c>
      <c r="K27">
        <f t="shared" si="2"/>
        <v>20</v>
      </c>
      <c r="L27" s="4">
        <f t="shared" si="3"/>
        <v>22.737365663025134</v>
      </c>
      <c r="M27" s="4">
        <f t="shared" si="4"/>
        <v>21.260913347244284</v>
      </c>
      <c r="N27" s="386">
        <f t="shared" si="5"/>
        <v>0.96250000000000002</v>
      </c>
      <c r="O27" s="386">
        <f t="shared" si="44"/>
        <v>5.9306640625000073E-2</v>
      </c>
      <c r="P27" s="4">
        <f t="shared" si="6"/>
        <v>2.936473574786008</v>
      </c>
      <c r="Q27" s="386">
        <f t="shared" si="7"/>
        <v>21.277805559948646</v>
      </c>
      <c r="R27" s="386">
        <f t="shared" si="8"/>
        <v>1.1305577978746413</v>
      </c>
      <c r="S27" s="386">
        <f t="shared" si="45"/>
        <v>0.168025239421909</v>
      </c>
      <c r="T27" s="386">
        <f t="shared" si="46"/>
        <v>1.2985830372965503</v>
      </c>
      <c r="U27" s="4">
        <f t="shared" si="9"/>
        <v>5.0262878812065779</v>
      </c>
      <c r="V27" s="386">
        <f t="shared" si="10"/>
        <v>5.0527139729528221E-2</v>
      </c>
      <c r="W27" s="386">
        <f t="shared" si="47"/>
        <v>5.0527139729528221E-2</v>
      </c>
      <c r="X27" s="386">
        <f t="shared" si="11"/>
        <v>0.84768690443546224</v>
      </c>
      <c r="Y27" s="386">
        <f t="shared" si="12"/>
        <v>1.4371461759027531E-3</v>
      </c>
      <c r="Z27" s="603">
        <f t="shared" si="48"/>
        <v>1.4371461759027531E-3</v>
      </c>
      <c r="AA27" s="386">
        <f t="shared" si="13"/>
        <v>20.875034648898666</v>
      </c>
      <c r="AB27" s="386">
        <f t="shared" si="14"/>
        <v>0.82795743602616767</v>
      </c>
      <c r="AC27" s="386">
        <f t="shared" si="15"/>
        <v>0.46103446755139088</v>
      </c>
      <c r="AD27">
        <f t="shared" si="16"/>
        <v>0</v>
      </c>
      <c r="AE27" s="386">
        <f t="shared" si="17"/>
        <v>1.5447971632746307</v>
      </c>
      <c r="AF27" s="386">
        <f t="shared" si="18"/>
        <v>4.1204293288760336</v>
      </c>
      <c r="AG27" s="386">
        <f t="shared" si="19"/>
        <v>3.2258081923097419E-2</v>
      </c>
      <c r="AH27" s="386">
        <f t="shared" si="20"/>
        <v>0</v>
      </c>
      <c r="AI27" s="386">
        <f t="shared" si="21"/>
        <v>3.2467550101299418E-2</v>
      </c>
      <c r="AJ27" s="386">
        <f t="shared" si="22"/>
        <v>5.1817743650254009</v>
      </c>
      <c r="AK27" s="386">
        <f t="shared" si="23"/>
        <v>1.3425392785017198E-2</v>
      </c>
      <c r="AL27" s="386">
        <f t="shared" si="24"/>
        <v>1.1262092029730675</v>
      </c>
      <c r="AM27">
        <f t="shared" si="25"/>
        <v>0</v>
      </c>
      <c r="AN27" s="386">
        <f t="shared" si="26"/>
        <v>1.1427028426579324</v>
      </c>
      <c r="AO27" s="386">
        <f t="shared" si="27"/>
        <v>20.637204846513182</v>
      </c>
      <c r="AP27" s="386">
        <f t="shared" si="28"/>
        <v>0.21294711193847357</v>
      </c>
      <c r="AQ27" s="386">
        <f t="shared" si="29"/>
        <v>0</v>
      </c>
      <c r="AR27" s="386">
        <f t="shared" si="30"/>
        <v>0.22241984464966352</v>
      </c>
      <c r="AS27" s="386">
        <f t="shared" si="31"/>
        <v>0</v>
      </c>
      <c r="AT27" s="386">
        <f t="shared" si="32"/>
        <v>0.24834465760724755</v>
      </c>
      <c r="AU27" s="386">
        <f t="shared" si="33"/>
        <v>0.52152500000000002</v>
      </c>
      <c r="AV27" s="386">
        <f t="shared" si="34"/>
        <v>0.13148617027288861</v>
      </c>
      <c r="AW27" s="386" t="e">
        <f t="shared" si="35"/>
        <v>#VALUE!</v>
      </c>
      <c r="AX27" s="386">
        <f t="shared" si="36"/>
        <v>3.8400000000000004E-2</v>
      </c>
      <c r="AY27" s="386">
        <f t="shared" si="37"/>
        <v>0.62080000000000002</v>
      </c>
      <c r="AZ27" s="386">
        <f t="shared" si="38"/>
        <v>0.47314285714285709</v>
      </c>
      <c r="BA27" s="386">
        <f t="shared" si="56"/>
        <v>0.65920000000000001</v>
      </c>
      <c r="BB27" s="386" t="e">
        <f t="shared" si="57"/>
        <v>#VALUE!</v>
      </c>
      <c r="BC27">
        <f t="shared" si="39"/>
        <v>256</v>
      </c>
      <c r="BD27" s="604" t="e">
        <f t="shared" si="50"/>
        <v>#VALUE!</v>
      </c>
      <c r="BE27" s="614">
        <f t="shared" si="40"/>
        <v>83.21139213289662</v>
      </c>
      <c r="BF27" s="614">
        <f t="shared" si="41"/>
        <v>11.120992232483177</v>
      </c>
      <c r="BG27" s="9"/>
      <c r="BH27" s="4" t="e">
        <f t="shared" si="51"/>
        <v>#VALUE!</v>
      </c>
      <c r="BI27" s="386">
        <f t="shared" si="52"/>
        <v>1.2985830372965503</v>
      </c>
      <c r="BJ27" s="386">
        <f t="shared" si="53"/>
        <v>3.463912400683526</v>
      </c>
      <c r="BK27" s="386">
        <f t="shared" si="54"/>
        <v>0.20457080010129944</v>
      </c>
      <c r="BL27" s="386">
        <f t="shared" si="55"/>
        <v>0.13148617027288861</v>
      </c>
      <c r="BP27" t="s">
        <v>155</v>
      </c>
      <c r="BQ27">
        <v>9.9986669999999993</v>
      </c>
      <c r="BR27">
        <v>0.1166</v>
      </c>
      <c r="BS27">
        <v>5.1212980000000003</v>
      </c>
      <c r="BT27">
        <v>64.729420570558148</v>
      </c>
      <c r="BU27">
        <v>325.37886459483997</v>
      </c>
    </row>
    <row r="28" spans="1:82" x14ac:dyDescent="0.2">
      <c r="A28" s="22" t="s">
        <v>150</v>
      </c>
      <c r="B28" s="5">
        <f>RdsonDRT2</f>
        <v>1</v>
      </c>
      <c r="C28" s="486" t="s">
        <v>120</v>
      </c>
      <c r="D28" s="482" t="s">
        <v>717</v>
      </c>
      <c r="G28">
        <v>19</v>
      </c>
      <c r="H28" s="610">
        <f t="shared" si="0"/>
        <v>12.705</v>
      </c>
      <c r="I28" s="445" t="str">
        <f t="shared" si="1"/>
        <v>BUCK-BST</v>
      </c>
      <c r="J28">
        <f t="shared" si="43"/>
        <v>3</v>
      </c>
      <c r="K28">
        <f t="shared" si="2"/>
        <v>20</v>
      </c>
      <c r="L28" s="4">
        <f t="shared" si="3"/>
        <v>22.388386024749661</v>
      </c>
      <c r="M28" s="4">
        <f t="shared" si="4"/>
        <v>20.934594724441244</v>
      </c>
      <c r="N28" s="386">
        <f t="shared" si="5"/>
        <v>0.96250000000000002</v>
      </c>
      <c r="O28" s="386">
        <f t="shared" si="44"/>
        <v>4.4643554687500003E-2</v>
      </c>
      <c r="P28" s="4">
        <f t="shared" si="6"/>
        <v>2.2456370955522145</v>
      </c>
      <c r="Q28" s="386">
        <f t="shared" si="7"/>
        <v>20.944629306189206</v>
      </c>
      <c r="R28" s="386">
        <f t="shared" si="8"/>
        <v>1.0923597419414977</v>
      </c>
      <c r="S28" s="386">
        <f t="shared" si="45"/>
        <v>9.0571085619984476E-2</v>
      </c>
      <c r="T28" s="386">
        <f t="shared" si="46"/>
        <v>1.182930827561482</v>
      </c>
      <c r="U28" s="4">
        <f t="shared" si="9"/>
        <v>4.325682861283644</v>
      </c>
      <c r="V28" s="386">
        <f t="shared" si="10"/>
        <v>3.7423064432806109E-2</v>
      </c>
      <c r="W28" s="386">
        <f t="shared" si="47"/>
        <v>3.7423064432806109E-2</v>
      </c>
      <c r="X28" s="386">
        <f t="shared" si="11"/>
        <v>0.64825959080964024</v>
      </c>
      <c r="Y28" s="386">
        <f t="shared" si="12"/>
        <v>8.4048099415336445E-4</v>
      </c>
      <c r="Z28" s="603">
        <f t="shared" si="48"/>
        <v>8.4048099415336445E-4</v>
      </c>
      <c r="AA28" s="386">
        <f t="shared" si="13"/>
        <v>20.548165140582913</v>
      </c>
      <c r="AB28" s="386">
        <f t="shared" si="14"/>
        <v>0.8022314722248669</v>
      </c>
      <c r="AC28" s="386">
        <f t="shared" si="15"/>
        <v>0.46103446755139088</v>
      </c>
      <c r="AD28">
        <f t="shared" si="16"/>
        <v>0</v>
      </c>
      <c r="AE28" s="386">
        <f t="shared" si="17"/>
        <v>1.5046874683747791</v>
      </c>
      <c r="AF28" s="386">
        <f t="shared" si="18"/>
        <v>4.0559100247679289</v>
      </c>
      <c r="AG28" s="386">
        <f t="shared" si="19"/>
        <v>3.1255771645124664E-2</v>
      </c>
      <c r="AH28" s="386">
        <f t="shared" si="20"/>
        <v>0</v>
      </c>
      <c r="AI28" s="386">
        <f t="shared" si="21"/>
        <v>3.1452385360026147E-2</v>
      </c>
      <c r="AJ28" s="386">
        <f t="shared" si="22"/>
        <v>4.4253952159543202</v>
      </c>
      <c r="AK28" s="386">
        <f t="shared" si="23"/>
        <v>9.7920614086956931E-3</v>
      </c>
      <c r="AL28" s="386">
        <f t="shared" si="24"/>
        <v>1.1262092029730675</v>
      </c>
      <c r="AM28">
        <f t="shared" si="25"/>
        <v>0</v>
      </c>
      <c r="AN28" s="386">
        <f t="shared" si="26"/>
        <v>1.1382303887545488</v>
      </c>
      <c r="AO28" s="386">
        <f t="shared" si="27"/>
        <v>20.471770171538374</v>
      </c>
      <c r="AP28" s="386">
        <f t="shared" si="28"/>
        <v>0.20954668697814416</v>
      </c>
      <c r="AQ28" s="386">
        <f t="shared" si="29"/>
        <v>0</v>
      </c>
      <c r="AR28" s="386">
        <f t="shared" si="30"/>
        <v>0.2187127953095116</v>
      </c>
      <c r="AS28" s="386">
        <f t="shared" si="31"/>
        <v>0</v>
      </c>
      <c r="AT28" s="386">
        <f t="shared" si="32"/>
        <v>0.2466433818706546</v>
      </c>
      <c r="AU28" s="386">
        <f t="shared" si="33"/>
        <v>0.52822812500000005</v>
      </c>
      <c r="AV28" s="386">
        <f t="shared" si="34"/>
        <v>0.10810358683921309</v>
      </c>
      <c r="AW28" s="386" t="e">
        <f t="shared" si="35"/>
        <v>#VALUE!</v>
      </c>
      <c r="AX28" s="386">
        <f t="shared" si="36"/>
        <v>3.8400000000000004E-2</v>
      </c>
      <c r="AY28" s="386">
        <f t="shared" si="37"/>
        <v>0.62080000000000002</v>
      </c>
      <c r="AZ28" s="386">
        <f t="shared" si="38"/>
        <v>0.47314285714285709</v>
      </c>
      <c r="BA28" s="386">
        <f t="shared" si="56"/>
        <v>0.65920000000000001</v>
      </c>
      <c r="BB28" s="386" t="e">
        <f t="shared" si="57"/>
        <v>#VALUE!</v>
      </c>
      <c r="BC28">
        <f t="shared" si="39"/>
        <v>256</v>
      </c>
      <c r="BD28" s="604" t="e">
        <f t="shared" si="50"/>
        <v>#VALUE!</v>
      </c>
      <c r="BE28" s="614">
        <f t="shared" si="40"/>
        <v>83.322925687727448</v>
      </c>
      <c r="BF28" s="614">
        <f t="shared" si="41"/>
        <v>10.93563976547558</v>
      </c>
      <c r="BG28" s="9"/>
      <c r="BH28" s="4" t="e">
        <f t="shared" si="51"/>
        <v>#VALUE!</v>
      </c>
      <c r="BI28" s="386">
        <f t="shared" si="52"/>
        <v>1.182930827561482</v>
      </c>
      <c r="BJ28" s="386">
        <f t="shared" si="53"/>
        <v>3.4213111627988657</v>
      </c>
      <c r="BK28" s="386">
        <f t="shared" si="54"/>
        <v>0.20576766661002618</v>
      </c>
      <c r="BL28" s="386">
        <f t="shared" si="55"/>
        <v>0.10810358683921309</v>
      </c>
      <c r="BP28" t="s">
        <v>156</v>
      </c>
      <c r="BQ28">
        <v>9.9987659999999998</v>
      </c>
      <c r="BR28">
        <v>0.14660000000000001</v>
      </c>
      <c r="BS28">
        <v>5.1213230000000003</v>
      </c>
      <c r="BT28">
        <v>69.885376918691776</v>
      </c>
      <c r="BU28">
        <v>323.52446193379996</v>
      </c>
    </row>
    <row r="29" spans="1:82" x14ac:dyDescent="0.2">
      <c r="A29" s="24" t="s">
        <v>117</v>
      </c>
      <c r="B29" s="15" t="s">
        <v>115</v>
      </c>
      <c r="C29" s="24" t="s">
        <v>80</v>
      </c>
      <c r="D29" s="17" t="s">
        <v>111</v>
      </c>
      <c r="G29">
        <v>20</v>
      </c>
      <c r="H29" s="610">
        <f t="shared" si="0"/>
        <v>12.9</v>
      </c>
      <c r="I29" s="445" t="str">
        <f t="shared" si="1"/>
        <v>BUCK-BST</v>
      </c>
      <c r="J29">
        <f t="shared" si="43"/>
        <v>3</v>
      </c>
      <c r="K29">
        <f t="shared" si="2"/>
        <v>20</v>
      </c>
      <c r="L29" s="4">
        <f t="shared" si="3"/>
        <v>22.049956933677862</v>
      </c>
      <c r="M29" s="4">
        <f t="shared" si="4"/>
        <v>20.779220779220779</v>
      </c>
      <c r="N29" s="386">
        <f t="shared" si="5"/>
        <v>0.95503875968992247</v>
      </c>
      <c r="O29" s="386">
        <f t="shared" si="44"/>
        <v>3.7499999999999999E-2</v>
      </c>
      <c r="P29" s="4">
        <f t="shared" si="6"/>
        <v>6.1886511627905247E-2</v>
      </c>
      <c r="Q29" s="386">
        <f t="shared" si="7"/>
        <v>20.779228459047609</v>
      </c>
      <c r="R29" s="386">
        <f t="shared" si="8"/>
        <v>1.0736989223476576</v>
      </c>
      <c r="S29" s="386">
        <f t="shared" si="45"/>
        <v>2.3085558581088766E-5</v>
      </c>
      <c r="T29" s="386">
        <f t="shared" si="46"/>
        <v>1.0737220079062386</v>
      </c>
      <c r="U29" s="4">
        <f t="shared" si="9"/>
        <v>1.7865097073788999E-2</v>
      </c>
      <c r="V29" s="386">
        <f t="shared" si="10"/>
        <v>6.3832338691180843E-7</v>
      </c>
      <c r="W29" s="386">
        <f t="shared" si="47"/>
        <v>6.3832338691180843E-7</v>
      </c>
      <c r="X29" s="386">
        <f t="shared" si="11"/>
        <v>4.1443822913262771</v>
      </c>
      <c r="Y29" s="386">
        <f t="shared" si="12"/>
        <v>3.4351809153317689E-2</v>
      </c>
      <c r="Z29" s="603">
        <f t="shared" si="48"/>
        <v>3.4351809153317689E-2</v>
      </c>
      <c r="AA29" s="386">
        <f t="shared" si="13"/>
        <v>20.306726367863185</v>
      </c>
      <c r="AB29" s="386">
        <f t="shared" si="14"/>
        <v>0.78348995798061294</v>
      </c>
      <c r="AC29" s="386">
        <f t="shared" si="15"/>
        <v>0.46463629932913603</v>
      </c>
      <c r="AD29">
        <f t="shared" si="16"/>
        <v>0</v>
      </c>
      <c r="AE29" s="386">
        <f t="shared" si="17"/>
        <v>1.4800465845825326</v>
      </c>
      <c r="AF29" s="386">
        <f t="shared" si="18"/>
        <v>4.4060412587746018</v>
      </c>
      <c r="AG29" s="386">
        <f t="shared" si="19"/>
        <v>3.6885079190645743E-2</v>
      </c>
      <c r="AH29" s="386">
        <f t="shared" si="20"/>
        <v>0</v>
      </c>
      <c r="AI29" s="386">
        <f t="shared" si="21"/>
        <v>3.7159203221341842E-2</v>
      </c>
      <c r="AJ29" s="386">
        <f t="shared" si="22"/>
        <v>4.0238802884465299</v>
      </c>
      <c r="AK29" s="386">
        <f t="shared" si="23"/>
        <v>8.0958062878742649E-3</v>
      </c>
      <c r="AL29" s="386">
        <f t="shared" si="24"/>
        <v>1.1262092029730675</v>
      </c>
      <c r="AM29">
        <f t="shared" si="25"/>
        <v>0</v>
      </c>
      <c r="AN29" s="386">
        <f t="shared" si="26"/>
        <v>1.1361446105974236</v>
      </c>
      <c r="AO29" s="386">
        <f t="shared" si="27"/>
        <v>20.385895191959207</v>
      </c>
      <c r="AP29" s="386">
        <f t="shared" si="28"/>
        <v>0.20779236138877277</v>
      </c>
      <c r="AQ29" s="386">
        <f t="shared" si="29"/>
        <v>0</v>
      </c>
      <c r="AR29" s="386">
        <f t="shared" si="30"/>
        <v>0.21680233522705894</v>
      </c>
      <c r="AS29" s="386">
        <f t="shared" si="31"/>
        <v>0</v>
      </c>
      <c r="AT29" s="386">
        <f t="shared" si="32"/>
        <v>0.24499354005167959</v>
      </c>
      <c r="AU29" s="386">
        <f t="shared" si="33"/>
        <v>0.53493125000000008</v>
      </c>
      <c r="AV29" s="386">
        <f t="shared" si="34"/>
        <v>0.10681443644931782</v>
      </c>
      <c r="AW29" s="386" t="e">
        <f t="shared" si="35"/>
        <v>#VALUE!</v>
      </c>
      <c r="AX29" s="386">
        <f t="shared" si="36"/>
        <v>3.8400000000000004E-2</v>
      </c>
      <c r="AY29" s="386">
        <f t="shared" si="37"/>
        <v>0.62080000000000002</v>
      </c>
      <c r="AZ29" s="386">
        <f t="shared" si="38"/>
        <v>0.47314285714285709</v>
      </c>
      <c r="BA29" s="386">
        <f t="shared" si="56"/>
        <v>0.65920000000000001</v>
      </c>
      <c r="BB29" s="386" t="e">
        <f t="shared" si="57"/>
        <v>#VALUE!</v>
      </c>
      <c r="BC29">
        <f t="shared" si="39"/>
        <v>256</v>
      </c>
      <c r="BD29" s="604" t="e">
        <f t="shared" si="50"/>
        <v>#VALUE!</v>
      </c>
      <c r="BE29" s="614">
        <f t="shared" si="40"/>
        <v>100.74889172912664</v>
      </c>
      <c r="BF29" s="614">
        <f t="shared" si="41"/>
        <v>1.8579601610670922</v>
      </c>
      <c r="BG29" s="9"/>
      <c r="BH29" s="4" t="e">
        <f t="shared" si="51"/>
        <v>#VALUE!</v>
      </c>
      <c r="BI29" s="386">
        <f t="shared" si="52"/>
        <v>1.0737220079062386</v>
      </c>
      <c r="BJ29" s="386">
        <f t="shared" si="53"/>
        <v>3.4050839836283573</v>
      </c>
      <c r="BK29" s="386">
        <f t="shared" si="54"/>
        <v>0.21368651572134187</v>
      </c>
      <c r="BL29" s="386">
        <f t="shared" si="55"/>
        <v>0.10681443644931782</v>
      </c>
      <c r="BP29" t="s">
        <v>157</v>
      </c>
      <c r="BQ29">
        <v>9.9987899999999996</v>
      </c>
      <c r="BR29">
        <v>0.1958</v>
      </c>
      <c r="BS29">
        <v>5.1217600000000001</v>
      </c>
      <c r="BT29">
        <v>75.662516566515876</v>
      </c>
      <c r="BU29">
        <v>322.57199766699983</v>
      </c>
    </row>
    <row r="30" spans="1:82" x14ac:dyDescent="0.2">
      <c r="A30" s="22" t="s">
        <v>64</v>
      </c>
      <c r="B30" s="27">
        <f>RdsonDRB</f>
        <v>1.5</v>
      </c>
      <c r="C30" s="486" t="s">
        <v>120</v>
      </c>
      <c r="D30" s="482" t="s">
        <v>716</v>
      </c>
      <c r="G30">
        <v>21</v>
      </c>
      <c r="H30" s="610">
        <f t="shared" si="0"/>
        <v>13.094999999999999</v>
      </c>
      <c r="I30" s="445" t="str">
        <f t="shared" si="1"/>
        <v>BUCK-BST</v>
      </c>
      <c r="J30">
        <f t="shared" si="43"/>
        <v>3</v>
      </c>
      <c r="K30">
        <f t="shared" si="2"/>
        <v>20</v>
      </c>
      <c r="L30" s="4">
        <f t="shared" si="3"/>
        <v>21.721607059522295</v>
      </c>
      <c r="M30" s="4">
        <f t="shared" si="4"/>
        <v>20.779220779220779</v>
      </c>
      <c r="N30" s="386">
        <f t="shared" si="5"/>
        <v>0.94081710576555955</v>
      </c>
      <c r="O30" s="386">
        <f t="shared" si="44"/>
        <v>3.7499999999999999E-2</v>
      </c>
      <c r="P30" s="4">
        <f t="shared" si="6"/>
        <v>0.7948022909507374</v>
      </c>
      <c r="Q30" s="386">
        <f t="shared" si="7"/>
        <v>20.780487452136654</v>
      </c>
      <c r="R30" s="386">
        <f t="shared" si="8"/>
        <v>1.0738402126378341</v>
      </c>
      <c r="S30" s="386">
        <f t="shared" si="45"/>
        <v>8.2737079232956794E-3</v>
      </c>
      <c r="T30" s="386">
        <f t="shared" si="46"/>
        <v>1.0821139205611299</v>
      </c>
      <c r="U30" s="4">
        <f t="shared" si="9"/>
        <v>0.22943965831646976</v>
      </c>
      <c r="V30" s="386">
        <f t="shared" si="10"/>
        <v>1.0528511361675678E-4</v>
      </c>
      <c r="W30" s="386">
        <f t="shared" si="47"/>
        <v>1.0528511361675678E-4</v>
      </c>
      <c r="X30" s="386">
        <f t="shared" si="11"/>
        <v>4.7196443571581206</v>
      </c>
      <c r="Y30" s="386">
        <f t="shared" si="12"/>
        <v>4.4550085716108981E-2</v>
      </c>
      <c r="Z30" s="603">
        <f t="shared" si="48"/>
        <v>4.4550085716108981E-2</v>
      </c>
      <c r="AA30" s="386">
        <f t="shared" si="13"/>
        <v>20.156184879840271</v>
      </c>
      <c r="AB30" s="386">
        <f t="shared" si="14"/>
        <v>0.77191639892957298</v>
      </c>
      <c r="AC30" s="386">
        <f t="shared" si="15"/>
        <v>0.47165987129573922</v>
      </c>
      <c r="AD30">
        <f t="shared" si="16"/>
        <v>0</v>
      </c>
      <c r="AE30" s="386">
        <f t="shared" si="17"/>
        <v>1.4706145709967455</v>
      </c>
      <c r="AF30" s="386">
        <f t="shared" si="18"/>
        <v>5.0553802862007684</v>
      </c>
      <c r="AG30" s="386">
        <f t="shared" si="19"/>
        <v>4.8558052692403993E-2</v>
      </c>
      <c r="AH30" s="386">
        <f t="shared" si="20"/>
        <v>0</v>
      </c>
      <c r="AI30" s="386">
        <f t="shared" si="21"/>
        <v>4.9034254272947699E-2</v>
      </c>
      <c r="AJ30" s="386">
        <f t="shared" si="22"/>
        <v>4.024124091409873</v>
      </c>
      <c r="AK30" s="386">
        <f t="shared" si="23"/>
        <v>8.0967873515326687E-3</v>
      </c>
      <c r="AL30" s="386">
        <f t="shared" si="24"/>
        <v>1.1262092029730675</v>
      </c>
      <c r="AM30">
        <f t="shared" si="25"/>
        <v>0</v>
      </c>
      <c r="AN30" s="386">
        <f t="shared" si="26"/>
        <v>1.1361458165399716</v>
      </c>
      <c r="AO30" s="386">
        <f t="shared" si="27"/>
        <v>20.387130353371063</v>
      </c>
      <c r="AP30" s="386">
        <f t="shared" si="28"/>
        <v>0.20781754202267186</v>
      </c>
      <c r="AQ30" s="386">
        <f t="shared" si="29"/>
        <v>0</v>
      </c>
      <c r="AR30" s="386">
        <f t="shared" si="30"/>
        <v>0.21682974703595378</v>
      </c>
      <c r="AS30" s="386">
        <f t="shared" si="31"/>
        <v>0</v>
      </c>
      <c r="AT30" s="386">
        <f t="shared" si="32"/>
        <v>0.24339283441517121</v>
      </c>
      <c r="AU30" s="386">
        <f t="shared" si="33"/>
        <v>0.541634375</v>
      </c>
      <c r="AV30" s="386">
        <f t="shared" si="34"/>
        <v>0.12525133362351809</v>
      </c>
      <c r="AW30" s="386" t="e">
        <f t="shared" si="35"/>
        <v>#VALUE!</v>
      </c>
      <c r="AX30" s="386">
        <f t="shared" si="36"/>
        <v>3.8400000000000004E-2</v>
      </c>
      <c r="AY30" s="386">
        <f t="shared" si="37"/>
        <v>0.62080000000000002</v>
      </c>
      <c r="AZ30" s="386">
        <f t="shared" si="38"/>
        <v>0.47314285714285709</v>
      </c>
      <c r="BA30" s="386">
        <f t="shared" si="56"/>
        <v>0.65920000000000001</v>
      </c>
      <c r="BB30" s="386" t="e">
        <f t="shared" si="57"/>
        <v>#VALUE!</v>
      </c>
      <c r="BC30">
        <f t="shared" si="39"/>
        <v>256</v>
      </c>
      <c r="BD30" s="604" t="e">
        <f t="shared" si="50"/>
        <v>#VALUE!</v>
      </c>
      <c r="BE30" s="614">
        <f t="shared" si="40"/>
        <v>100.61244729983727</v>
      </c>
      <c r="BF30" s="614">
        <f t="shared" si="41"/>
        <v>2.4517127136473849</v>
      </c>
      <c r="BG30" s="9"/>
      <c r="BH30" s="4" t="e">
        <f t="shared" si="51"/>
        <v>#VALUE!</v>
      </c>
      <c r="BI30" s="386">
        <f t="shared" si="52"/>
        <v>1.0821139205611299</v>
      </c>
      <c r="BJ30" s="386">
        <f t="shared" si="53"/>
        <v>3.4142587638456185</v>
      </c>
      <c r="BK30" s="386">
        <f t="shared" si="54"/>
        <v>0.22777359802294769</v>
      </c>
      <c r="BL30" s="386">
        <f t="shared" si="55"/>
        <v>0.12525133362351809</v>
      </c>
      <c r="BQ30">
        <v>9.9987659999999998</v>
      </c>
      <c r="BR30">
        <v>0.2681</v>
      </c>
      <c r="BS30">
        <v>5.1224080000000001</v>
      </c>
      <c r="BT30">
        <v>80.957553445887683</v>
      </c>
      <c r="BU30">
        <v>323.02506068319997</v>
      </c>
    </row>
    <row r="31" spans="1:82" x14ac:dyDescent="0.2">
      <c r="A31" s="22" t="s">
        <v>149</v>
      </c>
      <c r="B31" s="27">
        <v>1</v>
      </c>
      <c r="C31" s="486" t="s">
        <v>120</v>
      </c>
      <c r="D31" s="482" t="s">
        <v>715</v>
      </c>
      <c r="G31">
        <v>22</v>
      </c>
      <c r="H31" s="610">
        <f t="shared" si="0"/>
        <v>13.29</v>
      </c>
      <c r="I31" s="445" t="str">
        <f t="shared" si="1"/>
        <v>BUCK-BST</v>
      </c>
      <c r="J31">
        <f t="shared" si="43"/>
        <v>3</v>
      </c>
      <c r="K31">
        <f t="shared" si="2"/>
        <v>20</v>
      </c>
      <c r="L31" s="4">
        <f t="shared" si="3"/>
        <v>21.402892734721178</v>
      </c>
      <c r="M31" s="4">
        <f t="shared" si="4"/>
        <v>20.779220779220779</v>
      </c>
      <c r="N31" s="386">
        <f t="shared" si="5"/>
        <v>0.92701279157261107</v>
      </c>
      <c r="O31" s="386">
        <f t="shared" si="44"/>
        <v>3.7499999999999999E-2</v>
      </c>
      <c r="P31" s="4">
        <f t="shared" si="6"/>
        <v>1.5062103837471723</v>
      </c>
      <c r="Q31" s="386">
        <f t="shared" si="7"/>
        <v>20.783769436789122</v>
      </c>
      <c r="R31" s="386">
        <f t="shared" si="8"/>
        <v>1.074208586895286</v>
      </c>
      <c r="S31" s="386">
        <f t="shared" si="45"/>
        <v>3.6087076788306811E-2</v>
      </c>
      <c r="T31" s="386">
        <f t="shared" si="46"/>
        <v>1.1102956636835928</v>
      </c>
      <c r="U31" s="4">
        <f t="shared" si="9"/>
        <v>0.43480548525631973</v>
      </c>
      <c r="V31" s="386">
        <f t="shared" si="10"/>
        <v>3.7811162001796735E-4</v>
      </c>
      <c r="W31" s="386">
        <f t="shared" si="47"/>
        <v>3.7811162001796735E-4</v>
      </c>
      <c r="X31" s="386">
        <f t="shared" si="11"/>
        <v>5.203539359300386</v>
      </c>
      <c r="Y31" s="386">
        <f t="shared" si="12"/>
        <v>5.4153643727576542E-2</v>
      </c>
      <c r="Z31" s="603">
        <f t="shared" si="48"/>
        <v>5.4153643727576542E-2</v>
      </c>
      <c r="AA31" s="386">
        <f t="shared" si="13"/>
        <v>20.010925697180429</v>
      </c>
      <c r="AB31" s="386">
        <f t="shared" si="14"/>
        <v>0.76083057979034452</v>
      </c>
      <c r="AC31" s="386">
        <f t="shared" si="15"/>
        <v>0.47868344326234247</v>
      </c>
      <c r="AD31">
        <f t="shared" si="16"/>
        <v>0</v>
      </c>
      <c r="AE31" s="386">
        <f t="shared" si="17"/>
        <v>1.4619774538185182</v>
      </c>
      <c r="AF31" s="386">
        <f t="shared" si="18"/>
        <v>5.6149732629402207</v>
      </c>
      <c r="AG31" s="386">
        <f t="shared" si="19"/>
        <v>5.9903057012713742E-2</v>
      </c>
      <c r="AH31" s="386">
        <f t="shared" si="20"/>
        <v>0</v>
      </c>
      <c r="AI31" s="386">
        <f t="shared" si="21"/>
        <v>6.0629434709524387E-2</v>
      </c>
      <c r="AJ31" s="386">
        <f t="shared" si="22"/>
        <v>4.0247596450049485</v>
      </c>
      <c r="AK31" s="386">
        <f t="shared" si="23"/>
        <v>8.0993451000301794E-3</v>
      </c>
      <c r="AL31" s="386">
        <f t="shared" si="24"/>
        <v>1.1262092029730675</v>
      </c>
      <c r="AM31">
        <f t="shared" si="25"/>
        <v>0</v>
      </c>
      <c r="AN31" s="386">
        <f t="shared" si="26"/>
        <v>1.1361489605764474</v>
      </c>
      <c r="AO31" s="386">
        <f t="shared" si="27"/>
        <v>20.390350212822469</v>
      </c>
      <c r="AP31" s="386">
        <f t="shared" si="28"/>
        <v>0.20788319090077464</v>
      </c>
      <c r="AQ31" s="386">
        <f t="shared" si="29"/>
        <v>0</v>
      </c>
      <c r="AR31" s="386">
        <f t="shared" si="30"/>
        <v>0.21690121420459538</v>
      </c>
      <c r="AS31" s="386">
        <f t="shared" si="31"/>
        <v>0</v>
      </c>
      <c r="AT31" s="386">
        <f t="shared" si="32"/>
        <v>0.24183910208176573</v>
      </c>
      <c r="AU31" s="386">
        <f t="shared" si="33"/>
        <v>0.54833750000000003</v>
      </c>
      <c r="AV31" s="386">
        <f t="shared" si="34"/>
        <v>0.14317984483078172</v>
      </c>
      <c r="AW31" s="386" t="e">
        <f t="shared" si="35"/>
        <v>#VALUE!</v>
      </c>
      <c r="AX31" s="386">
        <f t="shared" si="36"/>
        <v>3.8400000000000004E-2</v>
      </c>
      <c r="AY31" s="386">
        <f t="shared" si="37"/>
        <v>0.62080000000000002</v>
      </c>
      <c r="AZ31" s="386">
        <f t="shared" si="38"/>
        <v>0.47314285714285709</v>
      </c>
      <c r="BA31" s="386">
        <f t="shared" si="56"/>
        <v>0.65920000000000001</v>
      </c>
      <c r="BB31" s="386" t="e">
        <f t="shared" si="57"/>
        <v>#VALUE!</v>
      </c>
      <c r="BC31">
        <f t="shared" si="39"/>
        <v>256</v>
      </c>
      <c r="BD31" s="604" t="e">
        <f t="shared" si="50"/>
        <v>#VALUE!</v>
      </c>
      <c r="BE31" s="614">
        <f t="shared" si="40"/>
        <v>100.51574769092591</v>
      </c>
      <c r="BF31" s="614">
        <f t="shared" si="41"/>
        <v>3.0314717354762193</v>
      </c>
      <c r="BG31" s="9"/>
      <c r="BH31" s="4" t="e">
        <f t="shared" si="51"/>
        <v>#VALUE!</v>
      </c>
      <c r="BI31" s="386">
        <f t="shared" si="52"/>
        <v>1.1102956636835928</v>
      </c>
      <c r="BJ31" s="386">
        <f t="shared" si="53"/>
        <v>3.4239945633090856</v>
      </c>
      <c r="BK31" s="386">
        <f t="shared" si="54"/>
        <v>0.24158080970952442</v>
      </c>
      <c r="BL31" s="386">
        <f t="shared" si="55"/>
        <v>0.14317984483078172</v>
      </c>
      <c r="BQ31">
        <v>9.998704</v>
      </c>
      <c r="BR31">
        <v>0.36549999999999999</v>
      </c>
      <c r="BS31">
        <v>5.123094</v>
      </c>
      <c r="BT31">
        <v>85.419022273213088</v>
      </c>
      <c r="BU31">
        <v>319.63300692320018</v>
      </c>
    </row>
    <row r="32" spans="1:82" x14ac:dyDescent="0.2">
      <c r="A32" s="24" t="s">
        <v>66</v>
      </c>
      <c r="B32" s="15" t="s">
        <v>115</v>
      </c>
      <c r="C32" s="24" t="s">
        <v>80</v>
      </c>
      <c r="D32" s="17" t="s">
        <v>111</v>
      </c>
      <c r="G32">
        <v>23</v>
      </c>
      <c r="H32" s="610">
        <f t="shared" si="0"/>
        <v>13.484999999999999</v>
      </c>
      <c r="I32" s="445" t="str">
        <f t="shared" si="1"/>
        <v>BUCK-BST</v>
      </c>
      <c r="J32">
        <f t="shared" si="43"/>
        <v>3</v>
      </c>
      <c r="K32">
        <f t="shared" si="2"/>
        <v>20</v>
      </c>
      <c r="L32" s="4">
        <f t="shared" si="3"/>
        <v>21.093395954352573</v>
      </c>
      <c r="M32" s="4">
        <f t="shared" si="4"/>
        <v>20.779220779220779</v>
      </c>
      <c r="N32" s="386">
        <f t="shared" si="5"/>
        <v>0.91360771227289594</v>
      </c>
      <c r="O32" s="386">
        <f t="shared" si="44"/>
        <v>3.7499999999999999E-2</v>
      </c>
      <c r="P32" s="4">
        <f t="shared" si="6"/>
        <v>2.197043826473855</v>
      </c>
      <c r="Q32" s="386">
        <f t="shared" si="7"/>
        <v>20.7888976697392</v>
      </c>
      <c r="R32" s="386">
        <f t="shared" si="8"/>
        <v>1.0747843429929147</v>
      </c>
      <c r="S32" s="386">
        <f t="shared" si="45"/>
        <v>8.6119124675519965E-2</v>
      </c>
      <c r="T32" s="386">
        <f t="shared" si="46"/>
        <v>1.1609034676684347</v>
      </c>
      <c r="U32" s="4">
        <f t="shared" si="9"/>
        <v>0.63423192231804282</v>
      </c>
      <c r="V32" s="386">
        <f t="shared" si="10"/>
        <v>8.0450026257447983E-4</v>
      </c>
      <c r="W32" s="386">
        <f t="shared" si="47"/>
        <v>8.0450026257447983E-4</v>
      </c>
      <c r="X32" s="386">
        <f t="shared" si="11"/>
        <v>5.6216735233682842</v>
      </c>
      <c r="Y32" s="386">
        <f t="shared" si="12"/>
        <v>6.3206426406679964E-2</v>
      </c>
      <c r="Z32" s="603">
        <f t="shared" si="48"/>
        <v>6.3206426406679964E-2</v>
      </c>
      <c r="AA32" s="386">
        <f t="shared" si="13"/>
        <v>19.870616427009001</v>
      </c>
      <c r="AB32" s="386">
        <f t="shared" si="14"/>
        <v>0.75019865465970792</v>
      </c>
      <c r="AC32" s="386">
        <f t="shared" si="15"/>
        <v>0.48570701522894566</v>
      </c>
      <c r="AD32">
        <f t="shared" si="16"/>
        <v>0</v>
      </c>
      <c r="AE32" s="386">
        <f t="shared" si="17"/>
        <v>1.454074637210709</v>
      </c>
      <c r="AF32" s="386">
        <f t="shared" si="18"/>
        <v>6.1103902603326361</v>
      </c>
      <c r="AG32" s="386">
        <f t="shared" si="19"/>
        <v>7.0940051353779079E-2</v>
      </c>
      <c r="AH32" s="386">
        <f t="shared" si="20"/>
        <v>0</v>
      </c>
      <c r="AI32" s="386">
        <f t="shared" si="21"/>
        <v>7.1961035261158615E-2</v>
      </c>
      <c r="AJ32" s="386">
        <f t="shared" si="22"/>
        <v>4.025752723045505</v>
      </c>
      <c r="AK32" s="386">
        <f t="shared" si="23"/>
        <v>8.1033424935541502E-3</v>
      </c>
      <c r="AL32" s="386">
        <f t="shared" si="24"/>
        <v>1.1262092029730675</v>
      </c>
      <c r="AM32">
        <f t="shared" si="25"/>
        <v>0</v>
      </c>
      <c r="AN32" s="386">
        <f t="shared" si="26"/>
        <v>1.1361538742603237</v>
      </c>
      <c r="AO32" s="386">
        <f t="shared" si="27"/>
        <v>20.395381372648554</v>
      </c>
      <c r="AP32" s="386">
        <f t="shared" si="28"/>
        <v>0.2079857906678898</v>
      </c>
      <c r="AQ32" s="386">
        <f t="shared" si="29"/>
        <v>0</v>
      </c>
      <c r="AR32" s="386">
        <f t="shared" si="30"/>
        <v>0.21701291104568526</v>
      </c>
      <c r="AS32" s="386">
        <f t="shared" si="31"/>
        <v>0</v>
      </c>
      <c r="AT32" s="386">
        <f t="shared" si="32"/>
        <v>0.24033030527746879</v>
      </c>
      <c r="AU32" s="386">
        <f t="shared" si="33"/>
        <v>0.55504062500000007</v>
      </c>
      <c r="AV32" s="386">
        <f t="shared" si="34"/>
        <v>0.16063066236202869</v>
      </c>
      <c r="AW32" s="386" t="e">
        <f t="shared" si="35"/>
        <v>#VALUE!</v>
      </c>
      <c r="AX32" s="386">
        <f t="shared" si="36"/>
        <v>3.8400000000000004E-2</v>
      </c>
      <c r="AY32" s="386">
        <f t="shared" si="37"/>
        <v>0.62080000000000002</v>
      </c>
      <c r="AZ32" s="386">
        <f t="shared" si="38"/>
        <v>0.47314285714285709</v>
      </c>
      <c r="BA32" s="386">
        <f t="shared" si="56"/>
        <v>0.65920000000000001</v>
      </c>
      <c r="BB32" s="386" t="e">
        <f t="shared" si="57"/>
        <v>#VALUE!</v>
      </c>
      <c r="BC32">
        <f t="shared" si="39"/>
        <v>256</v>
      </c>
      <c r="BD32" s="604" t="e">
        <f t="shared" si="50"/>
        <v>#VALUE!</v>
      </c>
      <c r="BE32" s="614">
        <f t="shared" si="40"/>
        <v>100.45576311053546</v>
      </c>
      <c r="BF32" s="614">
        <f t="shared" si="41"/>
        <v>3.598051763057931</v>
      </c>
      <c r="BG32" s="9"/>
      <c r="BH32" s="4" t="e">
        <f t="shared" si="51"/>
        <v>#VALUE!</v>
      </c>
      <c r="BI32" s="386">
        <f t="shared" si="52"/>
        <v>1.1609034676684347</v>
      </c>
      <c r="BJ32" s="386">
        <f t="shared" si="53"/>
        <v>3.4342430827778765</v>
      </c>
      <c r="BK32" s="386">
        <f t="shared" si="54"/>
        <v>0.25512444151115865</v>
      </c>
      <c r="BL32" s="386">
        <f t="shared" si="55"/>
        <v>0.16063066236202869</v>
      </c>
      <c r="BQ32">
        <v>9.9987290000000009</v>
      </c>
      <c r="BR32">
        <v>0.49059999999999998</v>
      </c>
      <c r="BS32">
        <v>5.1238169999999998</v>
      </c>
      <c r="BT32">
        <v>88.551850267052174</v>
      </c>
      <c r="BU32">
        <v>324.98153184230057</v>
      </c>
    </row>
    <row r="33" spans="1:73" x14ac:dyDescent="0.2">
      <c r="A33" s="22" t="s">
        <v>66</v>
      </c>
      <c r="B33" s="5">
        <f>Deadtime*1000000000</f>
        <v>50</v>
      </c>
      <c r="C33" s="482" t="s">
        <v>79</v>
      </c>
      <c r="D33" s="21" t="s">
        <v>102</v>
      </c>
      <c r="G33">
        <v>24</v>
      </c>
      <c r="H33" s="610">
        <f t="shared" si="0"/>
        <v>13.68</v>
      </c>
      <c r="I33" s="445" t="str">
        <f t="shared" si="1"/>
        <v>BUCK-BST</v>
      </c>
      <c r="J33">
        <f t="shared" si="43"/>
        <v>3</v>
      </c>
      <c r="K33">
        <f t="shared" si="2"/>
        <v>20</v>
      </c>
      <c r="L33" s="4">
        <f t="shared" si="3"/>
        <v>20.792722547108514</v>
      </c>
      <c r="M33" s="4">
        <f t="shared" si="4"/>
        <v>20.779220779220779</v>
      </c>
      <c r="N33" s="386">
        <f t="shared" si="5"/>
        <v>0.90058479532163749</v>
      </c>
      <c r="O33" s="386">
        <f t="shared" si="44"/>
        <v>3.7499999999999999E-2</v>
      </c>
      <c r="P33" s="4">
        <f t="shared" si="6"/>
        <v>2.8681824561403473</v>
      </c>
      <c r="Q33" s="386">
        <f t="shared" si="7"/>
        <v>20.795710024147045</v>
      </c>
      <c r="R33" s="386">
        <f t="shared" si="8"/>
        <v>1.0755494737397127</v>
      </c>
      <c r="S33" s="386">
        <f t="shared" si="45"/>
        <v>0.15915826824669682</v>
      </c>
      <c r="T33" s="386">
        <f t="shared" si="46"/>
        <v>1.2347077419864094</v>
      </c>
      <c r="U33" s="4">
        <f t="shared" si="9"/>
        <v>0.82797295656879577</v>
      </c>
      <c r="V33" s="386">
        <f t="shared" si="10"/>
        <v>1.371078433618546E-3</v>
      </c>
      <c r="W33" s="386">
        <f t="shared" si="47"/>
        <v>1.371078433618546E-3</v>
      </c>
      <c r="X33" s="386">
        <f t="shared" si="11"/>
        <v>5.9894996684043322</v>
      </c>
      <c r="Y33" s="386">
        <f t="shared" si="12"/>
        <v>7.1748212555631213E-2</v>
      </c>
      <c r="Z33" s="603">
        <f t="shared" si="48"/>
        <v>7.1748212555631213E-2</v>
      </c>
      <c r="AA33" s="386">
        <f t="shared" si="13"/>
        <v>19.734951263227376</v>
      </c>
      <c r="AB33" s="386">
        <f t="shared" si="14"/>
        <v>0.73998977258772369</v>
      </c>
      <c r="AC33" s="386">
        <f t="shared" si="15"/>
        <v>0.49273058719554891</v>
      </c>
      <c r="AD33">
        <f t="shared" si="16"/>
        <v>0</v>
      </c>
      <c r="AE33" s="386">
        <f t="shared" si="17"/>
        <v>1.4468514087724185</v>
      </c>
      <c r="AF33" s="386">
        <f t="shared" si="18"/>
        <v>6.556924129990378</v>
      </c>
      <c r="AG33" s="386">
        <f t="shared" si="19"/>
        <v>8.1687182688255144E-2</v>
      </c>
      <c r="AH33" s="386">
        <f t="shared" si="20"/>
        <v>0</v>
      </c>
      <c r="AI33" s="386">
        <f t="shared" si="21"/>
        <v>8.3043907252836946E-2</v>
      </c>
      <c r="AJ33" s="386">
        <f t="shared" si="22"/>
        <v>4.0270719298040074</v>
      </c>
      <c r="AK33" s="386">
        <f t="shared" si="23"/>
        <v>8.1086541639076876E-3</v>
      </c>
      <c r="AL33" s="386">
        <f t="shared" si="24"/>
        <v>1.1262092029730675</v>
      </c>
      <c r="AM33">
        <f t="shared" si="25"/>
        <v>0</v>
      </c>
      <c r="AN33" s="386">
        <f t="shared" si="26"/>
        <v>1.1361604034943074</v>
      </c>
      <c r="AO33" s="386">
        <f t="shared" si="27"/>
        <v>20.402064774933802</v>
      </c>
      <c r="AP33" s="386">
        <f t="shared" si="28"/>
        <v>0.20812212354029733</v>
      </c>
      <c r="AQ33" s="386">
        <f t="shared" si="29"/>
        <v>0</v>
      </c>
      <c r="AR33" s="386">
        <f t="shared" si="30"/>
        <v>0.21716133935998852</v>
      </c>
      <c r="AS33" s="386">
        <f t="shared" si="31"/>
        <v>0</v>
      </c>
      <c r="AT33" s="386">
        <f t="shared" si="32"/>
        <v>0.238864522417154</v>
      </c>
      <c r="AU33" s="386">
        <f t="shared" si="33"/>
        <v>0.56174374999999999</v>
      </c>
      <c r="AV33" s="386">
        <f t="shared" si="34"/>
        <v>0.17763168712279637</v>
      </c>
      <c r="AW33" s="386" t="e">
        <f t="shared" si="35"/>
        <v>#VALUE!</v>
      </c>
      <c r="AX33" s="386">
        <f t="shared" si="36"/>
        <v>3.8400000000000004E-2</v>
      </c>
      <c r="AY33" s="386">
        <f t="shared" si="37"/>
        <v>0.62080000000000002</v>
      </c>
      <c r="AZ33" s="386">
        <f t="shared" si="38"/>
        <v>0.47314285714285709</v>
      </c>
      <c r="BA33" s="386">
        <f t="shared" si="56"/>
        <v>0.65920000000000001</v>
      </c>
      <c r="BB33" s="386" t="e">
        <f t="shared" si="57"/>
        <v>#VALUE!</v>
      </c>
      <c r="BC33">
        <f t="shared" si="39"/>
        <v>256</v>
      </c>
      <c r="BD33" s="604" t="e">
        <f t="shared" si="50"/>
        <v>#VALUE!</v>
      </c>
      <c r="BE33" s="614">
        <f t="shared" si="40"/>
        <v>100.42975793862092</v>
      </c>
      <c r="BF33" s="614">
        <f t="shared" si="41"/>
        <v>4.1521953626418471</v>
      </c>
      <c r="BG33" s="9"/>
      <c r="BH33" s="4" t="e">
        <f t="shared" si="51"/>
        <v>#VALUE!</v>
      </c>
      <c r="BI33" s="386">
        <f t="shared" si="52"/>
        <v>1.2347077419864094</v>
      </c>
      <c r="BJ33" s="386">
        <f t="shared" si="53"/>
        <v>3.4449608088795518</v>
      </c>
      <c r="BK33" s="386">
        <f t="shared" si="54"/>
        <v>0.26841934475283696</v>
      </c>
      <c r="BL33" s="386">
        <f t="shared" si="55"/>
        <v>0.17763168712279637</v>
      </c>
      <c r="BQ33">
        <v>9.9986420000000003</v>
      </c>
      <c r="BR33">
        <v>0.64549999999999996</v>
      </c>
      <c r="BS33">
        <v>5.1237300000000001</v>
      </c>
      <c r="BT33">
        <v>90.41893857119905</v>
      </c>
      <c r="BU33">
        <v>350.45848473660021</v>
      </c>
    </row>
    <row r="34" spans="1:73" x14ac:dyDescent="0.2">
      <c r="A34" s="24" t="s">
        <v>56</v>
      </c>
      <c r="B34" s="15" t="s">
        <v>115</v>
      </c>
      <c r="C34" s="24" t="s">
        <v>80</v>
      </c>
      <c r="D34" s="17" t="s">
        <v>111</v>
      </c>
      <c r="G34">
        <v>25</v>
      </c>
      <c r="H34" s="610">
        <f t="shared" si="0"/>
        <v>13.875</v>
      </c>
      <c r="I34" s="4" t="str">
        <f t="shared" si="1"/>
        <v>BUCK-BST</v>
      </c>
      <c r="J34">
        <f t="shared" si="43"/>
        <v>3</v>
      </c>
      <c r="K34">
        <f t="shared" si="2"/>
        <v>20</v>
      </c>
      <c r="L34" s="4">
        <f t="shared" si="3"/>
        <v>20.5005005005005</v>
      </c>
      <c r="M34" s="4">
        <f t="shared" si="4"/>
        <v>20.779220779220779</v>
      </c>
      <c r="N34" s="386">
        <f t="shared" si="5"/>
        <v>0.88792792792792796</v>
      </c>
      <c r="O34" s="386">
        <f t="shared" si="44"/>
        <v>3.7499999999999999E-2</v>
      </c>
      <c r="P34" s="4">
        <f t="shared" si="6"/>
        <v>3.5204566486486457</v>
      </c>
      <c r="Q34" s="386">
        <f t="shared" si="7"/>
        <v>20.804057715812359</v>
      </c>
      <c r="R34" s="386">
        <f t="shared" si="8"/>
        <v>1.0764875056284502</v>
      </c>
      <c r="S34" s="386">
        <f t="shared" si="45"/>
        <v>0.25519213956584891</v>
      </c>
      <c r="T34" s="386">
        <f t="shared" si="46"/>
        <v>1.3316796451942992</v>
      </c>
      <c r="U34" s="4">
        <f t="shared" si="9"/>
        <v>1.0162682968838517</v>
      </c>
      <c r="V34" s="386">
        <f t="shared" si="10"/>
        <v>2.0656025025024092E-3</v>
      </c>
      <c r="W34" s="386">
        <f t="shared" si="47"/>
        <v>2.0656025025024092E-3</v>
      </c>
      <c r="X34" s="386">
        <f t="shared" si="11"/>
        <v>6.3172418927670746</v>
      </c>
      <c r="Y34" s="386">
        <f t="shared" si="12"/>
        <v>7.981509026346266E-2</v>
      </c>
      <c r="Z34" s="603">
        <f t="shared" si="48"/>
        <v>7.981509026346266E-2</v>
      </c>
      <c r="AA34" s="386">
        <f t="shared" si="13"/>
        <v>19.603648549720742</v>
      </c>
      <c r="AB34" s="386">
        <f t="shared" si="14"/>
        <v>0.73017576927583949</v>
      </c>
      <c r="AC34" s="386">
        <f t="shared" si="15"/>
        <v>0.49975415916215216</v>
      </c>
      <c r="AD34">
        <f t="shared" si="16"/>
        <v>0</v>
      </c>
      <c r="AE34" s="386">
        <f t="shared" si="17"/>
        <v>1.440258265888144</v>
      </c>
      <c r="AF34" s="386">
        <f t="shared" si="18"/>
        <v>6.9646091765355749</v>
      </c>
      <c r="AG34" s="386">
        <f t="shared" si="19"/>
        <v>9.2160983865578722E-2</v>
      </c>
      <c r="AH34" s="386">
        <f t="shared" si="20"/>
        <v>0</v>
      </c>
      <c r="AI34" s="386">
        <f t="shared" si="21"/>
        <v>9.3891612543322372E-2</v>
      </c>
      <c r="AJ34" s="386">
        <f t="shared" si="22"/>
        <v>4.0286884533439595</v>
      </c>
      <c r="AK34" s="386">
        <f t="shared" si="23"/>
        <v>8.1151653270534717E-3</v>
      </c>
      <c r="AL34" s="386">
        <f t="shared" si="24"/>
        <v>1.1262092029730675</v>
      </c>
      <c r="AM34">
        <f t="shared" si="25"/>
        <v>0</v>
      </c>
      <c r="AN34" s="386">
        <f t="shared" si="26"/>
        <v>1.1361684071928699</v>
      </c>
      <c r="AO34" s="386">
        <f t="shared" si="27"/>
        <v>20.410254451837314</v>
      </c>
      <c r="AP34" s="386">
        <f t="shared" si="28"/>
        <v>0.20828924339437246</v>
      </c>
      <c r="AQ34" s="386">
        <f t="shared" si="29"/>
        <v>0</v>
      </c>
      <c r="AR34" s="386">
        <f t="shared" si="30"/>
        <v>0.21734329759703744</v>
      </c>
      <c r="AS34" s="386">
        <f t="shared" si="31"/>
        <v>0</v>
      </c>
      <c r="AT34" s="386">
        <f t="shared" si="32"/>
        <v>0.23743993993993995</v>
      </c>
      <c r="AU34" s="386">
        <f t="shared" si="33"/>
        <v>0.56844687500000002</v>
      </c>
      <c r="AV34" s="386">
        <f t="shared" si="34"/>
        <v>0.19420833490797146</v>
      </c>
      <c r="AW34" s="386" t="e">
        <f t="shared" si="35"/>
        <v>#VALUE!</v>
      </c>
      <c r="AX34" s="386">
        <f t="shared" si="36"/>
        <v>3.8400000000000004E-2</v>
      </c>
      <c r="AY34" s="386">
        <f t="shared" si="37"/>
        <v>0.62080000000000002</v>
      </c>
      <c r="AZ34" s="386">
        <f t="shared" si="38"/>
        <v>0.47314285714285709</v>
      </c>
      <c r="BA34" s="386">
        <f t="shared" si="56"/>
        <v>0.65920000000000001</v>
      </c>
      <c r="BB34" s="386" t="e">
        <f t="shared" si="57"/>
        <v>#VALUE!</v>
      </c>
      <c r="BC34">
        <f t="shared" si="39"/>
        <v>256</v>
      </c>
      <c r="BD34" s="604" t="e">
        <f t="shared" si="50"/>
        <v>#VALUE!</v>
      </c>
      <c r="BE34" s="614">
        <f t="shared" si="40"/>
        <v>100.43525704440719</v>
      </c>
      <c r="BF34" s="614">
        <f t="shared" si="41"/>
        <v>4.6945806271661183</v>
      </c>
      <c r="BG34" s="9"/>
      <c r="BH34" s="4" t="e">
        <f t="shared" si="51"/>
        <v>#VALUE!</v>
      </c>
      <c r="BI34" s="386">
        <f t="shared" si="52"/>
        <v>1.3316796451942992</v>
      </c>
      <c r="BJ34" s="386">
        <f t="shared" si="53"/>
        <v>3.4561084582213741</v>
      </c>
      <c r="BK34" s="386">
        <f t="shared" si="54"/>
        <v>0.28147908129332239</v>
      </c>
      <c r="BL34" s="386">
        <f t="shared" si="55"/>
        <v>0.19420833490797146</v>
      </c>
      <c r="BQ34">
        <v>9.9986049999999995</v>
      </c>
      <c r="BR34">
        <v>0.83240000000000003</v>
      </c>
      <c r="BS34">
        <v>5.1231559999999998</v>
      </c>
      <c r="BT34">
        <v>91.678946361105133</v>
      </c>
      <c r="BU34">
        <v>387.05996035199956</v>
      </c>
    </row>
    <row r="35" spans="1:73" x14ac:dyDescent="0.2">
      <c r="A35" s="22" t="s">
        <v>158</v>
      </c>
      <c r="B35" s="5">
        <f>Iq*1000</f>
        <v>3</v>
      </c>
      <c r="C35" s="482" t="s">
        <v>68</v>
      </c>
      <c r="D35" s="21" t="s">
        <v>161</v>
      </c>
      <c r="G35">
        <v>26</v>
      </c>
      <c r="H35" s="610">
        <f t="shared" si="0"/>
        <v>14.07</v>
      </c>
      <c r="I35" s="4" t="str">
        <f t="shared" si="1"/>
        <v>BUCK-BST</v>
      </c>
      <c r="J35">
        <f t="shared" si="43"/>
        <v>3</v>
      </c>
      <c r="K35">
        <f t="shared" si="2"/>
        <v>20</v>
      </c>
      <c r="L35" s="4">
        <f t="shared" si="3"/>
        <v>20.216378425333648</v>
      </c>
      <c r="M35" s="4">
        <f t="shared" si="4"/>
        <v>20.779220779220779</v>
      </c>
      <c r="N35" s="386">
        <f t="shared" si="5"/>
        <v>0.87562189054726369</v>
      </c>
      <c r="O35" s="386">
        <f t="shared" si="44"/>
        <v>3.7499999999999999E-2</v>
      </c>
      <c r="P35" s="4">
        <f t="shared" si="6"/>
        <v>4.154650746268655</v>
      </c>
      <c r="Q35" s="386">
        <f t="shared" si="7"/>
        <v>20.813804147573709</v>
      </c>
      <c r="R35" s="386">
        <f t="shared" si="8"/>
        <v>1.077583354763312</v>
      </c>
      <c r="S35" s="386">
        <f t="shared" si="45"/>
        <v>0.37377197277973878</v>
      </c>
      <c r="T35" s="386">
        <f t="shared" si="46"/>
        <v>1.4513553275430509</v>
      </c>
      <c r="U35" s="4">
        <f t="shared" si="9"/>
        <v>1.1993443633735439</v>
      </c>
      <c r="V35" s="386">
        <f t="shared" si="10"/>
        <v>2.8768538039117826E-3</v>
      </c>
      <c r="W35" s="386">
        <f t="shared" si="47"/>
        <v>2.8768538039117826E-3</v>
      </c>
      <c r="X35" s="386">
        <f t="shared" si="11"/>
        <v>6.6121051575653835</v>
      </c>
      <c r="Y35" s="386">
        <f t="shared" si="12"/>
        <v>8.7439869229405484E-2</v>
      </c>
      <c r="Z35" s="603">
        <f t="shared" si="48"/>
        <v>8.7439869229405484E-2</v>
      </c>
      <c r="AA35" s="386">
        <f t="shared" si="13"/>
        <v>19.476448589872845</v>
      </c>
      <c r="AB35" s="386">
        <f t="shared" si="14"/>
        <v>0.72073089438052385</v>
      </c>
      <c r="AC35" s="386">
        <f t="shared" si="15"/>
        <v>0.50677773112875535</v>
      </c>
      <c r="AD35">
        <f t="shared" si="16"/>
        <v>0</v>
      </c>
      <c r="AE35" s="386">
        <f t="shared" si="17"/>
        <v>1.4342503301525631</v>
      </c>
      <c r="AF35" s="386">
        <f t="shared" si="18"/>
        <v>7.3404627524153119</v>
      </c>
      <c r="AG35" s="386">
        <f t="shared" si="19"/>
        <v>0.10237654749723349</v>
      </c>
      <c r="AH35" s="386">
        <f t="shared" si="20"/>
        <v>0</v>
      </c>
      <c r="AI35" s="386">
        <f t="shared" si="21"/>
        <v>0.10451655633603006</v>
      </c>
      <c r="AJ35" s="386">
        <f t="shared" si="22"/>
        <v>4.0305758417387922</v>
      </c>
      <c r="AK35" s="386">
        <f t="shared" si="23"/>
        <v>8.1227708080041875E-3</v>
      </c>
      <c r="AL35" s="386">
        <f t="shared" si="24"/>
        <v>1.1262092029730675</v>
      </c>
      <c r="AM35">
        <f t="shared" si="25"/>
        <v>0</v>
      </c>
      <c r="AN35" s="386">
        <f t="shared" si="26"/>
        <v>1.1361777560830346</v>
      </c>
      <c r="AO35" s="386">
        <f t="shared" si="27"/>
        <v>20.419816391866707</v>
      </c>
      <c r="AP35" s="386">
        <f t="shared" si="28"/>
        <v>0.20848445073877414</v>
      </c>
      <c r="AQ35" s="386">
        <f t="shared" si="29"/>
        <v>0</v>
      </c>
      <c r="AR35" s="386">
        <f t="shared" si="30"/>
        <v>0.2175558532528597</v>
      </c>
      <c r="AS35" s="386">
        <f t="shared" si="31"/>
        <v>0</v>
      </c>
      <c r="AT35" s="386">
        <f t="shared" si="32"/>
        <v>0.23605484482350153</v>
      </c>
      <c r="AU35" s="386">
        <f t="shared" si="33"/>
        <v>0.57515000000000005</v>
      </c>
      <c r="AV35" s="386">
        <f t="shared" si="34"/>
        <v>0.21038380510681484</v>
      </c>
      <c r="AW35" s="386" t="e">
        <f t="shared" si="35"/>
        <v>#VALUE!</v>
      </c>
      <c r="AX35" s="386">
        <f t="shared" si="36"/>
        <v>3.8400000000000004E-2</v>
      </c>
      <c r="AY35" s="386">
        <f t="shared" si="37"/>
        <v>0.62080000000000002</v>
      </c>
      <c r="AZ35" s="386">
        <f t="shared" si="38"/>
        <v>0.47314285714285709</v>
      </c>
      <c r="BA35" s="386">
        <f t="shared" si="56"/>
        <v>0.65920000000000001</v>
      </c>
      <c r="BB35" s="386" t="e">
        <f t="shared" si="57"/>
        <v>#VALUE!</v>
      </c>
      <c r="BC35">
        <f t="shared" si="39"/>
        <v>256</v>
      </c>
      <c r="BD35" s="604" t="e">
        <f t="shared" si="50"/>
        <v>#VALUE!</v>
      </c>
      <c r="BE35" s="614">
        <f t="shared" si="40"/>
        <v>100.47001650762817</v>
      </c>
      <c r="BF35" s="614">
        <f t="shared" si="41"/>
        <v>5.2258278168015027</v>
      </c>
      <c r="BG35" s="9"/>
      <c r="BH35" s="4" t="e">
        <f t="shared" si="51"/>
        <v>#VALUE!</v>
      </c>
      <c r="BI35" s="386">
        <f t="shared" si="52"/>
        <v>1.4513553275430509</v>
      </c>
      <c r="BJ35" s="386">
        <f t="shared" si="53"/>
        <v>3.467650495824488</v>
      </c>
      <c r="BK35" s="386">
        <f t="shared" si="54"/>
        <v>0.29431605633603009</v>
      </c>
      <c r="BL35" s="386">
        <f t="shared" si="55"/>
        <v>0.21038380510681484</v>
      </c>
      <c r="BQ35">
        <v>9.9986049999999995</v>
      </c>
      <c r="BR35">
        <v>1.0528999999999999</v>
      </c>
      <c r="BS35">
        <v>5.1218219999999999</v>
      </c>
      <c r="BT35">
        <v>92.889938966292178</v>
      </c>
      <c r="BU35">
        <v>412.77762981700039</v>
      </c>
    </row>
    <row r="36" spans="1:73" x14ac:dyDescent="0.2">
      <c r="A36" s="24" t="s">
        <v>766</v>
      </c>
      <c r="B36" s="15" t="s">
        <v>115</v>
      </c>
      <c r="C36" s="24" t="s">
        <v>80</v>
      </c>
      <c r="D36" s="17" t="s">
        <v>111</v>
      </c>
      <c r="G36">
        <v>27</v>
      </c>
      <c r="H36" s="610">
        <f t="shared" si="0"/>
        <v>14.265000000000001</v>
      </c>
      <c r="I36" s="4" t="str">
        <f t="shared" si="1"/>
        <v>BUCK-BST</v>
      </c>
      <c r="J36">
        <f t="shared" si="43"/>
        <v>3</v>
      </c>
      <c r="K36">
        <f t="shared" si="2"/>
        <v>20</v>
      </c>
      <c r="L36" s="4">
        <f t="shared" si="3"/>
        <v>19.940024146122987</v>
      </c>
      <c r="M36" s="4">
        <f t="shared" si="4"/>
        <v>20.779220779220779</v>
      </c>
      <c r="N36" s="386">
        <f t="shared" si="5"/>
        <v>0.86365229582895198</v>
      </c>
      <c r="O36" s="386">
        <f t="shared" si="44"/>
        <v>3.7499999999999999E-2</v>
      </c>
      <c r="P36" s="4">
        <f t="shared" si="6"/>
        <v>4.7715062039957932</v>
      </c>
      <c r="Q36" s="386">
        <f t="shared" si="7"/>
        <v>20.824823860307472</v>
      </c>
      <c r="R36" s="386">
        <f t="shared" si="8"/>
        <v>1.078823197927852</v>
      </c>
      <c r="S36" s="386">
        <f t="shared" si="45"/>
        <v>0.51419216042112414</v>
      </c>
      <c r="T36" s="386">
        <f t="shared" si="46"/>
        <v>1.5930153583489761</v>
      </c>
      <c r="U36" s="4">
        <f t="shared" si="9"/>
        <v>1.3774151956584704</v>
      </c>
      <c r="V36" s="386">
        <f t="shared" si="10"/>
        <v>3.7945452424617246E-3</v>
      </c>
      <c r="W36" s="386">
        <f t="shared" si="47"/>
        <v>3.7945452424617246E-3</v>
      </c>
      <c r="X36" s="386">
        <f t="shared" si="11"/>
        <v>6.8794055151642981</v>
      </c>
      <c r="Y36" s="386">
        <f t="shared" si="12"/>
        <v>9.4652440484145936E-2</v>
      </c>
      <c r="Z36" s="603">
        <f t="shared" si="48"/>
        <v>9.4652440484145936E-2</v>
      </c>
      <c r="AA36" s="386">
        <f t="shared" si="13"/>
        <v>19.353111675461751</v>
      </c>
      <c r="AB36" s="386">
        <f t="shared" si="14"/>
        <v>0.71163156989349841</v>
      </c>
      <c r="AC36" s="386">
        <f t="shared" si="15"/>
        <v>0.51380130309535865</v>
      </c>
      <c r="AD36">
        <f t="shared" si="16"/>
        <v>0</v>
      </c>
      <c r="AE36" s="386">
        <f t="shared" si="17"/>
        <v>1.4287868369537728</v>
      </c>
      <c r="AF36" s="386">
        <f t="shared" si="18"/>
        <v>7.6896266027641031</v>
      </c>
      <c r="AG36" s="386">
        <f t="shared" si="19"/>
        <v>0.11234767885088107</v>
      </c>
      <c r="AH36" s="386">
        <f t="shared" si="20"/>
        <v>0</v>
      </c>
      <c r="AI36" s="386">
        <f t="shared" si="21"/>
        <v>0.114930104955243</v>
      </c>
      <c r="AJ36" s="386">
        <f t="shared" si="22"/>
        <v>4.0327097999336843</v>
      </c>
      <c r="AK36" s="386">
        <f t="shared" si="23"/>
        <v>8.1313741652405888E-3</v>
      </c>
      <c r="AL36" s="386">
        <f t="shared" si="24"/>
        <v>1.1262092029730675</v>
      </c>
      <c r="AM36">
        <f t="shared" si="25"/>
        <v>0</v>
      </c>
      <c r="AN36" s="386">
        <f t="shared" si="26"/>
        <v>1.1361883316276371</v>
      </c>
      <c r="AO36" s="386">
        <f t="shared" si="27"/>
        <v>20.430627510733739</v>
      </c>
      <c r="AP36" s="386">
        <f t="shared" si="28"/>
        <v>0.20870527024117516</v>
      </c>
      <c r="AQ36" s="386">
        <f t="shared" si="29"/>
        <v>0</v>
      </c>
      <c r="AR36" s="386">
        <f t="shared" si="30"/>
        <v>0.21779631812764791</v>
      </c>
      <c r="AS36" s="386">
        <f t="shared" si="31"/>
        <v>0</v>
      </c>
      <c r="AT36" s="386">
        <f t="shared" si="32"/>
        <v>0.23470761771234958</v>
      </c>
      <c r="AU36" s="386">
        <f t="shared" si="33"/>
        <v>0.58185312500000008</v>
      </c>
      <c r="AV36" s="386">
        <f t="shared" si="34"/>
        <v>0.22617931686125575</v>
      </c>
      <c r="AW36" s="386" t="e">
        <f t="shared" si="35"/>
        <v>#VALUE!</v>
      </c>
      <c r="AX36" s="386">
        <f t="shared" si="36"/>
        <v>3.8400000000000004E-2</v>
      </c>
      <c r="AY36" s="386">
        <f t="shared" si="37"/>
        <v>0.62080000000000002</v>
      </c>
      <c r="AZ36" s="386">
        <f t="shared" si="38"/>
        <v>0.47314285714285709</v>
      </c>
      <c r="BA36" s="386">
        <f t="shared" si="56"/>
        <v>0.65920000000000001</v>
      </c>
      <c r="BB36" s="386" t="e">
        <f t="shared" si="57"/>
        <v>#VALUE!</v>
      </c>
      <c r="BC36">
        <f t="shared" si="39"/>
        <v>256</v>
      </c>
      <c r="BD36" s="604" t="e">
        <f t="shared" si="50"/>
        <v>#VALUE!</v>
      </c>
      <c r="BE36" s="614">
        <f t="shared" si="40"/>
        <v>100.53199809768864</v>
      </c>
      <c r="BF36" s="614">
        <f t="shared" si="41"/>
        <v>5.7465052477621503</v>
      </c>
      <c r="BG36" s="9"/>
      <c r="BH36" s="4" t="e">
        <f t="shared" si="51"/>
        <v>#VALUE!</v>
      </c>
      <c r="BI36" s="386">
        <f t="shared" si="52"/>
        <v>1.5930153583489761</v>
      </c>
      <c r="BJ36" s="386">
        <f t="shared" si="53"/>
        <v>3.4795547166643006</v>
      </c>
      <c r="BK36" s="386">
        <f t="shared" si="54"/>
        <v>0.30694163620524306</v>
      </c>
      <c r="BL36" s="386">
        <f t="shared" si="55"/>
        <v>0.22617931686125575</v>
      </c>
      <c r="BQ36">
        <v>9.9986669999999993</v>
      </c>
      <c r="BR36">
        <v>1.3092999999999999</v>
      </c>
      <c r="BS36">
        <v>5.1195649999999997</v>
      </c>
      <c r="BT36">
        <v>93.690364214923264</v>
      </c>
      <c r="BU36">
        <v>451.42072788069993</v>
      </c>
    </row>
    <row r="37" spans="1:73" x14ac:dyDescent="0.2">
      <c r="A37" s="23" t="s">
        <v>75</v>
      </c>
      <c r="B37" s="5">
        <f>Rdson1*1000</f>
        <v>1.9</v>
      </c>
      <c r="C37" s="484" t="s">
        <v>674</v>
      </c>
      <c r="D37" s="482" t="s">
        <v>769</v>
      </c>
      <c r="G37">
        <v>28</v>
      </c>
      <c r="H37" s="610">
        <f t="shared" si="0"/>
        <v>14.46</v>
      </c>
      <c r="I37" s="4" t="str">
        <f t="shared" si="1"/>
        <v>BUCK-BST</v>
      </c>
      <c r="J37">
        <f t="shared" si="43"/>
        <v>3</v>
      </c>
      <c r="K37">
        <f t="shared" si="2"/>
        <v>20</v>
      </c>
      <c r="L37" s="4">
        <f t="shared" si="3"/>
        <v>19.67112340556324</v>
      </c>
      <c r="M37" s="4">
        <f t="shared" si="4"/>
        <v>20.779220779220779</v>
      </c>
      <c r="N37" s="386">
        <f t="shared" si="5"/>
        <v>0.85200553250345779</v>
      </c>
      <c r="O37" s="386">
        <f t="shared" si="44"/>
        <v>3.7499999999999999E-2</v>
      </c>
      <c r="P37" s="4">
        <f t="shared" si="6"/>
        <v>5.3717244813278011</v>
      </c>
      <c r="Q37" s="386">
        <f t="shared" si="7"/>
        <v>20.837001580126845</v>
      </c>
      <c r="R37" s="386">
        <f t="shared" si="8"/>
        <v>1.0801943570211452</v>
      </c>
      <c r="S37" s="386">
        <f t="shared" si="45"/>
        <v>0.67559313503853125</v>
      </c>
      <c r="T37" s="386">
        <f t="shared" si="46"/>
        <v>1.7557874920596763</v>
      </c>
      <c r="U37" s="4">
        <f t="shared" si="9"/>
        <v>1.5506832876535546</v>
      </c>
      <c r="V37" s="386">
        <f t="shared" si="10"/>
        <v>4.8092373172160738E-3</v>
      </c>
      <c r="W37" s="386">
        <f t="shared" si="47"/>
        <v>4.8092373172160738E-3</v>
      </c>
      <c r="X37" s="386">
        <f t="shared" si="11"/>
        <v>7.1232047186205527</v>
      </c>
      <c r="Y37" s="386">
        <f t="shared" si="12"/>
        <v>0.10148009092675622</v>
      </c>
      <c r="Z37" s="603">
        <f t="shared" si="48"/>
        <v>0.10148009092675622</v>
      </c>
      <c r="AA37" s="386">
        <f t="shared" si="13"/>
        <v>19.233416311155992</v>
      </c>
      <c r="AB37" s="386">
        <f t="shared" si="14"/>
        <v>0.70285617569665848</v>
      </c>
      <c r="AC37" s="386">
        <f t="shared" si="15"/>
        <v>0.52082487506196185</v>
      </c>
      <c r="AD37">
        <f t="shared" si="16"/>
        <v>0</v>
      </c>
      <c r="AE37" s="386">
        <f t="shared" si="17"/>
        <v>1.4238306893963517</v>
      </c>
      <c r="AF37" s="386">
        <f t="shared" si="18"/>
        <v>8.0160047312839868</v>
      </c>
      <c r="AG37" s="386">
        <f t="shared" si="19"/>
        <v>0.12208703051873779</v>
      </c>
      <c r="AH37" s="386">
        <f t="shared" si="20"/>
        <v>0</v>
      </c>
      <c r="AI37" s="386">
        <f t="shared" si="21"/>
        <v>0.1251426904114292</v>
      </c>
      <c r="AJ37" s="386">
        <f t="shared" si="22"/>
        <v>4.0350680052364449</v>
      </c>
      <c r="AK37" s="386">
        <f t="shared" si="23"/>
        <v>8.1408869034414102E-3</v>
      </c>
      <c r="AL37" s="386">
        <f t="shared" si="24"/>
        <v>1.1262092029730675</v>
      </c>
      <c r="AM37">
        <f t="shared" si="25"/>
        <v>0</v>
      </c>
      <c r="AN37" s="386">
        <f t="shared" si="26"/>
        <v>1.1362000250572446</v>
      </c>
      <c r="AO37" s="386">
        <f t="shared" si="27"/>
        <v>20.44257471658905</v>
      </c>
      <c r="AP37" s="386">
        <f t="shared" si="28"/>
        <v>0.20894943052166295</v>
      </c>
      <c r="AQ37" s="386">
        <f t="shared" si="29"/>
        <v>0</v>
      </c>
      <c r="AR37" s="386">
        <f t="shared" si="30"/>
        <v>0.21806222611465148</v>
      </c>
      <c r="AS37" s="386">
        <f t="shared" si="31"/>
        <v>0</v>
      </c>
      <c r="AT37" s="386">
        <f t="shared" si="32"/>
        <v>0.2333967266021208</v>
      </c>
      <c r="AU37" s="386">
        <f t="shared" si="33"/>
        <v>0.58855625000000011</v>
      </c>
      <c r="AV37" s="386">
        <f t="shared" si="34"/>
        <v>0.24161431697655025</v>
      </c>
      <c r="AW37" s="386" t="e">
        <f t="shared" si="35"/>
        <v>#VALUE!</v>
      </c>
      <c r="AX37" s="386">
        <f t="shared" si="36"/>
        <v>3.8400000000000004E-2</v>
      </c>
      <c r="AY37" s="386">
        <f t="shared" si="37"/>
        <v>0.62080000000000002</v>
      </c>
      <c r="AZ37" s="386">
        <f t="shared" si="38"/>
        <v>0.47314285714285709</v>
      </c>
      <c r="BA37" s="386">
        <f t="shared" si="56"/>
        <v>0.65920000000000001</v>
      </c>
      <c r="BB37" s="386" t="e">
        <f t="shared" si="57"/>
        <v>#VALUE!</v>
      </c>
      <c r="BC37">
        <f t="shared" si="39"/>
        <v>256</v>
      </c>
      <c r="BD37" s="604" t="e">
        <f t="shared" si="50"/>
        <v>#VALUE!</v>
      </c>
      <c r="BE37" s="614">
        <f t="shared" si="40"/>
        <v>100.6193469698176</v>
      </c>
      <c r="BF37" s="614">
        <f t="shared" si="41"/>
        <v>6.2571345205714595</v>
      </c>
      <c r="BG37" s="9"/>
      <c r="BH37" s="4" t="e">
        <f t="shared" si="51"/>
        <v>#VALUE!</v>
      </c>
      <c r="BI37" s="386">
        <f t="shared" si="52"/>
        <v>1.7557874920596763</v>
      </c>
      <c r="BJ37" s="386">
        <f t="shared" si="53"/>
        <v>3.4917918809796777</v>
      </c>
      <c r="BK37" s="386">
        <f t="shared" si="54"/>
        <v>0.31936625291142928</v>
      </c>
      <c r="BL37" s="386">
        <f t="shared" si="55"/>
        <v>0.24161431697655025</v>
      </c>
      <c r="BQ37">
        <v>9.9985429999999997</v>
      </c>
      <c r="BR37">
        <v>1.6020000000000001</v>
      </c>
      <c r="BS37">
        <v>5.1182809999999996</v>
      </c>
      <c r="BT37">
        <v>93.864473327748414</v>
      </c>
      <c r="BU37">
        <v>535.96589716749952</v>
      </c>
    </row>
    <row r="38" spans="1:73" x14ac:dyDescent="0.2">
      <c r="A38" s="22" t="s">
        <v>83</v>
      </c>
      <c r="B38" s="5">
        <f>RdsonTopTc*1000000</f>
        <v>4000</v>
      </c>
      <c r="C38" s="482" t="s">
        <v>85</v>
      </c>
      <c r="D38" s="21" t="s">
        <v>113</v>
      </c>
      <c r="G38">
        <v>29</v>
      </c>
      <c r="H38" s="610">
        <f t="shared" si="0"/>
        <v>14.654999999999999</v>
      </c>
      <c r="I38" s="4" t="str">
        <f t="shared" si="1"/>
        <v>BUCK</v>
      </c>
      <c r="J38">
        <f t="shared" si="43"/>
        <v>1</v>
      </c>
      <c r="K38">
        <f t="shared" si="2"/>
        <v>20</v>
      </c>
      <c r="L38" s="4">
        <f t="shared" si="3"/>
        <v>19.409378672428829</v>
      </c>
      <c r="M38" s="4">
        <f t="shared" si="4"/>
        <v>20</v>
      </c>
      <c r="N38" s="386">
        <f t="shared" si="5"/>
        <v>0.87963302752293593</v>
      </c>
      <c r="O38" s="386">
        <f t="shared" si="44"/>
        <v>0</v>
      </c>
      <c r="P38" s="4">
        <f t="shared" si="6"/>
        <v>3.1160120366972457</v>
      </c>
      <c r="Q38" s="386">
        <f t="shared" si="7"/>
        <v>20.020217970451856</v>
      </c>
      <c r="R38" s="386">
        <f t="shared" si="8"/>
        <v>0.99059018851965963</v>
      </c>
      <c r="S38" s="386">
        <f t="shared" si="45"/>
        <v>0.19264404255269804</v>
      </c>
      <c r="T38" s="386">
        <f t="shared" si="46"/>
        <v>1.1832342310723576</v>
      </c>
      <c r="U38" s="4">
        <f t="shared" si="9"/>
        <v>0.89951519409263447</v>
      </c>
      <c r="V38" s="386">
        <f t="shared" si="10"/>
        <v>1.6182551688070197E-3</v>
      </c>
      <c r="W38" s="386">
        <f t="shared" si="47"/>
        <v>1.6182551688070197E-3</v>
      </c>
      <c r="X38" s="386">
        <f t="shared" si="11"/>
        <v>6.5143821805599993</v>
      </c>
      <c r="Y38" s="386">
        <f t="shared" si="12"/>
        <v>8.4874350388795303E-2</v>
      </c>
      <c r="Z38" s="603">
        <f t="shared" si="48"/>
        <v>8.4874350388795303E-2</v>
      </c>
      <c r="AA38" s="386">
        <f t="shared" si="13"/>
        <v>18.776712874086762</v>
      </c>
      <c r="AB38" s="386">
        <f t="shared" si="14"/>
        <v>0.6698733980762015</v>
      </c>
      <c r="AC38" s="386">
        <f t="shared" si="15"/>
        <v>1.0161082605299876</v>
      </c>
      <c r="AD38">
        <f t="shared" si="16"/>
        <v>0</v>
      </c>
      <c r="AE38" s="386">
        <f t="shared" si="17"/>
        <v>1.9468041163705669</v>
      </c>
      <c r="AF38" s="386">
        <f t="shared" si="18"/>
        <v>6.9458031377593734</v>
      </c>
      <c r="AG38" s="386">
        <f t="shared" si="19"/>
        <v>9.1663944334165109E-2</v>
      </c>
      <c r="AH38" s="386">
        <f t="shared" si="20"/>
        <v>0</v>
      </c>
      <c r="AI38" s="386">
        <f t="shared" si="21"/>
        <v>9.337578284636272E-2</v>
      </c>
      <c r="AJ38" s="386">
        <f t="shared" si="22"/>
        <v>0</v>
      </c>
      <c r="AK38" s="386">
        <f t="shared" si="23"/>
        <v>0</v>
      </c>
      <c r="AL38" s="386">
        <f t="shared" si="24"/>
        <v>0</v>
      </c>
      <c r="AM38">
        <f t="shared" si="25"/>
        <v>0</v>
      </c>
      <c r="AN38" s="386">
        <f t="shared" si="26"/>
        <v>0</v>
      </c>
      <c r="AO38" s="386">
        <f t="shared" si="27"/>
        <v>20.020217970451856</v>
      </c>
      <c r="AP38" s="386">
        <f t="shared" si="28"/>
        <v>0.20040456379220173</v>
      </c>
      <c r="AQ38" s="386">
        <f t="shared" si="29"/>
        <v>0</v>
      </c>
      <c r="AR38" s="386">
        <f t="shared" si="30"/>
        <v>0.20877235014472711</v>
      </c>
      <c r="AS38" s="386">
        <f t="shared" si="31"/>
        <v>0.20040456379220173</v>
      </c>
      <c r="AT38" s="386">
        <f t="shared" si="32"/>
        <v>0.27500000000000002</v>
      </c>
      <c r="AU38" s="386">
        <f t="shared" si="33"/>
        <v>1.0049187500000001</v>
      </c>
      <c r="AV38" s="386">
        <f t="shared" si="34"/>
        <v>0.14473254368552388</v>
      </c>
      <c r="AW38" s="386" t="e">
        <f t="shared" si="35"/>
        <v>#VALUE!</v>
      </c>
      <c r="AX38" s="386">
        <f t="shared" si="36"/>
        <v>3.8400000000000004E-2</v>
      </c>
      <c r="AY38" s="386">
        <f t="shared" si="37"/>
        <v>0.61440000000000006</v>
      </c>
      <c r="AZ38" s="386">
        <f t="shared" si="38"/>
        <v>0.47314285714285709</v>
      </c>
      <c r="BA38" s="386">
        <f t="shared" si="56"/>
        <v>0.65280000000000005</v>
      </c>
      <c r="BB38" s="386" t="e">
        <f t="shared" si="57"/>
        <v>#VALUE!</v>
      </c>
      <c r="BC38">
        <f t="shared" si="39"/>
        <v>256</v>
      </c>
      <c r="BD38" s="604" t="e">
        <f t="shared" si="50"/>
        <v>#VALUE!</v>
      </c>
      <c r="BE38" s="614">
        <f t="shared" si="40"/>
        <v>147.58614331852834</v>
      </c>
      <c r="BF38" s="614">
        <f t="shared" si="41"/>
        <v>4.6687891423181362</v>
      </c>
      <c r="BG38" s="9"/>
      <c r="BH38" s="4" t="e">
        <f t="shared" si="51"/>
        <v>#VALUE!</v>
      </c>
      <c r="BI38" s="386">
        <f t="shared" si="52"/>
        <v>1.1832342310723576</v>
      </c>
      <c r="BJ38" s="386">
        <f t="shared" si="53"/>
        <v>3.2538709993616566</v>
      </c>
      <c r="BK38" s="386">
        <f t="shared" si="54"/>
        <v>0.42499897034636275</v>
      </c>
      <c r="BL38" s="386">
        <f t="shared" si="55"/>
        <v>0.14473254368552388</v>
      </c>
      <c r="BQ38">
        <v>9.9985429999999997</v>
      </c>
      <c r="BR38">
        <v>1.9350000000000001</v>
      </c>
      <c r="BS38">
        <v>5.117146</v>
      </c>
      <c r="BT38">
        <v>94.224527198076927</v>
      </c>
      <c r="BU38">
        <v>606.92116405899924</v>
      </c>
    </row>
    <row r="39" spans="1:73" x14ac:dyDescent="0.2">
      <c r="A39" s="23" t="s">
        <v>74</v>
      </c>
      <c r="B39" s="5">
        <f>Qg_Q1*1000000000</f>
        <v>96</v>
      </c>
      <c r="C39" s="482" t="s">
        <v>69</v>
      </c>
      <c r="D39" s="21" t="s">
        <v>103</v>
      </c>
      <c r="G39">
        <v>30</v>
      </c>
      <c r="H39" s="610">
        <f t="shared" si="0"/>
        <v>14.85</v>
      </c>
      <c r="I39" s="4" t="str">
        <f t="shared" si="1"/>
        <v>BUCK</v>
      </c>
      <c r="J39">
        <f t="shared" si="43"/>
        <v>1</v>
      </c>
      <c r="K39">
        <f t="shared" si="2"/>
        <v>20</v>
      </c>
      <c r="L39" s="4">
        <f t="shared" si="3"/>
        <v>19.15450804339693</v>
      </c>
      <c r="M39" s="4">
        <f t="shared" si="4"/>
        <v>20</v>
      </c>
      <c r="N39" s="386">
        <f t="shared" si="5"/>
        <v>0.868128772635815</v>
      </c>
      <c r="O39" s="386">
        <f t="shared" si="44"/>
        <v>0</v>
      </c>
      <c r="P39" s="4">
        <f t="shared" si="6"/>
        <v>3.4138295855130769</v>
      </c>
      <c r="Q39" s="386">
        <f t="shared" si="7"/>
        <v>20.024264931242222</v>
      </c>
      <c r="R39" s="386">
        <f t="shared" si="8"/>
        <v>0.99102246634513791</v>
      </c>
      <c r="S39" s="386">
        <f t="shared" si="45"/>
        <v>0.23773459783923356</v>
      </c>
      <c r="T39" s="386">
        <f t="shared" si="46"/>
        <v>1.2287570641843715</v>
      </c>
      <c r="U39" s="4">
        <f t="shared" si="9"/>
        <v>0.98548771508174182</v>
      </c>
      <c r="V39" s="386">
        <f t="shared" si="10"/>
        <v>1.9423720731540648E-3</v>
      </c>
      <c r="W39" s="386">
        <f t="shared" si="47"/>
        <v>1.9423720731540648E-3</v>
      </c>
      <c r="X39" s="386">
        <f t="shared" si="11"/>
        <v>6.7752243691639382</v>
      </c>
      <c r="Y39" s="386">
        <f t="shared" si="12"/>
        <v>9.1807330505025778E-2</v>
      </c>
      <c r="Z39" s="603">
        <f t="shared" si="48"/>
        <v>9.1807330505025778E-2</v>
      </c>
      <c r="AA39" s="386">
        <f t="shared" si="13"/>
        <v>18.657294112391021</v>
      </c>
      <c r="AB39" s="386">
        <f t="shared" si="14"/>
        <v>0.66137978483289528</v>
      </c>
      <c r="AC39" s="386">
        <f t="shared" si="15"/>
        <v>1.0296286365656988</v>
      </c>
      <c r="AD39">
        <f t="shared" si="16"/>
        <v>0</v>
      </c>
      <c r="AE39" s="386">
        <f t="shared" si="17"/>
        <v>1.948785947531321</v>
      </c>
      <c r="AF39" s="386">
        <f t="shared" si="18"/>
        <v>7.2716272209400534</v>
      </c>
      <c r="AG39" s="386">
        <f t="shared" si="19"/>
        <v>0.10046546863660109</v>
      </c>
      <c r="AH39" s="386">
        <f t="shared" si="20"/>
        <v>0</v>
      </c>
      <c r="AI39" s="386">
        <f t="shared" si="21"/>
        <v>0.10252552359156908</v>
      </c>
      <c r="AJ39" s="386">
        <f t="shared" si="22"/>
        <v>0</v>
      </c>
      <c r="AK39" s="386">
        <f t="shared" si="23"/>
        <v>0</v>
      </c>
      <c r="AL39" s="386">
        <f t="shared" si="24"/>
        <v>0</v>
      </c>
      <c r="AM39">
        <f t="shared" si="25"/>
        <v>0</v>
      </c>
      <c r="AN39" s="386">
        <f t="shared" si="26"/>
        <v>0</v>
      </c>
      <c r="AO39" s="386">
        <f t="shared" si="27"/>
        <v>20.024264931242222</v>
      </c>
      <c r="AP39" s="386">
        <f t="shared" si="28"/>
        <v>0.20048559301828855</v>
      </c>
      <c r="AQ39" s="386">
        <f t="shared" si="29"/>
        <v>0</v>
      </c>
      <c r="AR39" s="386">
        <f t="shared" si="30"/>
        <v>0.2088602887894743</v>
      </c>
      <c r="AS39" s="386">
        <f t="shared" si="31"/>
        <v>0.20048559301828855</v>
      </c>
      <c r="AT39" s="386">
        <f t="shared" si="32"/>
        <v>0.27500000000000002</v>
      </c>
      <c r="AU39" s="386">
        <f t="shared" si="33"/>
        <v>1.0183250000000001</v>
      </c>
      <c r="AV39" s="386">
        <f t="shared" si="34"/>
        <v>0.15862968732094909</v>
      </c>
      <c r="AW39" s="386" t="e">
        <f t="shared" si="35"/>
        <v>#VALUE!</v>
      </c>
      <c r="AX39" s="386">
        <f t="shared" si="36"/>
        <v>3.8400000000000004E-2</v>
      </c>
      <c r="AY39" s="386">
        <f t="shared" si="37"/>
        <v>0.61440000000000006</v>
      </c>
      <c r="AZ39" s="386">
        <f t="shared" si="38"/>
        <v>0.47314285714285709</v>
      </c>
      <c r="BA39" s="386">
        <f t="shared" si="56"/>
        <v>0.65280000000000005</v>
      </c>
      <c r="BB39" s="386" t="e">
        <f t="shared" si="57"/>
        <v>#VALUE!</v>
      </c>
      <c r="BC39">
        <f t="shared" si="39"/>
        <v>256</v>
      </c>
      <c r="BD39" s="604" t="e">
        <f t="shared" si="50"/>
        <v>#VALUE!</v>
      </c>
      <c r="BE39" s="614">
        <f t="shared" si="40"/>
        <v>148.35554737656605</v>
      </c>
      <c r="BF39" s="614">
        <f t="shared" si="41"/>
        <v>5.1262761795784542</v>
      </c>
      <c r="BG39" s="9"/>
      <c r="BH39" s="4" t="e">
        <f t="shared" si="51"/>
        <v>#VALUE!</v>
      </c>
      <c r="BI39" s="386">
        <f t="shared" si="52"/>
        <v>1.2287570641843715</v>
      </c>
      <c r="BJ39" s="386">
        <f t="shared" si="53"/>
        <v>3.2784967599123647</v>
      </c>
      <c r="BK39" s="386">
        <f t="shared" si="54"/>
        <v>0.43857277359156915</v>
      </c>
      <c r="BL39" s="386">
        <f t="shared" si="55"/>
        <v>0.15862968732094909</v>
      </c>
      <c r="BQ39">
        <v>9.9985060000000008</v>
      </c>
      <c r="BR39">
        <v>2.31</v>
      </c>
      <c r="BS39">
        <v>5.1166349999999996</v>
      </c>
      <c r="BT39">
        <v>94.492663502717292</v>
      </c>
      <c r="BU39">
        <v>688.87413060200208</v>
      </c>
    </row>
    <row r="40" spans="1:73" x14ac:dyDescent="0.2">
      <c r="A40" s="23" t="s">
        <v>130</v>
      </c>
      <c r="B40" s="5">
        <f>Qgd_Q1*1000000000</f>
        <v>17.2</v>
      </c>
      <c r="C40" s="482" t="s">
        <v>69</v>
      </c>
      <c r="D40" s="21" t="s">
        <v>131</v>
      </c>
      <c r="G40">
        <v>31</v>
      </c>
      <c r="H40" s="610">
        <f t="shared" si="0"/>
        <v>15.045</v>
      </c>
      <c r="I40" s="4" t="str">
        <f t="shared" si="1"/>
        <v>BUCK</v>
      </c>
      <c r="J40">
        <f t="shared" si="43"/>
        <v>1</v>
      </c>
      <c r="K40">
        <f t="shared" si="2"/>
        <v>20</v>
      </c>
      <c r="L40" s="4">
        <f t="shared" si="3"/>
        <v>18.906244230272147</v>
      </c>
      <c r="M40" s="4">
        <f t="shared" si="4"/>
        <v>20</v>
      </c>
      <c r="N40" s="386">
        <f t="shared" si="5"/>
        <v>0.85692154915590868</v>
      </c>
      <c r="O40" s="386">
        <f t="shared" si="44"/>
        <v>0</v>
      </c>
      <c r="P40" s="4">
        <f t="shared" si="6"/>
        <v>3.7039577040714984</v>
      </c>
      <c r="Q40" s="386">
        <f t="shared" si="7"/>
        <v>20.028561486606968</v>
      </c>
      <c r="R40" s="386">
        <f t="shared" si="8"/>
        <v>0.99148153067213163</v>
      </c>
      <c r="S40" s="386">
        <f t="shared" si="45"/>
        <v>0.28688622951370119</v>
      </c>
      <c r="T40" s="386">
        <f t="shared" si="46"/>
        <v>1.2783677601858328</v>
      </c>
      <c r="U40" s="4">
        <f t="shared" si="9"/>
        <v>1.069240488756334</v>
      </c>
      <c r="V40" s="386">
        <f t="shared" si="10"/>
        <v>2.286550445591768E-3</v>
      </c>
      <c r="W40" s="386">
        <f t="shared" si="47"/>
        <v>2.286550445591768E-3</v>
      </c>
      <c r="X40" s="386">
        <f t="shared" si="11"/>
        <v>7.0130575823500916</v>
      </c>
      <c r="Y40" s="386">
        <f t="shared" si="12"/>
        <v>9.8365953306716228E-2</v>
      </c>
      <c r="Z40" s="603">
        <f t="shared" si="48"/>
        <v>9.8365953306716228E-2</v>
      </c>
      <c r="AA40" s="386">
        <f t="shared" si="13"/>
        <v>18.540450826163674</v>
      </c>
      <c r="AB40" s="386">
        <f t="shared" si="14"/>
        <v>0.65312180199104719</v>
      </c>
      <c r="AC40" s="386">
        <f t="shared" si="15"/>
        <v>1.04314901260141</v>
      </c>
      <c r="AD40">
        <f t="shared" si="16"/>
        <v>0</v>
      </c>
      <c r="AE40" s="386">
        <f t="shared" si="17"/>
        <v>1.9511368128159403</v>
      </c>
      <c r="AF40" s="386">
        <f t="shared" si="18"/>
        <v>7.5759460389711464</v>
      </c>
      <c r="AG40" s="386">
        <f t="shared" si="19"/>
        <v>0.10905042093226494</v>
      </c>
      <c r="AH40" s="386">
        <f t="shared" si="20"/>
        <v>0</v>
      </c>
      <c r="AI40" s="386">
        <f t="shared" si="21"/>
        <v>0.1114818494541208</v>
      </c>
      <c r="AJ40" s="386">
        <f t="shared" si="22"/>
        <v>0</v>
      </c>
      <c r="AK40" s="386">
        <f t="shared" si="23"/>
        <v>0</v>
      </c>
      <c r="AL40" s="386">
        <f t="shared" si="24"/>
        <v>0</v>
      </c>
      <c r="AM40">
        <f t="shared" si="25"/>
        <v>0</v>
      </c>
      <c r="AN40" s="386">
        <f t="shared" si="26"/>
        <v>0</v>
      </c>
      <c r="AO40" s="386">
        <f t="shared" si="27"/>
        <v>20.028561486606968</v>
      </c>
      <c r="AP40" s="386">
        <f t="shared" si="28"/>
        <v>0.20057163761139796</v>
      </c>
      <c r="AQ40" s="386">
        <f t="shared" si="29"/>
        <v>0</v>
      </c>
      <c r="AR40" s="386">
        <f t="shared" si="30"/>
        <v>0.20895367371581783</v>
      </c>
      <c r="AS40" s="386">
        <f t="shared" si="31"/>
        <v>0.20057163761139796</v>
      </c>
      <c r="AT40" s="386">
        <f t="shared" si="32"/>
        <v>0.27500000000000002</v>
      </c>
      <c r="AU40" s="386">
        <f t="shared" si="33"/>
        <v>1.03173125</v>
      </c>
      <c r="AV40" s="386">
        <f t="shared" si="34"/>
        <v>0.17218487515620781</v>
      </c>
      <c r="AW40" s="386" t="e">
        <f t="shared" si="35"/>
        <v>#VALUE!</v>
      </c>
      <c r="AX40" s="386">
        <f t="shared" si="36"/>
        <v>3.8400000000000004E-2</v>
      </c>
      <c r="AY40" s="386">
        <f t="shared" si="37"/>
        <v>0.61440000000000006</v>
      </c>
      <c r="AZ40" s="386">
        <f t="shared" si="38"/>
        <v>0.47314285714285709</v>
      </c>
      <c r="BA40" s="386">
        <f t="shared" si="56"/>
        <v>0.65280000000000005</v>
      </c>
      <c r="BB40" s="386" t="e">
        <f t="shared" si="57"/>
        <v>#VALUE!</v>
      </c>
      <c r="BC40">
        <f t="shared" si="39"/>
        <v>256</v>
      </c>
      <c r="BD40" s="604" t="e">
        <f t="shared" si="50"/>
        <v>#VALUE!</v>
      </c>
      <c r="BE40" s="614">
        <f t="shared" si="40"/>
        <v>149.14340314079701</v>
      </c>
      <c r="BF40" s="614">
        <f t="shared" si="41"/>
        <v>5.5740924727060399</v>
      </c>
      <c r="BG40" s="9"/>
      <c r="BH40" s="4" t="e">
        <f t="shared" si="51"/>
        <v>#VALUE!</v>
      </c>
      <c r="BI40" s="386">
        <f t="shared" si="52"/>
        <v>1.2783677601858328</v>
      </c>
      <c r="BJ40" s="386">
        <f t="shared" si="53"/>
        <v>3.303303585985879</v>
      </c>
      <c r="BK40" s="386">
        <f t="shared" si="54"/>
        <v>0.45195316195412083</v>
      </c>
      <c r="BL40" s="386">
        <f t="shared" si="55"/>
        <v>0.17218487515620781</v>
      </c>
      <c r="BQ40">
        <v>9.9984319999999993</v>
      </c>
      <c r="BR40">
        <v>2.7269999999999999</v>
      </c>
      <c r="BS40">
        <v>5.115812</v>
      </c>
      <c r="BT40">
        <v>94.558770424517263</v>
      </c>
      <c r="BU40">
        <v>802.77694931200062</v>
      </c>
    </row>
    <row r="41" spans="1:73" x14ac:dyDescent="0.2">
      <c r="A41" s="23" t="s">
        <v>148</v>
      </c>
      <c r="B41" s="5">
        <f>Qgs_Q1*1000000000</f>
        <v>24</v>
      </c>
      <c r="C41" s="482" t="s">
        <v>69</v>
      </c>
      <c r="D41" s="21"/>
      <c r="G41">
        <v>32</v>
      </c>
      <c r="H41" s="610">
        <f t="shared" si="0"/>
        <v>15.24</v>
      </c>
      <c r="I41" s="4" t="str">
        <f t="shared" si="1"/>
        <v>BUCK</v>
      </c>
      <c r="J41">
        <f t="shared" si="43"/>
        <v>1</v>
      </c>
      <c r="K41">
        <f t="shared" si="2"/>
        <v>20</v>
      </c>
      <c r="L41" s="4">
        <f t="shared" si="3"/>
        <v>18.664333624963543</v>
      </c>
      <c r="M41" s="4">
        <f t="shared" si="4"/>
        <v>20</v>
      </c>
      <c r="N41" s="386">
        <f t="shared" si="5"/>
        <v>0.84600000000000009</v>
      </c>
      <c r="O41" s="386">
        <f t="shared" si="44"/>
        <v>0</v>
      </c>
      <c r="P41" s="4">
        <f t="shared" si="6"/>
        <v>3.9866903999999992</v>
      </c>
      <c r="Q41" s="386">
        <f t="shared" si="7"/>
        <v>20.033084511097826</v>
      </c>
      <c r="R41" s="386">
        <f t="shared" si="8"/>
        <v>0.99196493221427573</v>
      </c>
      <c r="S41" s="386">
        <f t="shared" si="45"/>
        <v>0.33987124256021756</v>
      </c>
      <c r="T41" s="386">
        <f t="shared" si="46"/>
        <v>1.3318361747744933</v>
      </c>
      <c r="U41" s="4">
        <f t="shared" si="9"/>
        <v>1.1508583878078482</v>
      </c>
      <c r="V41" s="386">
        <f t="shared" si="10"/>
        <v>2.6489500575753592E-3</v>
      </c>
      <c r="W41" s="386">
        <f t="shared" si="47"/>
        <v>2.6489500575753592E-3</v>
      </c>
      <c r="X41" s="386">
        <f t="shared" si="11"/>
        <v>7.2309168094129346</v>
      </c>
      <c r="Y41" s="386">
        <f t="shared" si="12"/>
        <v>0.10457231580930107</v>
      </c>
      <c r="Z41" s="603">
        <f t="shared" si="48"/>
        <v>0.10457231580930107</v>
      </c>
      <c r="AA41" s="386">
        <f t="shared" si="13"/>
        <v>18.426082217182099</v>
      </c>
      <c r="AB41" s="386">
        <f t="shared" si="14"/>
        <v>0.64508896116127334</v>
      </c>
      <c r="AC41" s="386">
        <f t="shared" si="15"/>
        <v>1.0566693886371212</v>
      </c>
      <c r="AD41">
        <f t="shared" si="16"/>
        <v>0</v>
      </c>
      <c r="AE41" s="386">
        <f t="shared" si="17"/>
        <v>1.9538382467764284</v>
      </c>
      <c r="AF41" s="386">
        <f t="shared" si="18"/>
        <v>7.8615500478234743</v>
      </c>
      <c r="AG41" s="386">
        <f t="shared" si="19"/>
        <v>0.11742754139342321</v>
      </c>
      <c r="AH41" s="386">
        <f t="shared" si="20"/>
        <v>0</v>
      </c>
      <c r="AI41" s="386">
        <f t="shared" si="21"/>
        <v>0.12025171401853145</v>
      </c>
      <c r="AJ41" s="386">
        <f t="shared" si="22"/>
        <v>0</v>
      </c>
      <c r="AK41" s="386">
        <f t="shared" si="23"/>
        <v>0</v>
      </c>
      <c r="AL41" s="386">
        <f t="shared" si="24"/>
        <v>0</v>
      </c>
      <c r="AM41">
        <f t="shared" si="25"/>
        <v>0</v>
      </c>
      <c r="AN41" s="386">
        <f t="shared" si="26"/>
        <v>0</v>
      </c>
      <c r="AO41" s="386">
        <f t="shared" si="27"/>
        <v>20.033084511097826</v>
      </c>
      <c r="AP41" s="386">
        <f t="shared" si="28"/>
        <v>0.20066223751439383</v>
      </c>
      <c r="AQ41" s="386">
        <f t="shared" si="29"/>
        <v>0</v>
      </c>
      <c r="AR41" s="386">
        <f t="shared" si="30"/>
        <v>0.20905200617769154</v>
      </c>
      <c r="AS41" s="386">
        <f t="shared" si="31"/>
        <v>0.20066223751439383</v>
      </c>
      <c r="AT41" s="386">
        <f t="shared" si="32"/>
        <v>0.27500000000000002</v>
      </c>
      <c r="AU41" s="386">
        <f t="shared" si="33"/>
        <v>1.0451375000000001</v>
      </c>
      <c r="AV41" s="386">
        <f t="shared" si="34"/>
        <v>0.1854119074632998</v>
      </c>
      <c r="AW41" s="386" t="e">
        <f t="shared" si="35"/>
        <v>#VALUE!</v>
      </c>
      <c r="AX41" s="386">
        <f t="shared" si="36"/>
        <v>3.8400000000000004E-2</v>
      </c>
      <c r="AY41" s="386">
        <f t="shared" si="37"/>
        <v>0.61440000000000006</v>
      </c>
      <c r="AZ41" s="386">
        <f t="shared" si="38"/>
        <v>0.47314285714285709</v>
      </c>
      <c r="BA41" s="386">
        <f t="shared" si="56"/>
        <v>0.65280000000000005</v>
      </c>
      <c r="BB41" s="386" t="e">
        <f t="shared" si="57"/>
        <v>#VALUE!</v>
      </c>
      <c r="BC41">
        <f t="shared" si="39"/>
        <v>256</v>
      </c>
      <c r="BD41" s="604" t="e">
        <f t="shared" si="50"/>
        <v>#VALUE!</v>
      </c>
      <c r="BE41" s="614">
        <f t="shared" si="40"/>
        <v>149.94878733882143</v>
      </c>
      <c r="BF41" s="614">
        <f t="shared" si="41"/>
        <v>6.0125857009265724</v>
      </c>
      <c r="BG41" s="9"/>
      <c r="BH41" s="4" t="e">
        <f t="shared" si="51"/>
        <v>#VALUE!</v>
      </c>
      <c r="BI41" s="386">
        <f t="shared" si="52"/>
        <v>1.3318361747744933</v>
      </c>
      <c r="BJ41" s="386">
        <f t="shared" si="53"/>
        <v>3.3282794669726514</v>
      </c>
      <c r="BK41" s="386">
        <f t="shared" si="54"/>
        <v>0.46514708901853152</v>
      </c>
      <c r="BL41" s="386">
        <f t="shared" si="55"/>
        <v>0.1854119074632998</v>
      </c>
      <c r="BQ41">
        <v>9.9985180000000007</v>
      </c>
      <c r="BR41">
        <v>3.1859999999999999</v>
      </c>
      <c r="BS41">
        <v>5.1148889999999998</v>
      </c>
      <c r="BT41">
        <v>94.58411932633652</v>
      </c>
      <c r="BU41">
        <v>933.10990806000302</v>
      </c>
    </row>
    <row r="42" spans="1:73" x14ac:dyDescent="0.2">
      <c r="A42" s="23" t="s">
        <v>94</v>
      </c>
      <c r="B42" s="5">
        <f>Rgate1</f>
        <v>0.5</v>
      </c>
      <c r="C42" s="486" t="s">
        <v>120</v>
      </c>
      <c r="D42" s="21" t="s">
        <v>104</v>
      </c>
      <c r="G42">
        <v>33</v>
      </c>
      <c r="H42" s="610">
        <f t="shared" si="0"/>
        <v>15.435</v>
      </c>
      <c r="I42" s="4" t="str">
        <f t="shared" si="1"/>
        <v>BUCK</v>
      </c>
      <c r="J42">
        <f t="shared" si="43"/>
        <v>1</v>
      </c>
      <c r="K42">
        <f t="shared" si="2"/>
        <v>20</v>
      </c>
      <c r="L42" s="4">
        <f t="shared" si="3"/>
        <v>18.428535435338155</v>
      </c>
      <c r="M42" s="4">
        <f t="shared" si="4"/>
        <v>20</v>
      </c>
      <c r="N42" s="386">
        <f t="shared" si="5"/>
        <v>0.83535333978702808</v>
      </c>
      <c r="O42" s="386">
        <f t="shared" ref="O42:O73" si="58">CHOOSE(J42,0,(Vout+(Rdson3+Rdcr)*L42-H42)/(Vout+(Rdson3-Rdson4-Rs)*L42),IF(H42&gt;Vout,D_min_boost_exitBB_to_buck, (Vout-H42*D_max_buck_BB)/Vout))</f>
        <v>0</v>
      </c>
      <c r="P42" s="4">
        <f t="shared" si="6"/>
        <v>4.2623068809293319</v>
      </c>
      <c r="Q42" s="386">
        <f t="shared" si="7"/>
        <v>20.037812713191396</v>
      </c>
      <c r="R42" s="386">
        <f t="shared" si="8"/>
        <v>0.99247041600335839</v>
      </c>
      <c r="S42" s="386">
        <f t="shared" si="45"/>
        <v>0.39646478587890571</v>
      </c>
      <c r="T42" s="386">
        <f t="shared" si="46"/>
        <v>1.388935201882264</v>
      </c>
      <c r="U42" s="4">
        <f t="shared" si="9"/>
        <v>1.230422012536672</v>
      </c>
      <c r="V42" s="386">
        <f t="shared" si="10"/>
        <v>3.0278766578695888E-3</v>
      </c>
      <c r="W42" s="386">
        <f t="shared" si="47"/>
        <v>3.0278766578695888E-3</v>
      </c>
      <c r="X42" s="386">
        <f t="shared" si="11"/>
        <v>7.4312501811953844</v>
      </c>
      <c r="Y42" s="386">
        <f t="shared" si="12"/>
        <v>0.11044695851103287</v>
      </c>
      <c r="Z42" s="603">
        <f t="shared" si="48"/>
        <v>0.11044695851103287</v>
      </c>
      <c r="AA42" s="386">
        <f t="shared" si="13"/>
        <v>18.314093189511691</v>
      </c>
      <c r="AB42" s="386">
        <f t="shared" si="14"/>
        <v>0.63727141777282514</v>
      </c>
      <c r="AC42" s="386">
        <f t="shared" si="15"/>
        <v>1.0701897646728324</v>
      </c>
      <c r="AD42">
        <f t="shared" si="16"/>
        <v>0</v>
      </c>
      <c r="AE42" s="386">
        <f t="shared" si="17"/>
        <v>1.9568730328555046</v>
      </c>
      <c r="AF42" s="386">
        <f t="shared" si="18"/>
        <v>8.1306782604415169</v>
      </c>
      <c r="AG42" s="386">
        <f t="shared" si="19"/>
        <v>0.12560506505215094</v>
      </c>
      <c r="AH42" s="386">
        <f t="shared" si="20"/>
        <v>0</v>
      </c>
      <c r="AI42" s="386">
        <f t="shared" si="21"/>
        <v>0.12884169905027892</v>
      </c>
      <c r="AJ42" s="386">
        <f t="shared" si="22"/>
        <v>0</v>
      </c>
      <c r="AK42" s="386">
        <f t="shared" si="23"/>
        <v>0</v>
      </c>
      <c r="AL42" s="386">
        <f t="shared" si="24"/>
        <v>0</v>
      </c>
      <c r="AM42">
        <f t="shared" si="25"/>
        <v>0</v>
      </c>
      <c r="AN42" s="386">
        <f t="shared" si="26"/>
        <v>0</v>
      </c>
      <c r="AO42" s="386">
        <f t="shared" si="27"/>
        <v>20.037812713191396</v>
      </c>
      <c r="AP42" s="386">
        <f t="shared" si="28"/>
        <v>0.20075696916446736</v>
      </c>
      <c r="AQ42" s="386">
        <f t="shared" si="29"/>
        <v>0</v>
      </c>
      <c r="AR42" s="386">
        <f t="shared" si="30"/>
        <v>0.20915482699520244</v>
      </c>
      <c r="AS42" s="386">
        <f t="shared" si="31"/>
        <v>0.20075696916446736</v>
      </c>
      <c r="AT42" s="386">
        <f t="shared" si="32"/>
        <v>0.27500000000000002</v>
      </c>
      <c r="AU42" s="386">
        <f t="shared" si="33"/>
        <v>1.0585437500000001</v>
      </c>
      <c r="AV42" s="386">
        <f t="shared" si="34"/>
        <v>0.19832378692444888</v>
      </c>
      <c r="AW42" s="386" t="e">
        <f t="shared" si="35"/>
        <v>#VALUE!</v>
      </c>
      <c r="AX42" s="386">
        <f t="shared" si="36"/>
        <v>3.8400000000000004E-2</v>
      </c>
      <c r="AY42" s="386">
        <f t="shared" si="37"/>
        <v>0.61440000000000006</v>
      </c>
      <c r="AZ42" s="386">
        <f t="shared" si="38"/>
        <v>0.47314285714285709</v>
      </c>
      <c r="BA42" s="386">
        <f t="shared" si="56"/>
        <v>0.65280000000000005</v>
      </c>
      <c r="BB42" s="386" t="e">
        <f t="shared" si="57"/>
        <v>#VALUE!</v>
      </c>
      <c r="BC42">
        <f t="shared" si="39"/>
        <v>256</v>
      </c>
      <c r="BD42" s="604" t="e">
        <f t="shared" si="50"/>
        <v>#VALUE!</v>
      </c>
      <c r="BE42" s="614">
        <f t="shared" si="40"/>
        <v>150.77083914277526</v>
      </c>
      <c r="BF42" s="614">
        <f t="shared" si="41"/>
        <v>6.4420849525139463</v>
      </c>
      <c r="BG42" s="9"/>
      <c r="BH42" s="4" t="e">
        <f t="shared" si="51"/>
        <v>#VALUE!</v>
      </c>
      <c r="BI42" s="386">
        <f t="shared" si="52"/>
        <v>1.388935201882264</v>
      </c>
      <c r="BJ42" s="386">
        <f t="shared" si="53"/>
        <v>3.3534133089009859</v>
      </c>
      <c r="BK42" s="386">
        <f t="shared" si="54"/>
        <v>0.47816113655027898</v>
      </c>
      <c r="BL42" s="386">
        <f t="shared" si="55"/>
        <v>0.19832378692444888</v>
      </c>
      <c r="BQ42">
        <v>9.9984190000000002</v>
      </c>
      <c r="BR42">
        <v>3.6920000000000002</v>
      </c>
      <c r="BS42">
        <v>5.1137540000000001</v>
      </c>
      <c r="BT42">
        <v>94.441363374789603</v>
      </c>
      <c r="BU42">
        <v>1111.2391205219994</v>
      </c>
    </row>
    <row r="43" spans="1:73" x14ac:dyDescent="0.2">
      <c r="A43" s="23" t="s">
        <v>73</v>
      </c>
      <c r="B43" s="5">
        <f>Gfs_Q1</f>
        <v>88</v>
      </c>
      <c r="C43" s="482" t="s">
        <v>70</v>
      </c>
      <c r="D43" s="21" t="s">
        <v>105</v>
      </c>
      <c r="G43">
        <v>34</v>
      </c>
      <c r="H43" s="610">
        <f t="shared" si="0"/>
        <v>15.63</v>
      </c>
      <c r="I43" s="4" t="str">
        <f t="shared" si="1"/>
        <v>BUCK</v>
      </c>
      <c r="J43">
        <f t="shared" si="43"/>
        <v>1</v>
      </c>
      <c r="K43">
        <f t="shared" si="2"/>
        <v>20</v>
      </c>
      <c r="L43" s="4">
        <f t="shared" si="3"/>
        <v>18.198620885761002</v>
      </c>
      <c r="M43" s="4">
        <f t="shared" si="4"/>
        <v>20</v>
      </c>
      <c r="N43" s="386">
        <f t="shared" si="5"/>
        <v>0.82497131931166345</v>
      </c>
      <c r="O43" s="386">
        <f t="shared" si="58"/>
        <v>0</v>
      </c>
      <c r="P43" s="4">
        <f t="shared" si="6"/>
        <v>4.53107247418738</v>
      </c>
      <c r="Q43" s="386">
        <f t="shared" si="7"/>
        <v>20.042726481540917</v>
      </c>
      <c r="R43" s="386">
        <f t="shared" si="8"/>
        <v>0.99299590491131806</v>
      </c>
      <c r="S43" s="386">
        <f t="shared" si="45"/>
        <v>0.45644696064207135</v>
      </c>
      <c r="T43" s="386">
        <f t="shared" si="46"/>
        <v>1.4494428655533893</v>
      </c>
      <c r="U43" s="4">
        <f t="shared" si="9"/>
        <v>1.3080079563448939</v>
      </c>
      <c r="V43" s="386">
        <f t="shared" si="10"/>
        <v>3.4217696277230917E-3</v>
      </c>
      <c r="W43" s="386">
        <f t="shared" si="47"/>
        <v>3.4217696277230917E-3</v>
      </c>
      <c r="X43" s="386">
        <f t="shared" si="11"/>
        <v>7.6160683780155791</v>
      </c>
      <c r="Y43" s="386">
        <f t="shared" si="12"/>
        <v>0.11600899507721771</v>
      </c>
      <c r="Z43" s="603">
        <f t="shared" si="48"/>
        <v>0.11600899507721771</v>
      </c>
      <c r="AA43" s="386">
        <f t="shared" si="13"/>
        <v>18.204393937364326</v>
      </c>
      <c r="AB43" s="386">
        <f t="shared" si="14"/>
        <v>0.62965992139081939</v>
      </c>
      <c r="AC43" s="386">
        <f t="shared" si="15"/>
        <v>1.0837101407085437</v>
      </c>
      <c r="AD43">
        <f t="shared" si="16"/>
        <v>0</v>
      </c>
      <c r="AE43" s="386">
        <f t="shared" si="17"/>
        <v>1.9602250983688057</v>
      </c>
      <c r="AF43" s="386">
        <f t="shared" si="18"/>
        <v>8.3851610710298541</v>
      </c>
      <c r="AG43" s="386">
        <f t="shared" si="19"/>
        <v>0.13359075975551762</v>
      </c>
      <c r="AH43" s="386">
        <f t="shared" si="20"/>
        <v>0</v>
      </c>
      <c r="AI43" s="386">
        <f t="shared" si="21"/>
        <v>0.13725804095013408</v>
      </c>
      <c r="AJ43" s="386">
        <f t="shared" si="22"/>
        <v>0</v>
      </c>
      <c r="AK43" s="386">
        <f t="shared" si="23"/>
        <v>0</v>
      </c>
      <c r="AL43" s="386">
        <f t="shared" si="24"/>
        <v>0</v>
      </c>
      <c r="AM43">
        <f t="shared" si="25"/>
        <v>0</v>
      </c>
      <c r="AN43" s="386">
        <f t="shared" si="26"/>
        <v>0</v>
      </c>
      <c r="AO43" s="386">
        <f t="shared" si="27"/>
        <v>20.042726481540917</v>
      </c>
      <c r="AP43" s="386">
        <f t="shared" si="28"/>
        <v>0.20085544240693079</v>
      </c>
      <c r="AQ43" s="386">
        <f t="shared" si="29"/>
        <v>0</v>
      </c>
      <c r="AR43" s="386">
        <f t="shared" si="30"/>
        <v>0.2092617132038074</v>
      </c>
      <c r="AS43" s="386">
        <f t="shared" si="31"/>
        <v>0.20085544240693079</v>
      </c>
      <c r="AT43" s="386">
        <f t="shared" si="32"/>
        <v>0.27500000000000002</v>
      </c>
      <c r="AU43" s="386">
        <f t="shared" si="33"/>
        <v>1.0719500000000002</v>
      </c>
      <c r="AV43" s="386">
        <f t="shared" si="34"/>
        <v>0.2109327785613436</v>
      </c>
      <c r="AW43" s="386" t="e">
        <f t="shared" si="35"/>
        <v>#VALUE!</v>
      </c>
      <c r="AX43" s="386">
        <f t="shared" si="36"/>
        <v>3.8400000000000004E-2</v>
      </c>
      <c r="AY43" s="386">
        <f t="shared" si="37"/>
        <v>0.61440000000000006</v>
      </c>
      <c r="AZ43" s="386">
        <f t="shared" si="38"/>
        <v>0.47314285714285709</v>
      </c>
      <c r="BA43" s="386">
        <f t="shared" si="56"/>
        <v>0.65280000000000005</v>
      </c>
      <c r="BB43" s="386" t="e">
        <f t="shared" si="57"/>
        <v>#VALUE!</v>
      </c>
      <c r="BC43">
        <f t="shared" si="39"/>
        <v>256</v>
      </c>
      <c r="BD43" s="604" t="e">
        <f t="shared" si="50"/>
        <v>#VALUE!</v>
      </c>
      <c r="BE43" s="614">
        <f t="shared" si="40"/>
        <v>151.6087549184403</v>
      </c>
      <c r="BF43" s="614">
        <f t="shared" si="41"/>
        <v>6.8629020475067044</v>
      </c>
      <c r="BG43" s="9"/>
      <c r="BH43" s="4" t="e">
        <f t="shared" si="51"/>
        <v>#VALUE!</v>
      </c>
      <c r="BI43" s="386">
        <f t="shared" si="52"/>
        <v>1.4494428655533893</v>
      </c>
      <c r="BJ43" s="386">
        <f t="shared" si="53"/>
        <v>3.3786948525227474</v>
      </c>
      <c r="BK43" s="386">
        <f t="shared" si="54"/>
        <v>0.49100154095013415</v>
      </c>
      <c r="BL43" s="386">
        <f t="shared" si="55"/>
        <v>0.2109327785613436</v>
      </c>
      <c r="BQ43">
        <v>9.998246</v>
      </c>
      <c r="BR43">
        <v>4.2430000000000003</v>
      </c>
      <c r="BS43">
        <v>5.1120590000000004</v>
      </c>
      <c r="BT43">
        <v>94.267178615859891</v>
      </c>
      <c r="BU43">
        <v>1319.0970775599953</v>
      </c>
    </row>
    <row r="44" spans="1:73" x14ac:dyDescent="0.2">
      <c r="A44" s="23" t="s">
        <v>96</v>
      </c>
      <c r="B44" s="5">
        <f>Vth_Q1</f>
        <v>2.7</v>
      </c>
      <c r="C44" s="482" t="s">
        <v>0</v>
      </c>
      <c r="D44" s="21" t="s">
        <v>106</v>
      </c>
      <c r="G44">
        <v>35</v>
      </c>
      <c r="H44" s="610">
        <f t="shared" si="0"/>
        <v>15.824999999999999</v>
      </c>
      <c r="I44" s="4" t="str">
        <f t="shared" si="1"/>
        <v>BUCK</v>
      </c>
      <c r="J44">
        <f t="shared" si="43"/>
        <v>1</v>
      </c>
      <c r="K44">
        <f t="shared" si="2"/>
        <v>20</v>
      </c>
      <c r="L44" s="4">
        <f t="shared" si="3"/>
        <v>17.974372476742147</v>
      </c>
      <c r="M44" s="4">
        <f t="shared" si="4"/>
        <v>20</v>
      </c>
      <c r="N44" s="386">
        <f t="shared" si="5"/>
        <v>0.81484419263456098</v>
      </c>
      <c r="O44" s="386">
        <f t="shared" si="58"/>
        <v>0</v>
      </c>
      <c r="P44" s="4">
        <f t="shared" si="6"/>
        <v>4.7932394787535388</v>
      </c>
      <c r="Q44" s="386">
        <f t="shared" si="7"/>
        <v>20.047807745280366</v>
      </c>
      <c r="R44" s="386">
        <f t="shared" si="8"/>
        <v>0.99353948471170739</v>
      </c>
      <c r="S44" s="386">
        <f t="shared" si="45"/>
        <v>0.51960426304860796</v>
      </c>
      <c r="T44" s="386">
        <f t="shared" si="46"/>
        <v>1.5131437477603153</v>
      </c>
      <c r="U44" s="4">
        <f t="shared" si="9"/>
        <v>1.3836890516743487</v>
      </c>
      <c r="V44" s="386">
        <f t="shared" si="10"/>
        <v>3.8291907834469173E-3</v>
      </c>
      <c r="W44" s="386">
        <f t="shared" si="47"/>
        <v>3.8291907834469173E-3</v>
      </c>
      <c r="X44" s="386">
        <f t="shared" si="11"/>
        <v>7.7870478843721855</v>
      </c>
      <c r="Y44" s="386">
        <f t="shared" si="12"/>
        <v>0.12127622950701065</v>
      </c>
      <c r="Z44" s="603">
        <f t="shared" si="48"/>
        <v>0.12127622950701065</v>
      </c>
      <c r="AA44" s="386">
        <f t="shared" si="13"/>
        <v>18.096899568434786</v>
      </c>
      <c r="AB44" s="386">
        <f t="shared" si="14"/>
        <v>0.62224577058102881</v>
      </c>
      <c r="AC44" s="386">
        <f t="shared" si="15"/>
        <v>1.0972305167442549</v>
      </c>
      <c r="AD44">
        <f t="shared" si="16"/>
        <v>0</v>
      </c>
      <c r="AE44" s="386">
        <f t="shared" si="17"/>
        <v>1.9638794199206311</v>
      </c>
      <c r="AF44" s="386">
        <f t="shared" si="18"/>
        <v>8.6265184983113734</v>
      </c>
      <c r="AG44" s="386">
        <f t="shared" si="19"/>
        <v>0.1413919606632458</v>
      </c>
      <c r="AH44" s="386">
        <f t="shared" si="20"/>
        <v>0</v>
      </c>
      <c r="AI44" s="386">
        <f t="shared" si="21"/>
        <v>0.14550665490866305</v>
      </c>
      <c r="AJ44" s="386">
        <f t="shared" si="22"/>
        <v>0</v>
      </c>
      <c r="AK44" s="386">
        <f t="shared" si="23"/>
        <v>0</v>
      </c>
      <c r="AL44" s="386">
        <f t="shared" si="24"/>
        <v>0</v>
      </c>
      <c r="AM44">
        <f t="shared" si="25"/>
        <v>0</v>
      </c>
      <c r="AN44" s="386">
        <f t="shared" si="26"/>
        <v>0</v>
      </c>
      <c r="AO44" s="386">
        <f t="shared" si="27"/>
        <v>20.047807745280366</v>
      </c>
      <c r="AP44" s="386">
        <f t="shared" si="28"/>
        <v>0.20095729769586171</v>
      </c>
      <c r="AQ44" s="386">
        <f t="shared" si="29"/>
        <v>0</v>
      </c>
      <c r="AR44" s="386">
        <f t="shared" si="30"/>
        <v>0.20937227501578301</v>
      </c>
      <c r="AS44" s="386">
        <f t="shared" si="31"/>
        <v>0.20095729769586171</v>
      </c>
      <c r="AT44" s="386">
        <f t="shared" si="32"/>
        <v>0.27500000000000002</v>
      </c>
      <c r="AU44" s="386">
        <f t="shared" si="33"/>
        <v>1.08535625</v>
      </c>
      <c r="AV44" s="386">
        <f t="shared" si="34"/>
        <v>0.22325046420512495</v>
      </c>
      <c r="AW44" s="386" t="e">
        <f t="shared" si="35"/>
        <v>#VALUE!</v>
      </c>
      <c r="AX44" s="386">
        <f t="shared" si="36"/>
        <v>3.8400000000000004E-2</v>
      </c>
      <c r="AY44" s="386">
        <f t="shared" si="37"/>
        <v>0.61440000000000006</v>
      </c>
      <c r="AZ44" s="386">
        <f t="shared" si="38"/>
        <v>0.47314285714285709</v>
      </c>
      <c r="BA44" s="386">
        <f t="shared" si="56"/>
        <v>0.65280000000000005</v>
      </c>
      <c r="BB44" s="386" t="e">
        <f t="shared" si="57"/>
        <v>#VALUE!</v>
      </c>
      <c r="BC44">
        <f t="shared" si="39"/>
        <v>256</v>
      </c>
      <c r="BD44" s="604" t="e">
        <f t="shared" si="50"/>
        <v>#VALUE!</v>
      </c>
      <c r="BE44" s="614">
        <f t="shared" si="40"/>
        <v>152.46178349603156</v>
      </c>
      <c r="BF44" s="614">
        <f t="shared" si="41"/>
        <v>7.2753327454331522</v>
      </c>
      <c r="BG44" s="9"/>
      <c r="BH44" s="4" t="e">
        <f t="shared" si="51"/>
        <v>#VALUE!</v>
      </c>
      <c r="BI44" s="386">
        <f t="shared" si="52"/>
        <v>1.5131437477603153</v>
      </c>
      <c r="BJ44" s="386">
        <f t="shared" si="53"/>
        <v>3.4041145998450775</v>
      </c>
      <c r="BK44" s="386">
        <f t="shared" si="54"/>
        <v>0.50367421740866303</v>
      </c>
      <c r="BL44" s="386">
        <f t="shared" si="55"/>
        <v>0.22325046420512495</v>
      </c>
      <c r="BQ44">
        <v>9.9981469999999995</v>
      </c>
      <c r="BR44">
        <v>4.8490000000000002</v>
      </c>
      <c r="BS44">
        <v>5.1107740000000002</v>
      </c>
      <c r="BT44">
        <v>93.953815994681278</v>
      </c>
      <c r="BU44">
        <v>1594.7983209009985</v>
      </c>
    </row>
    <row r="45" spans="1:73" x14ac:dyDescent="0.2">
      <c r="A45" s="28" t="s">
        <v>147</v>
      </c>
      <c r="B45" s="489">
        <f>Vsp_Q1</f>
        <v>2.9272727272727272</v>
      </c>
      <c r="C45" s="487" t="s">
        <v>0</v>
      </c>
      <c r="G45">
        <v>36</v>
      </c>
      <c r="H45" s="610">
        <f t="shared" si="0"/>
        <v>16.02</v>
      </c>
      <c r="I45" s="4" t="str">
        <f t="shared" si="1"/>
        <v>BUCK</v>
      </c>
      <c r="J45">
        <f t="shared" si="43"/>
        <v>1</v>
      </c>
      <c r="K45">
        <f t="shared" si="2"/>
        <v>20</v>
      </c>
      <c r="L45" s="4">
        <f t="shared" si="3"/>
        <v>17.755583298654461</v>
      </c>
      <c r="M45" s="4">
        <f t="shared" si="4"/>
        <v>20</v>
      </c>
      <c r="N45" s="386">
        <f t="shared" si="5"/>
        <v>0.8049626865671643</v>
      </c>
      <c r="O45" s="386">
        <f t="shared" si="58"/>
        <v>0</v>
      </c>
      <c r="P45" s="4">
        <f t="shared" si="6"/>
        <v>5.0490479552238794</v>
      </c>
      <c r="Q45" s="386">
        <f t="shared" si="7"/>
        <v>20.053039846978628</v>
      </c>
      <c r="R45" s="386">
        <f t="shared" si="8"/>
        <v>0.99409939052197627</v>
      </c>
      <c r="S45" s="386">
        <f t="shared" si="45"/>
        <v>0.58573054610148101</v>
      </c>
      <c r="T45" s="386">
        <f t="shared" si="46"/>
        <v>1.5798299366234572</v>
      </c>
      <c r="U45" s="4">
        <f t="shared" si="9"/>
        <v>1.4575345980499181</v>
      </c>
      <c r="V45" s="386">
        <f t="shared" si="10"/>
        <v>4.2488142090250734E-3</v>
      </c>
      <c r="W45" s="386">
        <f t="shared" si="47"/>
        <v>4.2488142090250734E-3</v>
      </c>
      <c r="X45" s="386">
        <f t="shared" si="11"/>
        <v>7.9456045130002773</v>
      </c>
      <c r="Y45" s="386">
        <f t="shared" si="12"/>
        <v>0.12626526215402076</v>
      </c>
      <c r="Z45" s="603">
        <f t="shared" si="48"/>
        <v>0.12626526215402076</v>
      </c>
      <c r="AA45" s="386">
        <f t="shared" si="13"/>
        <v>17.991529759224939</v>
      </c>
      <c r="AB45" s="386">
        <f t="shared" si="14"/>
        <v>0.61502077184644555</v>
      </c>
      <c r="AC45" s="386">
        <f t="shared" si="15"/>
        <v>1.1107508927799661</v>
      </c>
      <c r="AD45">
        <f t="shared" si="16"/>
        <v>0</v>
      </c>
      <c r="AE45" s="386">
        <f t="shared" si="17"/>
        <v>1.9678219380677737</v>
      </c>
      <c r="AF45" s="386">
        <f t="shared" si="18"/>
        <v>8.8560298117969349</v>
      </c>
      <c r="AG45" s="386">
        <f t="shared" si="19"/>
        <v>0.14901560165212849</v>
      </c>
      <c r="AH45" s="386">
        <f t="shared" si="20"/>
        <v>0</v>
      </c>
      <c r="AI45" s="386">
        <f t="shared" si="21"/>
        <v>0.15359315699188766</v>
      </c>
      <c r="AJ45" s="386">
        <f t="shared" si="22"/>
        <v>0</v>
      </c>
      <c r="AK45" s="386">
        <f t="shared" si="23"/>
        <v>0</v>
      </c>
      <c r="AL45" s="386">
        <f t="shared" si="24"/>
        <v>0</v>
      </c>
      <c r="AM45">
        <f t="shared" si="25"/>
        <v>0</v>
      </c>
      <c r="AN45" s="386">
        <f t="shared" si="26"/>
        <v>0</v>
      </c>
      <c r="AO45" s="386">
        <f t="shared" si="27"/>
        <v>20.053039846978628</v>
      </c>
      <c r="AP45" s="386">
        <f t="shared" si="28"/>
        <v>0.20106220355225632</v>
      </c>
      <c r="AQ45" s="386">
        <f t="shared" si="29"/>
        <v>0</v>
      </c>
      <c r="AR45" s="386">
        <f t="shared" si="30"/>
        <v>0.20948615306191926</v>
      </c>
      <c r="AS45" s="386">
        <f t="shared" si="31"/>
        <v>0.20106220355225632</v>
      </c>
      <c r="AT45" s="386">
        <f t="shared" si="32"/>
        <v>0.27500000000000002</v>
      </c>
      <c r="AU45" s="386">
        <f t="shared" si="33"/>
        <v>1.0987625000000001</v>
      </c>
      <c r="AV45" s="386">
        <f t="shared" si="34"/>
        <v>0.23528779208230816</v>
      </c>
      <c r="AW45" s="386" t="e">
        <f t="shared" si="35"/>
        <v>#VALUE!</v>
      </c>
      <c r="AX45" s="386">
        <f t="shared" si="36"/>
        <v>3.8400000000000004E-2</v>
      </c>
      <c r="AY45" s="386">
        <f t="shared" si="37"/>
        <v>0.61440000000000006</v>
      </c>
      <c r="AZ45" s="386">
        <f t="shared" si="38"/>
        <v>0.47314285714285709</v>
      </c>
      <c r="BA45" s="386">
        <f t="shared" si="56"/>
        <v>0.65280000000000005</v>
      </c>
      <c r="BB45" s="386" t="e">
        <f t="shared" si="57"/>
        <v>#VALUE!</v>
      </c>
      <c r="BC45">
        <f t="shared" si="39"/>
        <v>256</v>
      </c>
      <c r="BD45" s="604" t="e">
        <f t="shared" si="50"/>
        <v>#VALUE!</v>
      </c>
      <c r="BE45" s="614">
        <f t="shared" si="40"/>
        <v>153.32922190338869</v>
      </c>
      <c r="BF45" s="614">
        <f t="shared" si="41"/>
        <v>7.679657849594383</v>
      </c>
      <c r="BG45" s="9"/>
      <c r="BH45" s="4" t="e">
        <f t="shared" si="51"/>
        <v>#VALUE!</v>
      </c>
      <c r="BI45" s="386">
        <f t="shared" si="52"/>
        <v>1.5798299366234572</v>
      </c>
      <c r="BJ45" s="386">
        <f t="shared" si="53"/>
        <v>3.4296637481215804</v>
      </c>
      <c r="BK45" s="386">
        <f t="shared" si="54"/>
        <v>0.51618478199188766</v>
      </c>
      <c r="BL45" s="386">
        <f t="shared" si="55"/>
        <v>0.23528779208230816</v>
      </c>
      <c r="BQ45">
        <v>9.9979859999999992</v>
      </c>
      <c r="BR45">
        <v>5.4960000000000004</v>
      </c>
      <c r="BS45">
        <v>5.1097890000000001</v>
      </c>
      <c r="BT45">
        <v>93.599771362833366</v>
      </c>
      <c r="BU45">
        <v>1920.3056923499939</v>
      </c>
    </row>
    <row r="46" spans="1:73" x14ac:dyDescent="0.2">
      <c r="A46" s="77" t="s">
        <v>239</v>
      </c>
      <c r="B46" s="5">
        <f>Vsd_Q1</f>
        <v>0.8</v>
      </c>
      <c r="C46" s="487" t="s">
        <v>0</v>
      </c>
      <c r="G46">
        <v>37</v>
      </c>
      <c r="H46" s="610">
        <f t="shared" si="0"/>
        <v>16.215</v>
      </c>
      <c r="I46" s="4" t="str">
        <f t="shared" si="1"/>
        <v>BUCK</v>
      </c>
      <c r="J46">
        <f t="shared" si="43"/>
        <v>1</v>
      </c>
      <c r="K46">
        <f t="shared" si="2"/>
        <v>20</v>
      </c>
      <c r="L46" s="4">
        <f t="shared" si="3"/>
        <v>17.542056394970363</v>
      </c>
      <c r="M46" s="4">
        <f t="shared" si="4"/>
        <v>20</v>
      </c>
      <c r="N46" s="386">
        <f t="shared" si="5"/>
        <v>0.79531797235023061</v>
      </c>
      <c r="O46" s="386">
        <f t="shared" si="58"/>
        <v>0</v>
      </c>
      <c r="P46" s="4">
        <f t="shared" si="6"/>
        <v>5.2987264589861747</v>
      </c>
      <c r="Q46" s="386">
        <f t="shared" si="7"/>
        <v>20.058407426993384</v>
      </c>
      <c r="R46" s="386">
        <f t="shared" si="8"/>
        <v>0.99467399448585148</v>
      </c>
      <c r="S46" s="386">
        <f t="shared" si="45"/>
        <v>0.65462762995078949</v>
      </c>
      <c r="T46" s="386">
        <f t="shared" si="46"/>
        <v>1.649301624436641</v>
      </c>
      <c r="U46" s="4">
        <f t="shared" si="9"/>
        <v>1.5296105737289303</v>
      </c>
      <c r="V46" s="386">
        <f t="shared" si="10"/>
        <v>4.6794170145266949E-3</v>
      </c>
      <c r="W46" s="386">
        <f t="shared" si="47"/>
        <v>4.6794170145266949E-3</v>
      </c>
      <c r="X46" s="386">
        <f t="shared" si="11"/>
        <v>8.092947108578521</v>
      </c>
      <c r="Y46" s="386">
        <f t="shared" si="12"/>
        <v>0.13099158580449891</v>
      </c>
      <c r="Z46" s="603">
        <f t="shared" si="48"/>
        <v>0.13099158580449891</v>
      </c>
      <c r="AA46" s="386">
        <f t="shared" si="13"/>
        <v>17.88820843924789</v>
      </c>
      <c r="AB46" s="386">
        <f t="shared" si="14"/>
        <v>0.60797720221536089</v>
      </c>
      <c r="AC46" s="386">
        <f t="shared" si="15"/>
        <v>1.1242712688156773</v>
      </c>
      <c r="AD46">
        <f t="shared" si="16"/>
        <v>0</v>
      </c>
      <c r="AE46" s="386">
        <f t="shared" si="17"/>
        <v>1.9720394801966805</v>
      </c>
      <c r="AF46" s="386">
        <f t="shared" si="18"/>
        <v>9.0747841484678755</v>
      </c>
      <c r="AG46" s="386">
        <f t="shared" si="19"/>
        <v>0.15646824394843928</v>
      </c>
      <c r="AH46" s="386">
        <f t="shared" si="20"/>
        <v>0</v>
      </c>
      <c r="AI46" s="386">
        <f t="shared" si="21"/>
        <v>0.16152288436319859</v>
      </c>
      <c r="AJ46" s="386">
        <f t="shared" si="22"/>
        <v>0</v>
      </c>
      <c r="AK46" s="386">
        <f t="shared" si="23"/>
        <v>0</v>
      </c>
      <c r="AL46" s="386">
        <f t="shared" si="24"/>
        <v>0</v>
      </c>
      <c r="AM46">
        <f t="shared" si="25"/>
        <v>0</v>
      </c>
      <c r="AN46" s="386">
        <f t="shared" si="26"/>
        <v>0</v>
      </c>
      <c r="AO46" s="386">
        <f t="shared" si="27"/>
        <v>20.058407426993384</v>
      </c>
      <c r="AP46" s="386">
        <f t="shared" si="28"/>
        <v>0.20116985425363165</v>
      </c>
      <c r="AQ46" s="386">
        <f t="shared" si="29"/>
        <v>0</v>
      </c>
      <c r="AR46" s="386">
        <f t="shared" si="30"/>
        <v>0.20960301588497193</v>
      </c>
      <c r="AS46" s="386">
        <f t="shared" si="31"/>
        <v>0.20116985425363165</v>
      </c>
      <c r="AT46" s="386">
        <f t="shared" si="32"/>
        <v>0.27500000000000002</v>
      </c>
      <c r="AU46" s="386">
        <f t="shared" si="33"/>
        <v>1.1121687500000002</v>
      </c>
      <c r="AV46" s="386">
        <f t="shared" si="34"/>
        <v>0.24705512202385149</v>
      </c>
      <c r="AW46" s="386" t="e">
        <f t="shared" si="35"/>
        <v>#VALUE!</v>
      </c>
      <c r="AX46" s="386">
        <f t="shared" si="36"/>
        <v>3.8400000000000004E-2</v>
      </c>
      <c r="AY46" s="386">
        <f t="shared" si="37"/>
        <v>0.61440000000000006</v>
      </c>
      <c r="AZ46" s="386">
        <f t="shared" si="38"/>
        <v>0.47314285714285709</v>
      </c>
      <c r="BA46" s="386">
        <f t="shared" si="56"/>
        <v>0.65280000000000005</v>
      </c>
      <c r="BB46" s="386" t="e">
        <f t="shared" si="57"/>
        <v>#VALUE!</v>
      </c>
      <c r="BC46">
        <f t="shared" si="39"/>
        <v>256</v>
      </c>
      <c r="BD46" s="604" t="e">
        <f t="shared" si="50"/>
        <v>#VALUE!</v>
      </c>
      <c r="BE46" s="614">
        <f t="shared" si="40"/>
        <v>154.21041150983405</v>
      </c>
      <c r="BF46" s="614">
        <f t="shared" si="41"/>
        <v>8.0761442181599286</v>
      </c>
      <c r="BG46" s="9"/>
      <c r="BH46" s="4" t="e">
        <f t="shared" si="51"/>
        <v>#VALUE!</v>
      </c>
      <c r="BI46" s="386">
        <f t="shared" si="52"/>
        <v>1.649301624436641</v>
      </c>
      <c r="BJ46" s="386">
        <f t="shared" si="53"/>
        <v>3.455334130444851</v>
      </c>
      <c r="BK46" s="386">
        <f t="shared" si="54"/>
        <v>0.52853857186319864</v>
      </c>
      <c r="BL46" s="386">
        <f t="shared" si="55"/>
        <v>0.24705512202385149</v>
      </c>
      <c r="BQ46">
        <v>9.9978999999999996</v>
      </c>
      <c r="BR46">
        <v>6.1950000000000003</v>
      </c>
      <c r="BS46">
        <v>5.109191</v>
      </c>
      <c r="BT46">
        <v>93.156651672159526</v>
      </c>
      <c r="BU46">
        <v>2325.1351758999972</v>
      </c>
    </row>
    <row r="47" spans="1:73" ht="15.75" x14ac:dyDescent="0.3">
      <c r="A47" s="488" t="s">
        <v>680</v>
      </c>
      <c r="B47" s="5">
        <f>ThetaJA_Q1</f>
        <v>50</v>
      </c>
      <c r="C47" s="483" t="s">
        <v>241</v>
      </c>
      <c r="D47" s="21" t="s">
        <v>107</v>
      </c>
      <c r="G47">
        <v>38</v>
      </c>
      <c r="H47" s="610">
        <f t="shared" si="0"/>
        <v>16.41</v>
      </c>
      <c r="I47" s="4" t="str">
        <f t="shared" si="1"/>
        <v>BUCK</v>
      </c>
      <c r="J47">
        <f t="shared" si="43"/>
        <v>1</v>
      </c>
      <c r="K47">
        <f t="shared" si="2"/>
        <v>20</v>
      </c>
      <c r="L47" s="4">
        <f t="shared" si="3"/>
        <v>17.333604170898504</v>
      </c>
      <c r="M47" s="4">
        <f t="shared" si="4"/>
        <v>20</v>
      </c>
      <c r="N47" s="386">
        <f t="shared" si="5"/>
        <v>0.78590163934426238</v>
      </c>
      <c r="O47" s="386">
        <f t="shared" si="58"/>
        <v>0</v>
      </c>
      <c r="P47" s="4">
        <f t="shared" si="6"/>
        <v>5.5424927213114747</v>
      </c>
      <c r="Q47" s="386">
        <f t="shared" si="7"/>
        <v>20.0638963181087</v>
      </c>
      <c r="R47" s="386">
        <f t="shared" si="8"/>
        <v>0.99526179457083974</v>
      </c>
      <c r="S47" s="386">
        <f t="shared" si="45"/>
        <v>0.72610565361984625</v>
      </c>
      <c r="T47" s="386">
        <f t="shared" si="46"/>
        <v>1.721367448190686</v>
      </c>
      <c r="U47" s="4">
        <f t="shared" si="9"/>
        <v>1.5999798323153609</v>
      </c>
      <c r="V47" s="386">
        <f t="shared" si="10"/>
        <v>5.1198709276317807E-3</v>
      </c>
      <c r="W47" s="386">
        <f t="shared" si="47"/>
        <v>5.1198709276317807E-3</v>
      </c>
      <c r="X47" s="386">
        <f t="shared" si="11"/>
        <v>8.2301176441129051</v>
      </c>
      <c r="Y47" s="386">
        <f t="shared" si="12"/>
        <v>0.13546967287187714</v>
      </c>
      <c r="Z47" s="603">
        <f t="shared" si="48"/>
        <v>0.13546967287187714</v>
      </c>
      <c r="AA47" s="386">
        <f t="shared" si="13"/>
        <v>17.78686350134091</v>
      </c>
      <c r="AB47" s="386">
        <f t="shared" si="14"/>
        <v>0.60110777510913349</v>
      </c>
      <c r="AC47" s="386">
        <f t="shared" si="15"/>
        <v>1.1377916448513885</v>
      </c>
      <c r="AD47">
        <f t="shared" si="16"/>
        <v>0</v>
      </c>
      <c r="AE47" s="386">
        <f t="shared" si="17"/>
        <v>1.976519690708793</v>
      </c>
      <c r="AF47" s="386">
        <f t="shared" si="18"/>
        <v>9.2837181262941471</v>
      </c>
      <c r="AG47" s="386">
        <f t="shared" si="19"/>
        <v>0.16375610227211676</v>
      </c>
      <c r="AH47" s="386">
        <f t="shared" si="20"/>
        <v>0</v>
      </c>
      <c r="AI47" s="386">
        <f t="shared" si="21"/>
        <v>0.16930091382389859</v>
      </c>
      <c r="AJ47" s="386">
        <f t="shared" si="22"/>
        <v>0</v>
      </c>
      <c r="AK47" s="386">
        <f t="shared" si="23"/>
        <v>0</v>
      </c>
      <c r="AL47" s="386">
        <f t="shared" si="24"/>
        <v>0</v>
      </c>
      <c r="AM47">
        <f t="shared" si="25"/>
        <v>0</v>
      </c>
      <c r="AN47" s="386">
        <f t="shared" si="26"/>
        <v>0</v>
      </c>
      <c r="AO47" s="386">
        <f t="shared" si="27"/>
        <v>20.0638963181087</v>
      </c>
      <c r="AP47" s="386">
        <f t="shared" si="28"/>
        <v>0.20127996773190793</v>
      </c>
      <c r="AQ47" s="386">
        <f t="shared" si="29"/>
        <v>0</v>
      </c>
      <c r="AR47" s="386">
        <f t="shared" si="30"/>
        <v>0.20972255765958273</v>
      </c>
      <c r="AS47" s="386">
        <f t="shared" si="31"/>
        <v>0.20127996773190793</v>
      </c>
      <c r="AT47" s="386">
        <f t="shared" si="32"/>
        <v>0.27500000000000002</v>
      </c>
      <c r="AU47" s="386">
        <f t="shared" si="33"/>
        <v>1.125575</v>
      </c>
      <c r="AV47" s="386">
        <f t="shared" si="34"/>
        <v>0.25856226674544752</v>
      </c>
      <c r="AW47" s="386" t="e">
        <f t="shared" si="35"/>
        <v>#VALUE!</v>
      </c>
      <c r="AX47" s="386">
        <f t="shared" si="36"/>
        <v>3.8400000000000004E-2</v>
      </c>
      <c r="AY47" s="386">
        <f t="shared" si="37"/>
        <v>0.61440000000000006</v>
      </c>
      <c r="AZ47" s="386">
        <f t="shared" si="38"/>
        <v>0.47314285714285709</v>
      </c>
      <c r="BA47" s="386">
        <f t="shared" si="56"/>
        <v>0.65280000000000005</v>
      </c>
      <c r="BB47" s="386" t="e">
        <f t="shared" si="57"/>
        <v>#VALUE!</v>
      </c>
      <c r="BC47">
        <f t="shared" si="39"/>
        <v>256</v>
      </c>
      <c r="BD47" s="604" t="e">
        <f t="shared" si="50"/>
        <v>#VALUE!</v>
      </c>
      <c r="BE47" s="614">
        <f t="shared" si="40"/>
        <v>155.10473453543966</v>
      </c>
      <c r="BF47" s="614">
        <f t="shared" si="41"/>
        <v>8.4650456911949288</v>
      </c>
      <c r="BG47" s="9"/>
      <c r="BH47" s="4" t="e">
        <f t="shared" si="51"/>
        <v>#VALUE!</v>
      </c>
      <c r="BI47" s="386">
        <f t="shared" si="52"/>
        <v>1.721367448190686</v>
      </c>
      <c r="BJ47" s="386">
        <f t="shared" si="53"/>
        <v>3.4811181621922742</v>
      </c>
      <c r="BK47" s="386">
        <f t="shared" si="54"/>
        <v>0.54074066382389863</v>
      </c>
      <c r="BL47" s="386">
        <f t="shared" si="55"/>
        <v>0.25856226674544752</v>
      </c>
      <c r="BQ47">
        <v>9.9976269999999996</v>
      </c>
      <c r="BR47">
        <v>6.9470000000000001</v>
      </c>
      <c r="BS47">
        <v>5.1086669999999996</v>
      </c>
      <c r="BT47">
        <v>92.656807634751772</v>
      </c>
      <c r="BU47">
        <v>2812.6290012010018</v>
      </c>
    </row>
    <row r="48" spans="1:73" x14ac:dyDescent="0.2">
      <c r="A48" s="24" t="s">
        <v>767</v>
      </c>
      <c r="B48" s="15" t="s">
        <v>115</v>
      </c>
      <c r="C48" s="24" t="s">
        <v>80</v>
      </c>
      <c r="D48" s="17" t="s">
        <v>111</v>
      </c>
      <c r="G48">
        <v>39</v>
      </c>
      <c r="H48" s="610">
        <f t="shared" si="0"/>
        <v>16.605</v>
      </c>
      <c r="I48" s="4" t="str">
        <f t="shared" si="1"/>
        <v>BUCK</v>
      </c>
      <c r="J48">
        <f t="shared" si="43"/>
        <v>1</v>
      </c>
      <c r="K48">
        <f t="shared" si="2"/>
        <v>20</v>
      </c>
      <c r="L48" s="4">
        <f t="shared" si="3"/>
        <v>17.130047843688313</v>
      </c>
      <c r="M48" s="4">
        <f t="shared" si="4"/>
        <v>20</v>
      </c>
      <c r="N48" s="386">
        <f t="shared" si="5"/>
        <v>0.77670567056705686</v>
      </c>
      <c r="O48" s="386">
        <f t="shared" si="58"/>
        <v>0</v>
      </c>
      <c r="P48" s="4">
        <f t="shared" si="6"/>
        <v>5.7805542826282634</v>
      </c>
      <c r="Q48" s="386">
        <f t="shared" si="7"/>
        <v>20.069493449458751</v>
      </c>
      <c r="R48" s="386">
        <f t="shared" si="8"/>
        <v>0.99586140436966097</v>
      </c>
      <c r="S48" s="386">
        <f t="shared" si="45"/>
        <v>0.79998323575245101</v>
      </c>
      <c r="T48" s="386">
        <f t="shared" si="46"/>
        <v>1.795844640122112</v>
      </c>
      <c r="U48" s="4">
        <f t="shared" si="9"/>
        <v>1.6687022855703362</v>
      </c>
      <c r="V48" s="386">
        <f t="shared" si="10"/>
        <v>5.569134635735328E-3</v>
      </c>
      <c r="W48" s="386">
        <f t="shared" si="47"/>
        <v>5.569134635735328E-3</v>
      </c>
      <c r="X48" s="386">
        <f t="shared" si="11"/>
        <v>8.3580217348549741</v>
      </c>
      <c r="Y48" s="386">
        <f t="shared" si="12"/>
        <v>0.13971305464061629</v>
      </c>
      <c r="Z48" s="603">
        <f t="shared" si="48"/>
        <v>0.13971305464061629</v>
      </c>
      <c r="AA48" s="386">
        <f t="shared" si="13"/>
        <v>17.687426535612417</v>
      </c>
      <c r="AB48" s="386">
        <f t="shared" si="14"/>
        <v>0.59440560916010388</v>
      </c>
      <c r="AC48" s="386">
        <f t="shared" si="15"/>
        <v>1.1513120208870997</v>
      </c>
      <c r="AD48">
        <f t="shared" si="16"/>
        <v>0</v>
      </c>
      <c r="AE48" s="386">
        <f t="shared" si="17"/>
        <v>1.9812509677206063</v>
      </c>
      <c r="AF48" s="386">
        <f t="shared" si="18"/>
        <v>9.4836443345995125</v>
      </c>
      <c r="AG48" s="386">
        <f t="shared" si="19"/>
        <v>0.17088506874384474</v>
      </c>
      <c r="AH48" s="386">
        <f t="shared" si="20"/>
        <v>0</v>
      </c>
      <c r="AI48" s="386">
        <f t="shared" si="21"/>
        <v>0.17693207883477927</v>
      </c>
      <c r="AJ48" s="386">
        <f t="shared" si="22"/>
        <v>0</v>
      </c>
      <c r="AK48" s="386">
        <f t="shared" si="23"/>
        <v>0</v>
      </c>
      <c r="AL48" s="386">
        <f t="shared" si="24"/>
        <v>0</v>
      </c>
      <c r="AM48">
        <f t="shared" si="25"/>
        <v>0</v>
      </c>
      <c r="AN48" s="386">
        <f t="shared" si="26"/>
        <v>0</v>
      </c>
      <c r="AO48" s="386">
        <f t="shared" si="27"/>
        <v>20.069493449458751</v>
      </c>
      <c r="AP48" s="386">
        <f t="shared" si="28"/>
        <v>0.20139228365893386</v>
      </c>
      <c r="AQ48" s="386">
        <f t="shared" si="29"/>
        <v>0</v>
      </c>
      <c r="AR48" s="386">
        <f t="shared" si="30"/>
        <v>0.20984449611615189</v>
      </c>
      <c r="AS48" s="386">
        <f t="shared" si="31"/>
        <v>0.20139228365893386</v>
      </c>
      <c r="AT48" s="386">
        <f t="shared" si="32"/>
        <v>0.27500000000000002</v>
      </c>
      <c r="AU48" s="386">
        <f t="shared" si="33"/>
        <v>1.1389812500000001</v>
      </c>
      <c r="AV48" s="386">
        <f t="shared" si="34"/>
        <v>0.26981852959554431</v>
      </c>
      <c r="AW48" s="386" t="e">
        <f t="shared" si="35"/>
        <v>#VALUE!</v>
      </c>
      <c r="AX48" s="386">
        <f t="shared" si="36"/>
        <v>3.8400000000000004E-2</v>
      </c>
      <c r="AY48" s="386">
        <f t="shared" si="37"/>
        <v>0.61440000000000006</v>
      </c>
      <c r="AZ48" s="386">
        <f t="shared" si="38"/>
        <v>0.47314285714285709</v>
      </c>
      <c r="BA48" s="386">
        <f t="shared" si="56"/>
        <v>0.65280000000000005</v>
      </c>
      <c r="BB48" s="386" t="e">
        <f t="shared" si="57"/>
        <v>#VALUE!</v>
      </c>
      <c r="BC48">
        <f t="shared" si="39"/>
        <v>256</v>
      </c>
      <c r="BD48" s="604" t="e">
        <f t="shared" si="50"/>
        <v>#VALUE!</v>
      </c>
      <c r="BE48" s="614">
        <f t="shared" si="40"/>
        <v>156.01161088603033</v>
      </c>
      <c r="BF48" s="614">
        <f t="shared" si="41"/>
        <v>8.8466039417389641</v>
      </c>
      <c r="BG48" s="9"/>
      <c r="BH48" s="4" t="e">
        <f t="shared" si="51"/>
        <v>#VALUE!</v>
      </c>
      <c r="BI48" s="386">
        <f t="shared" si="52"/>
        <v>1.795844640122112</v>
      </c>
      <c r="BJ48" s="386">
        <f t="shared" si="53"/>
        <v>3.5070087926715376</v>
      </c>
      <c r="BK48" s="386">
        <f t="shared" si="54"/>
        <v>0.55279589133477935</v>
      </c>
      <c r="BL48" s="386">
        <f t="shared" si="55"/>
        <v>0.26981852959554431</v>
      </c>
      <c r="BQ48">
        <v>9.9975280000000009</v>
      </c>
      <c r="BR48">
        <v>7.7530000000000001</v>
      </c>
      <c r="BS48">
        <v>5.10853</v>
      </c>
      <c r="BT48">
        <v>92.034336419785248</v>
      </c>
      <c r="BU48">
        <v>3427.976173640001</v>
      </c>
    </row>
    <row r="49" spans="1:73" x14ac:dyDescent="0.2">
      <c r="A49" s="23" t="s">
        <v>72</v>
      </c>
      <c r="B49" s="5">
        <f>Rdson2*1000</f>
        <v>1.9</v>
      </c>
      <c r="C49" s="484" t="s">
        <v>674</v>
      </c>
      <c r="D49" s="482" t="s">
        <v>768</v>
      </c>
      <c r="G49">
        <v>40</v>
      </c>
      <c r="H49" s="610">
        <f t="shared" si="0"/>
        <v>16.8</v>
      </c>
      <c r="I49" s="4" t="str">
        <f t="shared" si="1"/>
        <v>BUCK</v>
      </c>
      <c r="J49">
        <f t="shared" si="43"/>
        <v>1</v>
      </c>
      <c r="K49">
        <f t="shared" si="2"/>
        <v>20</v>
      </c>
      <c r="L49" s="4">
        <f t="shared" si="3"/>
        <v>16.93121693121693</v>
      </c>
      <c r="M49" s="4">
        <f t="shared" si="4"/>
        <v>20</v>
      </c>
      <c r="N49" s="386">
        <f t="shared" si="5"/>
        <v>0.76772241992882573</v>
      </c>
      <c r="O49" s="386">
        <f t="shared" si="58"/>
        <v>0</v>
      </c>
      <c r="P49" s="4">
        <f t="shared" si="6"/>
        <v>6.0131090818505344</v>
      </c>
      <c r="Q49" s="386">
        <f t="shared" si="7"/>
        <v>20.075186758845344</v>
      </c>
      <c r="R49" s="386">
        <f t="shared" si="8"/>
        <v>0.9964715438065942</v>
      </c>
      <c r="S49" s="386">
        <f t="shared" si="45"/>
        <v>0.87608749434797939</v>
      </c>
      <c r="T49" s="386">
        <f t="shared" si="46"/>
        <v>1.8725590381545736</v>
      </c>
      <c r="U49" s="4">
        <f t="shared" si="9"/>
        <v>1.7358350735364949</v>
      </c>
      <c r="V49" s="386">
        <f t="shared" si="10"/>
        <v>6.0262468050388974E-3</v>
      </c>
      <c r="W49" s="386">
        <f t="shared" si="47"/>
        <v>6.0262468050388974E-3</v>
      </c>
      <c r="X49" s="386">
        <f t="shared" si="11"/>
        <v>8.4774522523856195</v>
      </c>
      <c r="Y49" s="386">
        <f t="shared" si="12"/>
        <v>0.14373439338295604</v>
      </c>
      <c r="Z49" s="603">
        <f t="shared" si="48"/>
        <v>0.14373439338295604</v>
      </c>
      <c r="AA49" s="386">
        <f t="shared" si="13"/>
        <v>17.58983258481037</v>
      </c>
      <c r="AB49" s="386">
        <f t="shared" si="14"/>
        <v>0.58786419968714765</v>
      </c>
      <c r="AC49" s="386">
        <f t="shared" si="15"/>
        <v>1.1648323969228109</v>
      </c>
      <c r="AD49">
        <f t="shared" si="16"/>
        <v>0</v>
      </c>
      <c r="AE49" s="386">
        <f t="shared" si="17"/>
        <v>1.9862224055815323</v>
      </c>
      <c r="AF49" s="386">
        <f t="shared" si="18"/>
        <v>9.6752732799059871</v>
      </c>
      <c r="AG49" s="386">
        <f t="shared" si="19"/>
        <v>0.17786073477763922</v>
      </c>
      <c r="AH49" s="386">
        <f t="shared" si="20"/>
        <v>0</v>
      </c>
      <c r="AI49" s="386">
        <f t="shared" si="21"/>
        <v>0.18442098516356065</v>
      </c>
      <c r="AJ49" s="386">
        <f t="shared" si="22"/>
        <v>0</v>
      </c>
      <c r="AK49" s="386">
        <f t="shared" si="23"/>
        <v>0</v>
      </c>
      <c r="AL49" s="386">
        <f t="shared" si="24"/>
        <v>0</v>
      </c>
      <c r="AM49">
        <f t="shared" si="25"/>
        <v>0</v>
      </c>
      <c r="AN49" s="386">
        <f t="shared" si="26"/>
        <v>0</v>
      </c>
      <c r="AO49" s="386">
        <f t="shared" si="27"/>
        <v>20.075186758845344</v>
      </c>
      <c r="AP49" s="386">
        <f t="shared" si="28"/>
        <v>0.20150656170125972</v>
      </c>
      <c r="AQ49" s="386">
        <f t="shared" si="29"/>
        <v>0</v>
      </c>
      <c r="AR49" s="386">
        <f t="shared" si="30"/>
        <v>0.20996857064860541</v>
      </c>
      <c r="AS49" s="386">
        <f t="shared" si="31"/>
        <v>0.20150656170125972</v>
      </c>
      <c r="AT49" s="386">
        <f t="shared" si="32"/>
        <v>0.27500000000000002</v>
      </c>
      <c r="AU49" s="386">
        <f t="shared" si="33"/>
        <v>1.1523875000000001</v>
      </c>
      <c r="AV49" s="386">
        <f t="shared" si="34"/>
        <v>0.28083273912258827</v>
      </c>
      <c r="AW49" s="386" t="e">
        <f t="shared" si="35"/>
        <v>#VALUE!</v>
      </c>
      <c r="AX49" s="386">
        <f t="shared" si="36"/>
        <v>3.8400000000000004E-2</v>
      </c>
      <c r="AY49" s="386">
        <f t="shared" si="37"/>
        <v>0.61440000000000006</v>
      </c>
      <c r="AZ49" s="386">
        <f t="shared" si="38"/>
        <v>0.47314285714285709</v>
      </c>
      <c r="BA49" s="386">
        <f t="shared" si="56"/>
        <v>0.65280000000000005</v>
      </c>
      <c r="BB49" s="386" t="e">
        <f t="shared" si="57"/>
        <v>#VALUE!</v>
      </c>
      <c r="BC49">
        <f t="shared" si="39"/>
        <v>256</v>
      </c>
      <c r="BD49" s="604" t="e">
        <f t="shared" si="50"/>
        <v>#VALUE!</v>
      </c>
      <c r="BE49" s="614">
        <f t="shared" si="40"/>
        <v>156.93049527907661</v>
      </c>
      <c r="BF49" s="614">
        <f t="shared" si="41"/>
        <v>9.2210492581780326</v>
      </c>
      <c r="BG49" s="9"/>
      <c r="BH49" s="4" t="e">
        <f t="shared" si="51"/>
        <v>#VALUE!</v>
      </c>
      <c r="BI49" s="386">
        <f t="shared" si="52"/>
        <v>1.8725590381545736</v>
      </c>
      <c r="BJ49" s="386">
        <f t="shared" si="53"/>
        <v>3.5329994613936981</v>
      </c>
      <c r="BK49" s="386">
        <f t="shared" si="54"/>
        <v>0.5647088601635607</v>
      </c>
      <c r="BL49" s="386">
        <f t="shared" si="55"/>
        <v>0.28083273912258827</v>
      </c>
      <c r="BQ49">
        <v>9.9970090000000003</v>
      </c>
      <c r="BR49">
        <v>8.6120000000000001</v>
      </c>
      <c r="BS49">
        <v>5.1085419999999999</v>
      </c>
      <c r="BT49">
        <v>91.346378256658895</v>
      </c>
      <c r="BU49">
        <v>4167.8065612820019</v>
      </c>
    </row>
    <row r="50" spans="1:73" x14ac:dyDescent="0.2">
      <c r="A50" s="23" t="s">
        <v>84</v>
      </c>
      <c r="B50" s="5">
        <f>RdsonBotTc*1000000</f>
        <v>4000</v>
      </c>
      <c r="C50" s="482" t="s">
        <v>85</v>
      </c>
      <c r="D50" s="21" t="s">
        <v>108</v>
      </c>
      <c r="G50">
        <v>41</v>
      </c>
      <c r="H50" s="610">
        <f t="shared" si="0"/>
        <v>16.994999999999997</v>
      </c>
      <c r="I50" s="4" t="str">
        <f t="shared" si="1"/>
        <v>BUCK</v>
      </c>
      <c r="J50">
        <f t="shared" si="43"/>
        <v>1</v>
      </c>
      <c r="K50">
        <f t="shared" si="2"/>
        <v>20</v>
      </c>
      <c r="L50" s="4">
        <f t="shared" si="3"/>
        <v>16.736948775783727</v>
      </c>
      <c r="M50" s="4">
        <f t="shared" si="4"/>
        <v>20</v>
      </c>
      <c r="N50" s="386">
        <f t="shared" si="5"/>
        <v>0.75894459102902401</v>
      </c>
      <c r="O50" s="386">
        <f t="shared" si="58"/>
        <v>0</v>
      </c>
      <c r="P50" s="4">
        <f t="shared" si="6"/>
        <v>6.2403460052770416</v>
      </c>
      <c r="Q50" s="386">
        <f t="shared" si="7"/>
        <v>20.08096511264996</v>
      </c>
      <c r="R50" s="386">
        <f t="shared" si="8"/>
        <v>0.99709103066041094</v>
      </c>
      <c r="S50" s="386">
        <f t="shared" si="45"/>
        <v>0.95425396280189212</v>
      </c>
      <c r="T50" s="386">
        <f t="shared" si="46"/>
        <v>1.9513449934623031</v>
      </c>
      <c r="U50" s="4">
        <f t="shared" si="9"/>
        <v>1.801432722991553</v>
      </c>
      <c r="V50" s="386">
        <f t="shared" si="10"/>
        <v>6.4903197109295232E-3</v>
      </c>
      <c r="W50" s="386">
        <f t="shared" si="47"/>
        <v>6.4903197109295232E-3</v>
      </c>
      <c r="X50" s="386">
        <f t="shared" si="11"/>
        <v>8.5891078720926988</v>
      </c>
      <c r="Y50" s="386">
        <f t="shared" si="12"/>
        <v>0.14754554807688952</v>
      </c>
      <c r="Z50" s="603">
        <f t="shared" si="48"/>
        <v>0.14754554807688952</v>
      </c>
      <c r="AA50" s="386">
        <f t="shared" si="13"/>
        <v>17.494019919130626</v>
      </c>
      <c r="AB50" s="386">
        <f t="shared" si="14"/>
        <v>0.58147739256878428</v>
      </c>
      <c r="AC50" s="386">
        <f t="shared" si="15"/>
        <v>1.1783527729585221</v>
      </c>
      <c r="AD50">
        <f t="shared" si="16"/>
        <v>0</v>
      </c>
      <c r="AE50" s="386">
        <f t="shared" si="17"/>
        <v>1.9914237425961867</v>
      </c>
      <c r="AF50" s="386">
        <f t="shared" si="18"/>
        <v>9.8592305442425712</v>
      </c>
      <c r="AG50" s="386">
        <f t="shared" si="19"/>
        <v>0.18468841115659876</v>
      </c>
      <c r="AH50" s="386">
        <f t="shared" si="20"/>
        <v>0</v>
      </c>
      <c r="AI50" s="386">
        <f t="shared" si="21"/>
        <v>0.19177202528752602</v>
      </c>
      <c r="AJ50" s="386">
        <f t="shared" si="22"/>
        <v>0</v>
      </c>
      <c r="AK50" s="386">
        <f t="shared" si="23"/>
        <v>0</v>
      </c>
      <c r="AL50" s="386">
        <f t="shared" si="24"/>
        <v>0</v>
      </c>
      <c r="AM50">
        <f t="shared" si="25"/>
        <v>0</v>
      </c>
      <c r="AN50" s="386">
        <f t="shared" si="26"/>
        <v>0</v>
      </c>
      <c r="AO50" s="386">
        <f t="shared" si="27"/>
        <v>20.08096511264996</v>
      </c>
      <c r="AP50" s="386">
        <f t="shared" si="28"/>
        <v>0.20162257992773241</v>
      </c>
      <c r="AQ50" s="386">
        <f t="shared" si="29"/>
        <v>0</v>
      </c>
      <c r="AR50" s="386">
        <f t="shared" si="30"/>
        <v>0.21009454058815555</v>
      </c>
      <c r="AS50" s="386">
        <f t="shared" si="31"/>
        <v>0.20162257992773241</v>
      </c>
      <c r="AT50" s="386">
        <f t="shared" si="32"/>
        <v>0.27500000000000002</v>
      </c>
      <c r="AU50" s="386">
        <f t="shared" si="33"/>
        <v>1.16579375</v>
      </c>
      <c r="AV50" s="386">
        <f t="shared" si="34"/>
        <v>0.29161328077357701</v>
      </c>
      <c r="AW50" s="386" t="e">
        <f t="shared" si="35"/>
        <v>#VALUE!</v>
      </c>
      <c r="AX50" s="386">
        <f t="shared" si="36"/>
        <v>3.8400000000000004E-2</v>
      </c>
      <c r="AY50" s="386">
        <f t="shared" si="37"/>
        <v>0.61440000000000006</v>
      </c>
      <c r="AZ50" s="386">
        <f t="shared" si="38"/>
        <v>0.47314285714285709</v>
      </c>
      <c r="BA50" s="386">
        <f t="shared" si="56"/>
        <v>0.65280000000000005</v>
      </c>
      <c r="BB50" s="386" t="e">
        <f t="shared" si="57"/>
        <v>#VALUE!</v>
      </c>
      <c r="BC50">
        <f t="shared" si="39"/>
        <v>256</v>
      </c>
      <c r="BD50" s="604" t="e">
        <f t="shared" si="50"/>
        <v>#VALUE!</v>
      </c>
      <c r="BE50" s="614">
        <f t="shared" si="40"/>
        <v>157.86087462980933</v>
      </c>
      <c r="BF50" s="614">
        <f t="shared" si="41"/>
        <v>9.588601264376301</v>
      </c>
      <c r="BG50" s="9"/>
      <c r="BH50" s="4" t="e">
        <f t="shared" si="51"/>
        <v>#VALUE!</v>
      </c>
      <c r="BI50" s="386">
        <f t="shared" si="52"/>
        <v>1.9513449934623031</v>
      </c>
      <c r="BJ50" s="386">
        <f t="shared" si="53"/>
        <v>3.5590840584718677</v>
      </c>
      <c r="BK50" s="386">
        <f t="shared" si="54"/>
        <v>0.57648396278752601</v>
      </c>
      <c r="BL50" s="386">
        <f t="shared" si="55"/>
        <v>0.29161328077357701</v>
      </c>
      <c r="BQ50">
        <v>9.9969590000000004</v>
      </c>
      <c r="BR50">
        <v>9.5229999999999997</v>
      </c>
      <c r="BS50">
        <v>5.1087540000000002</v>
      </c>
      <c r="BT50">
        <v>90.547826191651922</v>
      </c>
      <c r="BU50">
        <v>5078.5816240809982</v>
      </c>
    </row>
    <row r="51" spans="1:73" x14ac:dyDescent="0.2">
      <c r="A51" s="23" t="s">
        <v>71</v>
      </c>
      <c r="B51" s="5">
        <f>Qg_Q2*1000000000</f>
        <v>96</v>
      </c>
      <c r="C51" s="482" t="s">
        <v>69</v>
      </c>
      <c r="D51" s="21" t="s">
        <v>103</v>
      </c>
      <c r="G51">
        <v>42</v>
      </c>
      <c r="H51" s="610">
        <f t="shared" si="0"/>
        <v>17.189999999999998</v>
      </c>
      <c r="I51" s="4" t="str">
        <f t="shared" si="1"/>
        <v>BUCK</v>
      </c>
      <c r="J51">
        <f t="shared" si="43"/>
        <v>1</v>
      </c>
      <c r="K51">
        <f t="shared" si="2"/>
        <v>20</v>
      </c>
      <c r="L51" s="4">
        <f t="shared" si="3"/>
        <v>16.547088100316724</v>
      </c>
      <c r="M51" s="4">
        <f t="shared" si="4"/>
        <v>20</v>
      </c>
      <c r="N51" s="386">
        <f t="shared" si="5"/>
        <v>0.75036521739130457</v>
      </c>
      <c r="O51" s="386">
        <f t="shared" si="58"/>
        <v>0</v>
      </c>
      <c r="P51" s="4">
        <f t="shared" si="6"/>
        <v>6.4624453982608667</v>
      </c>
      <c r="Q51" s="386">
        <f t="shared" si="7"/>
        <v>20.086818232623568</v>
      </c>
      <c r="R51" s="386">
        <f t="shared" si="8"/>
        <v>0.99771877282501087</v>
      </c>
      <c r="S51" s="386">
        <f t="shared" si="45"/>
        <v>1.0343264303630817</v>
      </c>
      <c r="T51" s="386">
        <f t="shared" si="46"/>
        <v>2.0320452031880927</v>
      </c>
      <c r="U51" s="4">
        <f t="shared" si="9"/>
        <v>1.8655472951545851</v>
      </c>
      <c r="V51" s="386">
        <f t="shared" si="10"/>
        <v>6.9605334209171775E-3</v>
      </c>
      <c r="W51" s="386">
        <f t="shared" si="47"/>
        <v>6.9605334209171775E-3</v>
      </c>
      <c r="X51" s="386">
        <f t="shared" si="11"/>
        <v>8.6936078347989323</v>
      </c>
      <c r="Y51" s="386">
        <f t="shared" si="12"/>
        <v>0.15115763437055474</v>
      </c>
      <c r="Z51" s="603">
        <f t="shared" si="48"/>
        <v>0.15115763437055474</v>
      </c>
      <c r="AA51" s="386">
        <f t="shared" si="13"/>
        <v>17.399929828688816</v>
      </c>
      <c r="AB51" s="386">
        <f t="shared" si="14"/>
        <v>0.57523936028226008</v>
      </c>
      <c r="AC51" s="386">
        <f t="shared" si="15"/>
        <v>1.1918731489942331</v>
      </c>
      <c r="AD51">
        <f t="shared" si="16"/>
        <v>0</v>
      </c>
      <c r="AE51" s="386">
        <f t="shared" si="17"/>
        <v>1.9968453134102404</v>
      </c>
      <c r="AF51" s="386">
        <f t="shared" si="18"/>
        <v>10.036070379743446</v>
      </c>
      <c r="AG51" s="386">
        <f t="shared" si="19"/>
        <v>0.19137314646761114</v>
      </c>
      <c r="AH51" s="386">
        <f t="shared" si="20"/>
        <v>0</v>
      </c>
      <c r="AI51" s="386">
        <f t="shared" si="21"/>
        <v>0.19898939166700944</v>
      </c>
      <c r="AJ51" s="386">
        <f t="shared" si="22"/>
        <v>0</v>
      </c>
      <c r="AK51" s="386">
        <f t="shared" si="23"/>
        <v>0</v>
      </c>
      <c r="AL51" s="386">
        <f t="shared" si="24"/>
        <v>0</v>
      </c>
      <c r="AM51">
        <f t="shared" si="25"/>
        <v>0</v>
      </c>
      <c r="AN51" s="386">
        <f t="shared" si="26"/>
        <v>0</v>
      </c>
      <c r="AO51" s="386">
        <f t="shared" si="27"/>
        <v>20.086818232623568</v>
      </c>
      <c r="AP51" s="386">
        <f t="shared" si="28"/>
        <v>0.20174013335522931</v>
      </c>
      <c r="AQ51" s="386">
        <f t="shared" si="29"/>
        <v>0</v>
      </c>
      <c r="AR51" s="386">
        <f t="shared" si="30"/>
        <v>0.21022218362705941</v>
      </c>
      <c r="AS51" s="386">
        <f t="shared" si="31"/>
        <v>0.20174013335522931</v>
      </c>
      <c r="AT51" s="386">
        <f t="shared" si="32"/>
        <v>0.27500000000000002</v>
      </c>
      <c r="AU51" s="386">
        <f t="shared" si="33"/>
        <v>1.1792</v>
      </c>
      <c r="AV51" s="386">
        <f t="shared" si="34"/>
        <v>0.30216812600149129</v>
      </c>
      <c r="AW51" s="386" t="e">
        <f t="shared" si="35"/>
        <v>#VALUE!</v>
      </c>
      <c r="AX51" s="386">
        <f t="shared" si="36"/>
        <v>3.8400000000000004E-2</v>
      </c>
      <c r="AY51" s="386">
        <f t="shared" si="37"/>
        <v>0.61440000000000006</v>
      </c>
      <c r="AZ51" s="386">
        <f t="shared" si="38"/>
        <v>0.47314285714285709</v>
      </c>
      <c r="BA51" s="386">
        <f t="shared" si="56"/>
        <v>0.65280000000000005</v>
      </c>
      <c r="BB51" s="386" t="e">
        <f t="shared" si="57"/>
        <v>#VALUE!</v>
      </c>
      <c r="BC51">
        <f t="shared" si="39"/>
        <v>256</v>
      </c>
      <c r="BD51" s="604" t="e">
        <f t="shared" si="50"/>
        <v>#VALUE!</v>
      </c>
      <c r="BE51" s="614">
        <f t="shared" si="40"/>
        <v>158.80226567051201</v>
      </c>
      <c r="BF51" s="614">
        <f t="shared" si="41"/>
        <v>9.9494695833504725</v>
      </c>
      <c r="BG51" s="9"/>
      <c r="BH51" s="4" t="e">
        <f t="shared" si="51"/>
        <v>#VALUE!</v>
      </c>
      <c r="BI51" s="386">
        <f t="shared" si="52"/>
        <v>2.0320452031880927</v>
      </c>
      <c r="BJ51" s="386">
        <f t="shared" si="53"/>
        <v>3.5852568887043095</v>
      </c>
      <c r="BK51" s="386">
        <f t="shared" si="54"/>
        <v>0.5881253916670095</v>
      </c>
      <c r="BL51" s="386">
        <f t="shared" si="55"/>
        <v>0.30216812600149129</v>
      </c>
      <c r="BQ51">
        <v>9.9964639999999996</v>
      </c>
      <c r="BR51">
        <v>10.493</v>
      </c>
      <c r="BS51">
        <v>5.1092279999999999</v>
      </c>
      <c r="BT51">
        <v>89.626660259106615</v>
      </c>
      <c r="BU51">
        <v>6204.9221585439973</v>
      </c>
    </row>
    <row r="52" spans="1:73" x14ac:dyDescent="0.2">
      <c r="A52" s="23" t="s">
        <v>95</v>
      </c>
      <c r="B52" s="5">
        <f>Rgate2</f>
        <v>0.5</v>
      </c>
      <c r="C52" s="486" t="s">
        <v>120</v>
      </c>
      <c r="D52" s="21" t="s">
        <v>104</v>
      </c>
      <c r="G52">
        <v>43</v>
      </c>
      <c r="H52" s="610">
        <f t="shared" si="0"/>
        <v>17.384999999999998</v>
      </c>
      <c r="I52" s="4" t="str">
        <f t="shared" si="1"/>
        <v>BUCK</v>
      </c>
      <c r="J52">
        <f t="shared" si="43"/>
        <v>1</v>
      </c>
      <c r="K52">
        <f t="shared" si="2"/>
        <v>20</v>
      </c>
      <c r="L52" s="4">
        <f t="shared" si="3"/>
        <v>16.361486594446045</v>
      </c>
      <c r="M52" s="4">
        <f t="shared" si="4"/>
        <v>20</v>
      </c>
      <c r="N52" s="386">
        <f t="shared" si="5"/>
        <v>0.74197764402407584</v>
      </c>
      <c r="O52" s="386">
        <f t="shared" si="58"/>
        <v>0</v>
      </c>
      <c r="P52" s="4">
        <f t="shared" si="6"/>
        <v>6.6795795425623359</v>
      </c>
      <c r="Q52" s="386">
        <f t="shared" si="7"/>
        <v>20.092736628911076</v>
      </c>
      <c r="R52" s="386">
        <f t="shared" si="8"/>
        <v>0.99835376123723174</v>
      </c>
      <c r="S52" s="386">
        <f t="shared" si="45"/>
        <v>1.1161567283236995</v>
      </c>
      <c r="T52" s="386">
        <f t="shared" si="46"/>
        <v>2.1145104895609315</v>
      </c>
      <c r="U52" s="4">
        <f t="shared" si="9"/>
        <v>1.9282285234859411</v>
      </c>
      <c r="V52" s="386">
        <f t="shared" si="10"/>
        <v>7.4361304775695455E-3</v>
      </c>
      <c r="W52" s="386">
        <f t="shared" si="47"/>
        <v>7.4361304775695455E-3</v>
      </c>
      <c r="X52" s="386">
        <f t="shared" si="11"/>
        <v>8.7915038351109001</v>
      </c>
      <c r="Y52" s="386">
        <f t="shared" si="12"/>
        <v>0.15458107936553933</v>
      </c>
      <c r="Z52" s="603">
        <f t="shared" si="48"/>
        <v>0.15458107936553933</v>
      </c>
      <c r="AA52" s="386">
        <f t="shared" si="13"/>
        <v>17.307506432060968</v>
      </c>
      <c r="AB52" s="386">
        <f t="shared" si="14"/>
        <v>0.56914457990208034</v>
      </c>
      <c r="AC52" s="386">
        <f t="shared" si="15"/>
        <v>1.2053935250299443</v>
      </c>
      <c r="AD52">
        <f t="shared" si="16"/>
        <v>0</v>
      </c>
      <c r="AE52" s="386">
        <f t="shared" si="17"/>
        <v>2.0024780055820557</v>
      </c>
      <c r="AF52" s="386">
        <f t="shared" si="18"/>
        <v>10.206286608897141</v>
      </c>
      <c r="AG52" s="386">
        <f t="shared" si="19"/>
        <v>0.19791974405161092</v>
      </c>
      <c r="AH52" s="386">
        <f t="shared" si="20"/>
        <v>0</v>
      </c>
      <c r="AI52" s="386">
        <f t="shared" si="21"/>
        <v>0.20607708899330202</v>
      </c>
      <c r="AJ52" s="386">
        <f t="shared" si="22"/>
        <v>0</v>
      </c>
      <c r="AK52" s="386">
        <f t="shared" si="23"/>
        <v>0</v>
      </c>
      <c r="AL52" s="386">
        <f t="shared" si="24"/>
        <v>0</v>
      </c>
      <c r="AM52">
        <f t="shared" si="25"/>
        <v>0</v>
      </c>
      <c r="AN52" s="386">
        <f t="shared" si="26"/>
        <v>0</v>
      </c>
      <c r="AO52" s="386">
        <f t="shared" si="27"/>
        <v>20.092736628911076</v>
      </c>
      <c r="AP52" s="386">
        <f t="shared" si="28"/>
        <v>0.20185903261939242</v>
      </c>
      <c r="AQ52" s="386">
        <f t="shared" si="29"/>
        <v>0</v>
      </c>
      <c r="AR52" s="386">
        <f t="shared" si="30"/>
        <v>0.21035129437807132</v>
      </c>
      <c r="AS52" s="386">
        <f t="shared" si="31"/>
        <v>0.20185903261939242</v>
      </c>
      <c r="AT52" s="386">
        <f t="shared" si="32"/>
        <v>0.27500000000000002</v>
      </c>
      <c r="AU52" s="386">
        <f t="shared" si="33"/>
        <v>1.1926062499999999</v>
      </c>
      <c r="AV52" s="386">
        <f t="shared" si="34"/>
        <v>0.31250485902885933</v>
      </c>
      <c r="AW52" s="386" t="e">
        <f t="shared" si="35"/>
        <v>#VALUE!</v>
      </c>
      <c r="AX52" s="386">
        <f t="shared" si="36"/>
        <v>3.8400000000000004E-2</v>
      </c>
      <c r="AY52" s="386">
        <f t="shared" si="37"/>
        <v>0.61440000000000006</v>
      </c>
      <c r="AZ52" s="386">
        <f t="shared" si="38"/>
        <v>0.47314285714285709</v>
      </c>
      <c r="BA52" s="386">
        <f t="shared" si="56"/>
        <v>0.65280000000000005</v>
      </c>
      <c r="BB52" s="386" t="e">
        <f t="shared" si="57"/>
        <v>#VALUE!</v>
      </c>
      <c r="BC52">
        <f t="shared" si="39"/>
        <v>256</v>
      </c>
      <c r="BD52" s="604" t="e">
        <f t="shared" si="50"/>
        <v>#VALUE!</v>
      </c>
      <c r="BE52" s="614">
        <f t="shared" si="40"/>
        <v>159.75421277910277</v>
      </c>
      <c r="BF52" s="614">
        <f t="shared" si="41"/>
        <v>10.303854449665101</v>
      </c>
      <c r="BG52" s="9"/>
      <c r="BH52" s="4" t="e">
        <f t="shared" si="51"/>
        <v>#VALUE!</v>
      </c>
      <c r="BI52" s="386">
        <f t="shared" si="52"/>
        <v>2.1145104895609315</v>
      </c>
      <c r="BJ52" s="386">
        <f t="shared" si="53"/>
        <v>3.6115126389534291</v>
      </c>
      <c r="BK52" s="386">
        <f t="shared" si="54"/>
        <v>0.59963715149330199</v>
      </c>
      <c r="BL52" s="386">
        <f t="shared" si="55"/>
        <v>0.31250485902885933</v>
      </c>
      <c r="BQ52">
        <v>9.9959819999999997</v>
      </c>
      <c r="BR52">
        <v>11.519</v>
      </c>
      <c r="BS52">
        <v>5.1101260000000002</v>
      </c>
      <c r="BT52">
        <v>88.591390420220321</v>
      </c>
      <c r="BU52">
        <v>7580.3207309739973</v>
      </c>
    </row>
    <row r="53" spans="1:73" x14ac:dyDescent="0.2">
      <c r="A53" s="23" t="s">
        <v>76</v>
      </c>
      <c r="B53" s="5">
        <f>Vsd_Q2</f>
        <v>0.8</v>
      </c>
      <c r="C53" s="482" t="s">
        <v>0</v>
      </c>
      <c r="D53" s="21" t="s">
        <v>109</v>
      </c>
      <c r="G53">
        <v>44</v>
      </c>
      <c r="H53" s="610">
        <f t="shared" si="0"/>
        <v>17.579999999999998</v>
      </c>
      <c r="I53" s="4" t="str">
        <f t="shared" si="1"/>
        <v>BUCK</v>
      </c>
      <c r="J53">
        <f t="shared" si="43"/>
        <v>1</v>
      </c>
      <c r="K53">
        <f t="shared" si="2"/>
        <v>20</v>
      </c>
      <c r="L53" s="4">
        <f t="shared" si="3"/>
        <v>16.180002528125396</v>
      </c>
      <c r="M53" s="4">
        <f t="shared" si="4"/>
        <v>20</v>
      </c>
      <c r="N53" s="386">
        <f t="shared" si="5"/>
        <v>0.73377551020408183</v>
      </c>
      <c r="O53" s="386">
        <f t="shared" si="58"/>
        <v>0</v>
      </c>
      <c r="P53" s="4">
        <f t="shared" si="6"/>
        <v>6.8919131020408146</v>
      </c>
      <c r="Q53" s="386">
        <f t="shared" si="7"/>
        <v>20.098711538732363</v>
      </c>
      <c r="R53" s="386">
        <f t="shared" si="8"/>
        <v>0.99899506340867428</v>
      </c>
      <c r="S53" s="386">
        <f t="shared" si="45"/>
        <v>1.1996044781799693</v>
      </c>
      <c r="T53" s="386">
        <f t="shared" si="46"/>
        <v>2.1985995415886435</v>
      </c>
      <c r="U53" s="4">
        <f t="shared" si="9"/>
        <v>1.9895239423473867</v>
      </c>
      <c r="V53" s="386">
        <f t="shared" si="10"/>
        <v>7.9164110343469749E-3</v>
      </c>
      <c r="W53" s="386">
        <f t="shared" si="47"/>
        <v>7.9164110343469749E-3</v>
      </c>
      <c r="X53" s="386">
        <f t="shared" si="11"/>
        <v>8.8832896983023986</v>
      </c>
      <c r="Y53" s="386">
        <f t="shared" si="12"/>
        <v>0.15782567172793105</v>
      </c>
      <c r="Z53" s="603">
        <f t="shared" si="48"/>
        <v>0.15782567172793105</v>
      </c>
      <c r="AA53" s="386">
        <f t="shared" si="13"/>
        <v>17.216696499459161</v>
      </c>
      <c r="AB53" s="386">
        <f t="shared" si="14"/>
        <v>0.5631878128735297</v>
      </c>
      <c r="AC53" s="386">
        <f t="shared" si="15"/>
        <v>1.2189139010656556</v>
      </c>
      <c r="AD53">
        <f t="shared" si="16"/>
        <v>0</v>
      </c>
      <c r="AE53" s="386">
        <f t="shared" si="17"/>
        <v>2.0083132199172202</v>
      </c>
      <c r="AF53" s="386">
        <f t="shared" si="18"/>
        <v>10.37032145898497</v>
      </c>
      <c r="AG53" s="386">
        <f t="shared" si="19"/>
        <v>0.2043327776090999</v>
      </c>
      <c r="AH53" s="386">
        <f t="shared" si="20"/>
        <v>0</v>
      </c>
      <c r="AI53" s="386">
        <f t="shared" si="21"/>
        <v>0.21303894550384267</v>
      </c>
      <c r="AJ53" s="386">
        <f t="shared" si="22"/>
        <v>0</v>
      </c>
      <c r="AK53" s="386">
        <f t="shared" si="23"/>
        <v>0</v>
      </c>
      <c r="AL53" s="386">
        <f t="shared" si="24"/>
        <v>0</v>
      </c>
      <c r="AM53">
        <f t="shared" si="25"/>
        <v>0</v>
      </c>
      <c r="AN53" s="386">
        <f t="shared" si="26"/>
        <v>0</v>
      </c>
      <c r="AO53" s="386">
        <f t="shared" si="27"/>
        <v>20.098711538732363</v>
      </c>
      <c r="AP53" s="386">
        <f t="shared" si="28"/>
        <v>0.20197910275858671</v>
      </c>
      <c r="AQ53" s="386">
        <f t="shared" si="29"/>
        <v>0</v>
      </c>
      <c r="AR53" s="386">
        <f t="shared" si="30"/>
        <v>0.21048168305677151</v>
      </c>
      <c r="AS53" s="386">
        <f t="shared" si="31"/>
        <v>0.20197910275858671</v>
      </c>
      <c r="AT53" s="386">
        <f t="shared" si="32"/>
        <v>0.27500000000000002</v>
      </c>
      <c r="AU53" s="386">
        <f t="shared" si="33"/>
        <v>1.2060124999999999</v>
      </c>
      <c r="AV53" s="386">
        <f t="shared" si="34"/>
        <v>0.32263070148805245</v>
      </c>
      <c r="AW53" s="386" t="e">
        <f t="shared" si="35"/>
        <v>#VALUE!</v>
      </c>
      <c r="AX53" s="386">
        <f t="shared" si="36"/>
        <v>3.8400000000000004E-2</v>
      </c>
      <c r="AY53" s="386">
        <f t="shared" si="37"/>
        <v>0.61440000000000006</v>
      </c>
      <c r="AZ53" s="386">
        <f t="shared" si="38"/>
        <v>0.47314285714285709</v>
      </c>
      <c r="BA53" s="386">
        <f t="shared" si="56"/>
        <v>0.65280000000000005</v>
      </c>
      <c r="BB53" s="386" t="e">
        <f t="shared" si="57"/>
        <v>#VALUE!</v>
      </c>
      <c r="BC53">
        <f t="shared" si="39"/>
        <v>256</v>
      </c>
      <c r="BD53" s="604" t="e">
        <f t="shared" si="50"/>
        <v>#VALUE!</v>
      </c>
      <c r="BE53" s="614">
        <f t="shared" si="40"/>
        <v>160.716285995861</v>
      </c>
      <c r="BF53" s="614">
        <f t="shared" si="41"/>
        <v>10.651947275192134</v>
      </c>
      <c r="BG53" s="9"/>
      <c r="BH53" s="4" t="e">
        <f t="shared" si="51"/>
        <v>#VALUE!</v>
      </c>
      <c r="BI53" s="386">
        <f t="shared" si="52"/>
        <v>2.1985995415886435</v>
      </c>
      <c r="BJ53" s="386">
        <f t="shared" si="53"/>
        <v>3.6378463484778347</v>
      </c>
      <c r="BK53" s="386">
        <f t="shared" si="54"/>
        <v>0.61102307050384264</v>
      </c>
      <c r="BL53" s="386">
        <f t="shared" si="55"/>
        <v>0.32263070148805245</v>
      </c>
      <c r="BQ53">
        <v>9.9955739999999995</v>
      </c>
      <c r="BR53">
        <v>12.605</v>
      </c>
      <c r="BS53">
        <v>5.1111979999999999</v>
      </c>
      <c r="BT53">
        <v>87.386508098290477</v>
      </c>
      <c r="BU53">
        <v>9299.4335961019988</v>
      </c>
    </row>
    <row r="54" spans="1:73" x14ac:dyDescent="0.2">
      <c r="A54" s="23" t="s">
        <v>77</v>
      </c>
      <c r="B54" s="5">
        <f>Qrr_Q2*1000000000</f>
        <v>275</v>
      </c>
      <c r="C54" s="482" t="s">
        <v>69</v>
      </c>
      <c r="D54" s="21" t="s">
        <v>114</v>
      </c>
      <c r="G54">
        <v>45</v>
      </c>
      <c r="H54" s="610">
        <f t="shared" si="0"/>
        <v>17.774999999999999</v>
      </c>
      <c r="I54" s="4" t="str">
        <f t="shared" si="1"/>
        <v>BUCK</v>
      </c>
      <c r="J54">
        <f t="shared" si="43"/>
        <v>1</v>
      </c>
      <c r="K54">
        <f t="shared" si="2"/>
        <v>20</v>
      </c>
      <c r="L54" s="4">
        <f t="shared" si="3"/>
        <v>16.002500390686045</v>
      </c>
      <c r="M54" s="4">
        <f t="shared" si="4"/>
        <v>20</v>
      </c>
      <c r="N54" s="386">
        <f t="shared" si="5"/>
        <v>0.72575273338940305</v>
      </c>
      <c r="O54" s="386">
        <f t="shared" si="58"/>
        <v>0</v>
      </c>
      <c r="P54" s="4">
        <f t="shared" si="6"/>
        <v>7.0996035391084931</v>
      </c>
      <c r="Q54" s="386">
        <f t="shared" si="7"/>
        <v>20.10473487020019</v>
      </c>
      <c r="R54" s="386">
        <f t="shared" si="8"/>
        <v>0.99964181750494552</v>
      </c>
      <c r="S54" s="386">
        <f t="shared" si="45"/>
        <v>1.284536814170484</v>
      </c>
      <c r="T54" s="386">
        <f t="shared" si="46"/>
        <v>2.2841786316754296</v>
      </c>
      <c r="U54" s="4">
        <f t="shared" si="9"/>
        <v>2.0494790072219544</v>
      </c>
      <c r="V54" s="386">
        <f t="shared" si="10"/>
        <v>8.4007284020869762E-3</v>
      </c>
      <c r="W54" s="386">
        <f t="shared" si="47"/>
        <v>8.4007284020869762E-3</v>
      </c>
      <c r="X54" s="386">
        <f t="shared" si="11"/>
        <v>8.9694093333975111</v>
      </c>
      <c r="Y54" s="386">
        <f t="shared" si="12"/>
        <v>0.16090060758007679</v>
      </c>
      <c r="Z54" s="603">
        <f t="shared" si="48"/>
        <v>0.16090060758007679</v>
      </c>
      <c r="AA54" s="386">
        <f t="shared" si="13"/>
        <v>17.127449289252016</v>
      </c>
      <c r="AB54" s="386">
        <f t="shared" si="14"/>
        <v>0.55736408639620894</v>
      </c>
      <c r="AC54" s="386">
        <f t="shared" si="15"/>
        <v>1.2324342771013668</v>
      </c>
      <c r="AD54">
        <f t="shared" si="16"/>
        <v>0</v>
      </c>
      <c r="AE54" s="386">
        <f t="shared" si="17"/>
        <v>2.0143428341911114</v>
      </c>
      <c r="AF54" s="386">
        <f t="shared" si="18"/>
        <v>10.528572792413222</v>
      </c>
      <c r="AG54" s="386">
        <f t="shared" si="19"/>
        <v>0.2106166055857735</v>
      </c>
      <c r="AH54" s="386">
        <f t="shared" si="20"/>
        <v>0</v>
      </c>
      <c r="AI54" s="386">
        <f t="shared" si="21"/>
        <v>0.21987862344807468</v>
      </c>
      <c r="AJ54" s="386">
        <f t="shared" si="22"/>
        <v>0</v>
      </c>
      <c r="AK54" s="386">
        <f t="shared" si="23"/>
        <v>0</v>
      </c>
      <c r="AL54" s="386">
        <f t="shared" si="24"/>
        <v>0</v>
      </c>
      <c r="AM54">
        <f t="shared" si="25"/>
        <v>0</v>
      </c>
      <c r="AN54" s="386">
        <f t="shared" si="26"/>
        <v>0</v>
      </c>
      <c r="AO54" s="386">
        <f t="shared" si="27"/>
        <v>20.10473487020019</v>
      </c>
      <c r="AP54" s="386">
        <f t="shared" si="28"/>
        <v>0.20210018210052172</v>
      </c>
      <c r="AQ54" s="386">
        <f t="shared" si="29"/>
        <v>0</v>
      </c>
      <c r="AR54" s="386">
        <f t="shared" si="30"/>
        <v>0.21061317427528242</v>
      </c>
      <c r="AS54" s="386">
        <f t="shared" si="31"/>
        <v>0.20210018210052172</v>
      </c>
      <c r="AT54" s="386">
        <f t="shared" si="32"/>
        <v>0.27500000000000002</v>
      </c>
      <c r="AU54" s="386">
        <f t="shared" si="33"/>
        <v>1.21941875</v>
      </c>
      <c r="AV54" s="386">
        <f t="shared" si="34"/>
        <v>0.33255253513543181</v>
      </c>
      <c r="AW54" s="386" t="e">
        <f t="shared" si="35"/>
        <v>#VALUE!</v>
      </c>
      <c r="AX54" s="386">
        <f t="shared" si="36"/>
        <v>3.8400000000000004E-2</v>
      </c>
      <c r="AY54" s="386">
        <f t="shared" si="37"/>
        <v>0.61440000000000006</v>
      </c>
      <c r="AZ54" s="386">
        <f t="shared" si="38"/>
        <v>0.47314285714285709</v>
      </c>
      <c r="BA54" s="386">
        <f t="shared" si="56"/>
        <v>0.65280000000000005</v>
      </c>
      <c r="BB54" s="386" t="e">
        <f t="shared" si="57"/>
        <v>#VALUE!</v>
      </c>
      <c r="BC54">
        <f t="shared" si="39"/>
        <v>256</v>
      </c>
      <c r="BD54" s="604" t="e">
        <f t="shared" si="50"/>
        <v>#VALUE!</v>
      </c>
      <c r="BE54" s="614">
        <f t="shared" si="40"/>
        <v>161.68807920955558</v>
      </c>
      <c r="BF54" s="614">
        <f t="shared" si="41"/>
        <v>10.993931172403734</v>
      </c>
      <c r="BG54" s="9"/>
      <c r="BH54" s="4" t="e">
        <f t="shared" si="51"/>
        <v>#VALUE!</v>
      </c>
      <c r="BI54" s="386">
        <f t="shared" si="52"/>
        <v>2.2841786316754296</v>
      </c>
      <c r="BJ54" s="386">
        <f t="shared" si="53"/>
        <v>3.6642533819144685</v>
      </c>
      <c r="BK54" s="386">
        <f t="shared" si="54"/>
        <v>0.6222868109480747</v>
      </c>
      <c r="BL54" s="386">
        <f t="shared" si="55"/>
        <v>0.33255253513543181</v>
      </c>
      <c r="BQ54">
        <v>9.9949670000000008</v>
      </c>
      <c r="BR54">
        <v>13.75</v>
      </c>
      <c r="BS54">
        <v>5.1122329999999998</v>
      </c>
      <c r="BT54">
        <v>85.985113444924963</v>
      </c>
      <c r="BU54">
        <v>11457.230537720005</v>
      </c>
    </row>
    <row r="55" spans="1:73" x14ac:dyDescent="0.2">
      <c r="A55" s="23" t="s">
        <v>78</v>
      </c>
      <c r="B55" s="5">
        <f>Trr_Q2*1000000000</f>
        <v>40</v>
      </c>
      <c r="C55" s="482" t="s">
        <v>79</v>
      </c>
      <c r="D55" s="76" t="s">
        <v>110</v>
      </c>
      <c r="G55">
        <v>46</v>
      </c>
      <c r="H55" s="610">
        <f t="shared" si="0"/>
        <v>17.97</v>
      </c>
      <c r="I55" s="4" t="str">
        <f t="shared" si="1"/>
        <v>BUCK</v>
      </c>
      <c r="J55">
        <f t="shared" si="43"/>
        <v>1</v>
      </c>
      <c r="K55">
        <f t="shared" si="2"/>
        <v>20</v>
      </c>
      <c r="L55" s="4">
        <f t="shared" si="3"/>
        <v>15.828850553391456</v>
      </c>
      <c r="M55" s="4">
        <f t="shared" si="4"/>
        <v>20</v>
      </c>
      <c r="N55" s="386">
        <f t="shared" si="5"/>
        <v>0.71790349417637289</v>
      </c>
      <c r="O55" s="386">
        <f t="shared" si="58"/>
        <v>0</v>
      </c>
      <c r="P55" s="4">
        <f t="shared" si="6"/>
        <v>7.3028015041597332</v>
      </c>
      <c r="Q55" s="386">
        <f t="shared" si="7"/>
        <v>20.110799150806923</v>
      </c>
      <c r="R55" s="386">
        <f t="shared" si="8"/>
        <v>1.0002932269215015</v>
      </c>
      <c r="S55" s="386">
        <f t="shared" si="45"/>
        <v>1.3708280896811835</v>
      </c>
      <c r="T55" s="386">
        <f t="shared" si="46"/>
        <v>2.371121316602685</v>
      </c>
      <c r="U55" s="4">
        <f t="shared" si="9"/>
        <v>2.1081372071325131</v>
      </c>
      <c r="V55" s="386">
        <f t="shared" si="10"/>
        <v>8.8884849681929445E-3</v>
      </c>
      <c r="W55" s="386">
        <f t="shared" si="47"/>
        <v>8.8884849681929445E-3</v>
      </c>
      <c r="X55" s="386">
        <f t="shared" si="11"/>
        <v>9.0502633270227353</v>
      </c>
      <c r="Y55" s="386">
        <f t="shared" si="12"/>
        <v>0.16381453257690526</v>
      </c>
      <c r="Z55" s="603">
        <f t="shared" si="48"/>
        <v>0.16381453257690526</v>
      </c>
      <c r="AA55" s="386">
        <f t="shared" si="13"/>
        <v>17.039716396667203</v>
      </c>
      <c r="AB55" s="386">
        <f t="shared" si="14"/>
        <v>0.55166867626981331</v>
      </c>
      <c r="AC55" s="386">
        <f t="shared" si="15"/>
        <v>1.245954653137078</v>
      </c>
      <c r="AD55">
        <f t="shared" si="16"/>
        <v>0</v>
      </c>
      <c r="AE55" s="386">
        <f t="shared" si="17"/>
        <v>2.0205591699265315</v>
      </c>
      <c r="AF55" s="386">
        <f t="shared" si="18"/>
        <v>10.681400077014594</v>
      </c>
      <c r="AG55" s="386">
        <f t="shared" si="19"/>
        <v>0.21677538444996999</v>
      </c>
      <c r="AH55" s="386">
        <f t="shared" si="20"/>
        <v>0</v>
      </c>
      <c r="AI55" s="386">
        <f t="shared" si="21"/>
        <v>0.22659962877892434</v>
      </c>
      <c r="AJ55" s="386">
        <f t="shared" si="22"/>
        <v>0</v>
      </c>
      <c r="AK55" s="386">
        <f t="shared" si="23"/>
        <v>0</v>
      </c>
      <c r="AL55" s="386">
        <f t="shared" si="24"/>
        <v>0</v>
      </c>
      <c r="AM55">
        <f t="shared" si="25"/>
        <v>0</v>
      </c>
      <c r="AN55" s="386">
        <f t="shared" si="26"/>
        <v>0</v>
      </c>
      <c r="AO55" s="386">
        <f t="shared" si="27"/>
        <v>20.110799150806923</v>
      </c>
      <c r="AP55" s="386">
        <f t="shared" si="28"/>
        <v>0.20222212124204822</v>
      </c>
      <c r="AQ55" s="386">
        <f t="shared" si="29"/>
        <v>0</v>
      </c>
      <c r="AR55" s="386">
        <f t="shared" si="30"/>
        <v>0.21074560593705463</v>
      </c>
      <c r="AS55" s="386">
        <f t="shared" si="31"/>
        <v>0.20222212124204822</v>
      </c>
      <c r="AT55" s="386">
        <f t="shared" si="32"/>
        <v>0.27500000000000002</v>
      </c>
      <c r="AU55" s="386">
        <f t="shared" si="33"/>
        <v>1.2328250000000001</v>
      </c>
      <c r="AV55" s="386">
        <f t="shared" si="34"/>
        <v>0.34227692281574212</v>
      </c>
      <c r="AW55" s="386" t="e">
        <f t="shared" si="35"/>
        <v>#VALUE!</v>
      </c>
      <c r="AX55" s="386">
        <f t="shared" si="36"/>
        <v>3.8400000000000004E-2</v>
      </c>
      <c r="AY55" s="386">
        <f t="shared" si="37"/>
        <v>0.61440000000000006</v>
      </c>
      <c r="AZ55" s="386">
        <f t="shared" si="38"/>
        <v>0.47314285714285709</v>
      </c>
      <c r="BA55" s="386">
        <f t="shared" si="56"/>
        <v>0.65280000000000005</v>
      </c>
      <c r="BB55" s="386" t="e">
        <f t="shared" si="57"/>
        <v>#VALUE!</v>
      </c>
      <c r="BC55">
        <f t="shared" si="39"/>
        <v>256</v>
      </c>
      <c r="BD55" s="604" t="e">
        <f t="shared" si="50"/>
        <v>#VALUE!</v>
      </c>
      <c r="BE55" s="614">
        <f t="shared" si="40"/>
        <v>162.66920849632658</v>
      </c>
      <c r="BF55" s="614">
        <f t="shared" si="41"/>
        <v>11.329981438946216</v>
      </c>
      <c r="BG55" s="9"/>
      <c r="BH55" s="4" t="e">
        <f t="shared" si="51"/>
        <v>#VALUE!</v>
      </c>
      <c r="BI55" s="386">
        <f t="shared" si="52"/>
        <v>2.371121316602685</v>
      </c>
      <c r="BJ55" s="386">
        <f t="shared" si="53"/>
        <v>3.6907294046425103</v>
      </c>
      <c r="BK55" s="386">
        <f t="shared" si="54"/>
        <v>0.63343187877892437</v>
      </c>
      <c r="BL55" s="386">
        <f t="shared" si="55"/>
        <v>0.34227692281574212</v>
      </c>
      <c r="BQ55">
        <v>9.9943860000000004</v>
      </c>
      <c r="BR55">
        <v>14.954000000000001</v>
      </c>
      <c r="BS55">
        <v>5.1130310000000003</v>
      </c>
      <c r="BT55">
        <v>84.352650264578628</v>
      </c>
      <c r="BU55">
        <v>14183.318533699994</v>
      </c>
    </row>
    <row r="56" spans="1:73" ht="15.75" x14ac:dyDescent="0.3">
      <c r="A56" s="488" t="s">
        <v>679</v>
      </c>
      <c r="B56" s="5">
        <f>ThetaJA_Q2</f>
        <v>50</v>
      </c>
      <c r="C56" s="483" t="s">
        <v>241</v>
      </c>
      <c r="D56" s="76" t="s">
        <v>107</v>
      </c>
      <c r="E56" s="2"/>
      <c r="G56">
        <v>47</v>
      </c>
      <c r="H56" s="610">
        <f t="shared" si="0"/>
        <v>18.164999999999999</v>
      </c>
      <c r="I56" s="4" t="str">
        <f t="shared" si="1"/>
        <v>BUCK</v>
      </c>
      <c r="J56">
        <f t="shared" si="43"/>
        <v>1</v>
      </c>
      <c r="K56">
        <f t="shared" si="2"/>
        <v>20</v>
      </c>
      <c r="L56" s="4">
        <f t="shared" si="3"/>
        <v>15.65892895372664</v>
      </c>
      <c r="M56" s="4">
        <f t="shared" si="4"/>
        <v>20</v>
      </c>
      <c r="N56" s="386">
        <f t="shared" si="5"/>
        <v>0.71022222222222242</v>
      </c>
      <c r="O56" s="386">
        <f t="shared" si="58"/>
        <v>0</v>
      </c>
      <c r="P56" s="4">
        <f t="shared" si="6"/>
        <v>7.5016511999999995</v>
      </c>
      <c r="Q56" s="386">
        <f t="shared" si="7"/>
        <v>20.116897480158443</v>
      </c>
      <c r="R56" s="386">
        <f t="shared" si="8"/>
        <v>1.0009485553104587</v>
      </c>
      <c r="S56" s="386">
        <f t="shared" si="45"/>
        <v>1.4583595747691962</v>
      </c>
      <c r="T56" s="386">
        <f t="shared" si="46"/>
        <v>2.4593081300796547</v>
      </c>
      <c r="U56" s="4">
        <f t="shared" si="9"/>
        <v>2.1655401698433394</v>
      </c>
      <c r="V56" s="386">
        <f t="shared" si="10"/>
        <v>9.3791284544102391E-3</v>
      </c>
      <c r="W56" s="386">
        <f t="shared" si="47"/>
        <v>9.3791284544102391E-3</v>
      </c>
      <c r="X56" s="386">
        <f t="shared" si="11"/>
        <v>9.1262144541818166</v>
      </c>
      <c r="Y56" s="386">
        <f t="shared" si="12"/>
        <v>0.16657558052743424</v>
      </c>
      <c r="Z56" s="603">
        <f t="shared" si="48"/>
        <v>0.16657558052743424</v>
      </c>
      <c r="AA56" s="386">
        <f t="shared" si="13"/>
        <v>16.953451613626896</v>
      </c>
      <c r="AB56" s="386">
        <f t="shared" si="14"/>
        <v>0.5460970910696179</v>
      </c>
      <c r="AC56" s="386">
        <f t="shared" si="15"/>
        <v>1.259475029172789</v>
      </c>
      <c r="AD56">
        <f t="shared" si="16"/>
        <v>0</v>
      </c>
      <c r="AE56" s="386">
        <f t="shared" si="17"/>
        <v>2.0269549619302549</v>
      </c>
      <c r="AF56" s="386">
        <f t="shared" si="18"/>
        <v>10.829129356121696</v>
      </c>
      <c r="AG56" s="386">
        <f t="shared" si="19"/>
        <v>0.2228130809620717</v>
      </c>
      <c r="AH56" s="386">
        <f t="shared" si="20"/>
        <v>0</v>
      </c>
      <c r="AI56" s="386">
        <f t="shared" si="21"/>
        <v>0.23320532013738302</v>
      </c>
      <c r="AJ56" s="386">
        <f t="shared" si="22"/>
        <v>0</v>
      </c>
      <c r="AK56" s="386">
        <f t="shared" si="23"/>
        <v>0</v>
      </c>
      <c r="AL56" s="386">
        <f t="shared" si="24"/>
        <v>0</v>
      </c>
      <c r="AM56">
        <f t="shared" si="25"/>
        <v>0</v>
      </c>
      <c r="AN56" s="386">
        <f t="shared" si="26"/>
        <v>0</v>
      </c>
      <c r="AO56" s="386">
        <f t="shared" si="27"/>
        <v>20.116897480158443</v>
      </c>
      <c r="AP56" s="386">
        <f t="shared" si="28"/>
        <v>0.20234478211360254</v>
      </c>
      <c r="AQ56" s="386">
        <f t="shared" si="29"/>
        <v>0</v>
      </c>
      <c r="AR56" s="386">
        <f t="shared" si="30"/>
        <v>0.21087882822345178</v>
      </c>
      <c r="AS56" s="386">
        <f t="shared" si="31"/>
        <v>0.20234478211360254</v>
      </c>
      <c r="AT56" s="386">
        <f t="shared" si="32"/>
        <v>0.27500000000000002</v>
      </c>
      <c r="AU56" s="386">
        <f t="shared" si="33"/>
        <v>1.2462312500000001</v>
      </c>
      <c r="AV56" s="386">
        <f t="shared" si="34"/>
        <v>0.35181012783485005</v>
      </c>
      <c r="AW56" s="386" t="e">
        <f t="shared" si="35"/>
        <v>#VALUE!</v>
      </c>
      <c r="AX56" s="386">
        <f t="shared" si="36"/>
        <v>3.8400000000000004E-2</v>
      </c>
      <c r="AY56" s="386">
        <f t="shared" si="37"/>
        <v>0.61440000000000006</v>
      </c>
      <c r="AZ56" s="386">
        <f t="shared" si="38"/>
        <v>0.47314285714285709</v>
      </c>
      <c r="BA56" s="386">
        <f t="shared" si="56"/>
        <v>0.65280000000000005</v>
      </c>
      <c r="BB56" s="386" t="e">
        <f t="shared" si="57"/>
        <v>#VALUE!</v>
      </c>
      <c r="BC56">
        <f t="shared" si="39"/>
        <v>256</v>
      </c>
      <c r="BD56" s="604" t="e">
        <f t="shared" si="50"/>
        <v>#VALUE!</v>
      </c>
      <c r="BE56" s="614">
        <f t="shared" si="40"/>
        <v>163.65931059651274</v>
      </c>
      <c r="BF56" s="614">
        <f t="shared" si="41"/>
        <v>11.660266006869151</v>
      </c>
      <c r="BG56" s="9"/>
      <c r="BH56" s="4" t="e">
        <f t="shared" si="51"/>
        <v>#VALUE!</v>
      </c>
      <c r="BI56" s="386">
        <f t="shared" si="52"/>
        <v>2.4593081300796547</v>
      </c>
      <c r="BJ56" s="386">
        <f t="shared" si="53"/>
        <v>3.7172703602910899</v>
      </c>
      <c r="BK56" s="386">
        <f t="shared" si="54"/>
        <v>0.6444616326373831</v>
      </c>
      <c r="BL56" s="386">
        <f t="shared" si="55"/>
        <v>0.35181012783485005</v>
      </c>
      <c r="BR56" s="18"/>
      <c r="BS56" s="19"/>
    </row>
    <row r="57" spans="1:73" x14ac:dyDescent="0.2">
      <c r="A57" s="24" t="s">
        <v>279</v>
      </c>
      <c r="B57" s="15" t="s">
        <v>115</v>
      </c>
      <c r="C57" s="24" t="s">
        <v>80</v>
      </c>
      <c r="D57" s="24" t="s">
        <v>249</v>
      </c>
      <c r="G57">
        <v>48</v>
      </c>
      <c r="H57" s="610">
        <f t="shared" si="0"/>
        <v>18.36</v>
      </c>
      <c r="I57" s="4" t="str">
        <f t="shared" si="1"/>
        <v>BUCK</v>
      </c>
      <c r="J57">
        <f t="shared" si="43"/>
        <v>1</v>
      </c>
      <c r="K57">
        <f t="shared" si="2"/>
        <v>20</v>
      </c>
      <c r="L57" s="4">
        <f t="shared" si="3"/>
        <v>15.492616799806342</v>
      </c>
      <c r="M57" s="4">
        <f t="shared" si="4"/>
        <v>20</v>
      </c>
      <c r="N57" s="386">
        <f t="shared" si="5"/>
        <v>0.7027035830618894</v>
      </c>
      <c r="O57" s="386">
        <f t="shared" si="58"/>
        <v>0</v>
      </c>
      <c r="P57" s="4">
        <f t="shared" si="6"/>
        <v>7.6962907231270359</v>
      </c>
      <c r="Q57" s="386">
        <f t="shared" si="7"/>
        <v>20.123023486574798</v>
      </c>
      <c r="R57" s="386">
        <f t="shared" si="8"/>
        <v>1.0016071220173075</v>
      </c>
      <c r="S57" s="386">
        <f t="shared" si="45"/>
        <v>1.5470191503321702</v>
      </c>
      <c r="T57" s="386">
        <f t="shared" si="46"/>
        <v>2.5486262723494777</v>
      </c>
      <c r="U57" s="4">
        <f t="shared" si="9"/>
        <v>2.2217277603795069</v>
      </c>
      <c r="V57" s="386">
        <f t="shared" si="10"/>
        <v>9.8721484824818798E-3</v>
      </c>
      <c r="W57" s="386">
        <f t="shared" si="47"/>
        <v>9.8721484824818798E-3</v>
      </c>
      <c r="X57" s="386">
        <f t="shared" si="11"/>
        <v>9.1975923176652348</v>
      </c>
      <c r="Y57" s="386">
        <f t="shared" si="12"/>
        <v>0.1691914088839491</v>
      </c>
      <c r="Z57" s="603">
        <f t="shared" si="48"/>
        <v>0.1691914088839491</v>
      </c>
      <c r="AA57" s="386">
        <f t="shared" si="13"/>
        <v>16.868610798768678</v>
      </c>
      <c r="AB57" s="386">
        <f t="shared" si="14"/>
        <v>0.54064505753263692</v>
      </c>
      <c r="AC57" s="386">
        <f t="shared" si="15"/>
        <v>1.2729954052085004</v>
      </c>
      <c r="AD57">
        <f t="shared" si="16"/>
        <v>0</v>
      </c>
      <c r="AE57" s="386">
        <f t="shared" si="17"/>
        <v>2.0335233303245976</v>
      </c>
      <c r="AF57" s="386">
        <f t="shared" si="18"/>
        <v>10.972057416952651</v>
      </c>
      <c r="AG57" s="386">
        <f t="shared" si="19"/>
        <v>0.22873348352572082</v>
      </c>
      <c r="AH57" s="386">
        <f t="shared" si="20"/>
        <v>0</v>
      </c>
      <c r="AI57" s="386">
        <f t="shared" si="21"/>
        <v>0.23969891719100939</v>
      </c>
      <c r="AJ57" s="386">
        <f t="shared" si="22"/>
        <v>0</v>
      </c>
      <c r="AK57" s="386">
        <f t="shared" si="23"/>
        <v>0</v>
      </c>
      <c r="AL57" s="386">
        <f t="shared" si="24"/>
        <v>0</v>
      </c>
      <c r="AM57">
        <f t="shared" si="25"/>
        <v>0</v>
      </c>
      <c r="AN57" s="386">
        <f t="shared" si="26"/>
        <v>0</v>
      </c>
      <c r="AO57" s="386">
        <f t="shared" si="27"/>
        <v>20.123023486574798</v>
      </c>
      <c r="AP57" s="386">
        <f t="shared" si="28"/>
        <v>0.20246803712062048</v>
      </c>
      <c r="AQ57" s="386">
        <f t="shared" si="29"/>
        <v>0</v>
      </c>
      <c r="AR57" s="386">
        <f t="shared" si="30"/>
        <v>0.21101270266379146</v>
      </c>
      <c r="AS57" s="386">
        <f t="shared" si="31"/>
        <v>0.20246803712062048</v>
      </c>
      <c r="AT57" s="386">
        <f t="shared" si="32"/>
        <v>0.27500000000000002</v>
      </c>
      <c r="AU57" s="386">
        <f t="shared" si="33"/>
        <v>1.2596375</v>
      </c>
      <c r="AV57" s="386">
        <f t="shared" si="34"/>
        <v>0.36115813188271711</v>
      </c>
      <c r="AW57" s="386" t="e">
        <f t="shared" si="35"/>
        <v>#VALUE!</v>
      </c>
      <c r="AX57" s="386">
        <f t="shared" si="36"/>
        <v>3.8400000000000004E-2</v>
      </c>
      <c r="AY57" s="386">
        <f t="shared" si="37"/>
        <v>0.61440000000000006</v>
      </c>
      <c r="AZ57" s="386">
        <f t="shared" si="38"/>
        <v>0.47314285714285709</v>
      </c>
      <c r="BA57" s="386">
        <f t="shared" si="56"/>
        <v>0.65280000000000005</v>
      </c>
      <c r="BB57" s="386" t="e">
        <f t="shared" si="57"/>
        <v>#VALUE!</v>
      </c>
      <c r="BC57">
        <f t="shared" si="39"/>
        <v>256</v>
      </c>
      <c r="BD57" s="604" t="e">
        <f t="shared" si="50"/>
        <v>#VALUE!</v>
      </c>
      <c r="BE57" s="614">
        <f t="shared" si="40"/>
        <v>164.6580415162299</v>
      </c>
      <c r="BF57" s="614">
        <f t="shared" si="41"/>
        <v>11.98494585955047</v>
      </c>
      <c r="BG57" s="9"/>
      <c r="BH57" s="4" t="e">
        <f t="shared" si="51"/>
        <v>#VALUE!</v>
      </c>
      <c r="BI57" s="386">
        <f t="shared" si="52"/>
        <v>2.5486262723494777</v>
      </c>
      <c r="BJ57" s="386">
        <f t="shared" si="53"/>
        <v>3.7438724501793983</v>
      </c>
      <c r="BK57" s="386">
        <f t="shared" si="54"/>
        <v>0.65537929219100932</v>
      </c>
      <c r="BL57" s="386">
        <f t="shared" si="55"/>
        <v>0.36115813188271711</v>
      </c>
      <c r="BR57" s="18"/>
      <c r="BS57" s="19"/>
    </row>
    <row r="58" spans="1:73" x14ac:dyDescent="0.2">
      <c r="A58" s="23" t="s">
        <v>231</v>
      </c>
      <c r="B58" s="73">
        <f>VfdSky_Q2</f>
        <v>0.55000000000000004</v>
      </c>
      <c r="C58" s="482" t="s">
        <v>0</v>
      </c>
      <c r="D58" s="76" t="s">
        <v>234</v>
      </c>
      <c r="G58">
        <v>49</v>
      </c>
      <c r="H58" s="610">
        <f t="shared" si="0"/>
        <v>18.555</v>
      </c>
      <c r="I58" s="4" t="str">
        <f t="shared" si="1"/>
        <v>BUCK</v>
      </c>
      <c r="J58">
        <f t="shared" si="43"/>
        <v>1</v>
      </c>
      <c r="K58">
        <f t="shared" si="2"/>
        <v>20</v>
      </c>
      <c r="L58" s="4">
        <f t="shared" si="3"/>
        <v>15.329800293421957</v>
      </c>
      <c r="M58" s="4">
        <f t="shared" si="4"/>
        <v>20</v>
      </c>
      <c r="N58" s="386">
        <f t="shared" si="5"/>
        <v>0.69534246575342473</v>
      </c>
      <c r="O58" s="386">
        <f t="shared" si="58"/>
        <v>0</v>
      </c>
      <c r="P58" s="4">
        <f t="shared" si="6"/>
        <v>7.8868523835616431</v>
      </c>
      <c r="Q58" s="386">
        <f t="shared" si="7"/>
        <v>20.129171287214177</v>
      </c>
      <c r="R58" s="386">
        <f t="shared" si="8"/>
        <v>1.0022682978905575</v>
      </c>
      <c r="S58" s="386">
        <f t="shared" si="45"/>
        <v>1.6367010031119593</v>
      </c>
      <c r="T58" s="386">
        <f t="shared" si="46"/>
        <v>2.6389693010025166</v>
      </c>
      <c r="U58" s="4">
        <f t="shared" si="9"/>
        <v>2.2767381733540781</v>
      </c>
      <c r="V58" s="386">
        <f t="shared" si="10"/>
        <v>1.0367073420015329E-2</v>
      </c>
      <c r="W58" s="386">
        <f t="shared" si="47"/>
        <v>1.0367073420015329E-2</v>
      </c>
      <c r="X58" s="386">
        <f t="shared" si="11"/>
        <v>9.264697280204528</v>
      </c>
      <c r="Y58" s="386">
        <f t="shared" si="12"/>
        <v>0.17166923138765836</v>
      </c>
      <c r="Z58" s="603">
        <f t="shared" si="48"/>
        <v>0.17166923138765836</v>
      </c>
      <c r="AA58" s="386">
        <f t="shared" si="13"/>
        <v>16.785151756794754</v>
      </c>
      <c r="AB58" s="386">
        <f t="shared" si="14"/>
        <v>0.53530850704739696</v>
      </c>
      <c r="AC58" s="386">
        <f t="shared" si="15"/>
        <v>1.2865157812442116</v>
      </c>
      <c r="AD58">
        <f t="shared" si="16"/>
        <v>0</v>
      </c>
      <c r="AE58" s="386">
        <f t="shared" si="17"/>
        <v>2.0402577548385032</v>
      </c>
      <c r="AF58" s="386">
        <f t="shared" si="18"/>
        <v>11.110455310714213</v>
      </c>
      <c r="AG58" s="386">
        <f t="shared" si="19"/>
        <v>0.23454021270161757</v>
      </c>
      <c r="AH58" s="386">
        <f t="shared" si="20"/>
        <v>0</v>
      </c>
      <c r="AI58" s="386">
        <f t="shared" si="21"/>
        <v>0.24608350838123669</v>
      </c>
      <c r="AJ58" s="386">
        <f t="shared" si="22"/>
        <v>0</v>
      </c>
      <c r="AK58" s="386">
        <f t="shared" si="23"/>
        <v>0</v>
      </c>
      <c r="AL58" s="386">
        <f t="shared" si="24"/>
        <v>0</v>
      </c>
      <c r="AM58">
        <f t="shared" si="25"/>
        <v>0</v>
      </c>
      <c r="AN58" s="386">
        <f t="shared" si="26"/>
        <v>0</v>
      </c>
      <c r="AO58" s="386">
        <f t="shared" si="27"/>
        <v>20.129171287214177</v>
      </c>
      <c r="AP58" s="386">
        <f t="shared" si="28"/>
        <v>0.20259176835500384</v>
      </c>
      <c r="AQ58" s="386">
        <f t="shared" si="29"/>
        <v>0</v>
      </c>
      <c r="AR58" s="386">
        <f t="shared" si="30"/>
        <v>0.21114710128132727</v>
      </c>
      <c r="AS58" s="386">
        <f t="shared" si="31"/>
        <v>0.20259176835500384</v>
      </c>
      <c r="AT58" s="386">
        <f t="shared" si="32"/>
        <v>0.27500000000000002</v>
      </c>
      <c r="AU58" s="386">
        <f t="shared" si="33"/>
        <v>1.27304375</v>
      </c>
      <c r="AV58" s="386">
        <f t="shared" si="34"/>
        <v>0.37032665163413303</v>
      </c>
      <c r="AW58" s="386" t="e">
        <f t="shared" si="35"/>
        <v>#VALUE!</v>
      </c>
      <c r="AX58" s="386">
        <f t="shared" si="36"/>
        <v>3.8400000000000004E-2</v>
      </c>
      <c r="AY58" s="386">
        <f t="shared" si="37"/>
        <v>0.61440000000000006</v>
      </c>
      <c r="AZ58" s="386">
        <f t="shared" si="38"/>
        <v>0.47314285714285709</v>
      </c>
      <c r="BA58" s="386">
        <f t="shared" si="56"/>
        <v>0.65280000000000005</v>
      </c>
      <c r="BB58" s="386" t="e">
        <f t="shared" si="57"/>
        <v>#VALUE!</v>
      </c>
      <c r="BC58">
        <f t="shared" si="39"/>
        <v>256</v>
      </c>
      <c r="BD58" s="604" t="e">
        <f t="shared" si="50"/>
        <v>#VALUE!</v>
      </c>
      <c r="BE58" s="614">
        <f t="shared" si="40"/>
        <v>165.66507524192517</v>
      </c>
      <c r="BF58" s="614">
        <f t="shared" si="41"/>
        <v>12.304175419061835</v>
      </c>
      <c r="BG58" s="9"/>
      <c r="BH58" s="4" t="e">
        <f t="shared" si="51"/>
        <v>#VALUE!</v>
      </c>
      <c r="BI58" s="386">
        <f t="shared" si="52"/>
        <v>2.6389693010025166</v>
      </c>
      <c r="BJ58" s="386">
        <f t="shared" si="53"/>
        <v>3.7705321145010675</v>
      </c>
      <c r="BK58" s="386">
        <f t="shared" si="54"/>
        <v>0.66618794588123675</v>
      </c>
      <c r="BL58" s="386">
        <f t="shared" si="55"/>
        <v>0.37032665163413303</v>
      </c>
      <c r="BR58" s="18"/>
      <c r="BS58" s="19"/>
    </row>
    <row r="59" spans="1:73" x14ac:dyDescent="0.2">
      <c r="A59" s="23" t="s">
        <v>232</v>
      </c>
      <c r="B59" s="73">
        <f>QrrSky_Q2*1000000000</f>
        <v>0</v>
      </c>
      <c r="C59" s="482" t="s">
        <v>69</v>
      </c>
      <c r="D59" s="76" t="s">
        <v>235</v>
      </c>
      <c r="G59">
        <v>50</v>
      </c>
      <c r="H59" s="610">
        <f t="shared" si="0"/>
        <v>18.75</v>
      </c>
      <c r="I59" s="4" t="str">
        <f t="shared" si="1"/>
        <v>BUCK</v>
      </c>
      <c r="J59">
        <f t="shared" si="43"/>
        <v>1</v>
      </c>
      <c r="K59">
        <f t="shared" si="2"/>
        <v>20</v>
      </c>
      <c r="L59" s="4">
        <f t="shared" si="3"/>
        <v>15.170370370370371</v>
      </c>
      <c r="M59" s="4">
        <f t="shared" si="4"/>
        <v>20</v>
      </c>
      <c r="N59" s="386">
        <f t="shared" si="5"/>
        <v>0.68813397129186615</v>
      </c>
      <c r="O59" s="386">
        <f t="shared" si="58"/>
        <v>0</v>
      </c>
      <c r="P59" s="4">
        <f t="shared" si="6"/>
        <v>8.0734630047846885</v>
      </c>
      <c r="Q59" s="386">
        <f t="shared" si="7"/>
        <v>20.135335451409848</v>
      </c>
      <c r="R59" s="386">
        <f t="shared" si="8"/>
        <v>1.0029315014309899</v>
      </c>
      <c r="S59" s="386">
        <f t="shared" si="45"/>
        <v>1.727305324680863</v>
      </c>
      <c r="T59" s="386">
        <f t="shared" si="46"/>
        <v>2.7302368261118528</v>
      </c>
      <c r="U59" s="4">
        <f t="shared" si="9"/>
        <v>2.3306080195524626</v>
      </c>
      <c r="V59" s="386">
        <f t="shared" si="10"/>
        <v>1.0863467481604504E-2</v>
      </c>
      <c r="W59" s="386">
        <f t="shared" si="47"/>
        <v>1.0863467481604504E-2</v>
      </c>
      <c r="X59" s="386">
        <f t="shared" si="11"/>
        <v>9.3278038178830975</v>
      </c>
      <c r="Y59" s="386">
        <f t="shared" si="12"/>
        <v>0.17401584812982898</v>
      </c>
      <c r="Z59" s="603">
        <f t="shared" si="48"/>
        <v>0.17401584812982898</v>
      </c>
      <c r="AA59" s="386">
        <f t="shared" si="13"/>
        <v>16.703034126373709</v>
      </c>
      <c r="AB59" s="386">
        <f t="shared" si="14"/>
        <v>0.53008356315092897</v>
      </c>
      <c r="AC59" s="386">
        <f t="shared" si="15"/>
        <v>1.3000361572799228</v>
      </c>
      <c r="AD59">
        <f t="shared" si="16"/>
        <v>0</v>
      </c>
      <c r="AE59" s="386">
        <f t="shared" si="17"/>
        <v>2.0471520511476693</v>
      </c>
      <c r="AF59" s="386">
        <f t="shared" si="18"/>
        <v>11.244571344164147</v>
      </c>
      <c r="AG59" s="386">
        <f t="shared" si="19"/>
        <v>0.24023673095659523</v>
      </c>
      <c r="AH59" s="386">
        <f t="shared" si="20"/>
        <v>0</v>
      </c>
      <c r="AI59" s="386">
        <f t="shared" si="21"/>
        <v>0.25236205812907675</v>
      </c>
      <c r="AJ59" s="386">
        <f t="shared" si="22"/>
        <v>0</v>
      </c>
      <c r="AK59" s="386">
        <f t="shared" si="23"/>
        <v>0</v>
      </c>
      <c r="AL59" s="386">
        <f t="shared" si="24"/>
        <v>0</v>
      </c>
      <c r="AM59">
        <f t="shared" si="25"/>
        <v>0</v>
      </c>
      <c r="AN59" s="386">
        <f t="shared" si="26"/>
        <v>0</v>
      </c>
      <c r="AO59" s="386">
        <f t="shared" si="27"/>
        <v>20.135335451409848</v>
      </c>
      <c r="AP59" s="386">
        <f t="shared" si="28"/>
        <v>0.20271586687040111</v>
      </c>
      <c r="AQ59" s="386">
        <f t="shared" si="29"/>
        <v>0</v>
      </c>
      <c r="AR59" s="386">
        <f t="shared" si="30"/>
        <v>0.21128190580839704</v>
      </c>
      <c r="AS59" s="386">
        <f t="shared" si="31"/>
        <v>0.20271586687040111</v>
      </c>
      <c r="AT59" s="386">
        <f t="shared" si="32"/>
        <v>0.27500000000000002</v>
      </c>
      <c r="AU59" s="386">
        <f t="shared" si="33"/>
        <v>1.2864500000000001</v>
      </c>
      <c r="AV59" s="386">
        <f t="shared" si="34"/>
        <v>0.37932115414199247</v>
      </c>
      <c r="AW59" s="386" t="e">
        <f t="shared" si="35"/>
        <v>#VALUE!</v>
      </c>
      <c r="AX59" s="386">
        <f t="shared" si="36"/>
        <v>3.8400000000000004E-2</v>
      </c>
      <c r="AY59" s="386">
        <f t="shared" si="37"/>
        <v>0.61440000000000006</v>
      </c>
      <c r="AZ59" s="386">
        <f t="shared" si="38"/>
        <v>0.47314285714285709</v>
      </c>
      <c r="BA59" s="386">
        <f t="shared" si="56"/>
        <v>0.65280000000000005</v>
      </c>
      <c r="BB59" s="386" t="e">
        <f t="shared" si="57"/>
        <v>#VALUE!</v>
      </c>
      <c r="BC59">
        <f t="shared" si="39"/>
        <v>256</v>
      </c>
      <c r="BD59" s="604" t="e">
        <f t="shared" si="50"/>
        <v>#VALUE!</v>
      </c>
      <c r="BE59" s="614">
        <f t="shared" si="40"/>
        <v>166.68010255738346</v>
      </c>
      <c r="BF59" s="614">
        <f t="shared" si="41"/>
        <v>12.618102906453837</v>
      </c>
      <c r="BG59" s="9"/>
      <c r="BH59" s="4" t="e">
        <f t="shared" si="51"/>
        <v>#VALUE!</v>
      </c>
      <c r="BI59" s="386">
        <f t="shared" si="52"/>
        <v>2.7302368261118528</v>
      </c>
      <c r="BJ59" s="386">
        <f t="shared" si="53"/>
        <v>3.7972460150851433</v>
      </c>
      <c r="BK59" s="386">
        <f t="shared" si="54"/>
        <v>0.67689055812907672</v>
      </c>
      <c r="BL59" s="386">
        <f t="shared" si="55"/>
        <v>0.37932115414199247</v>
      </c>
      <c r="BR59" s="18"/>
      <c r="BS59" s="19"/>
    </row>
    <row r="60" spans="1:73" x14ac:dyDescent="0.2">
      <c r="A60" s="23" t="s">
        <v>233</v>
      </c>
      <c r="B60" s="73">
        <f>Ireverse</f>
        <v>0</v>
      </c>
      <c r="C60" s="482" t="s">
        <v>68</v>
      </c>
      <c r="D60" s="76" t="s">
        <v>236</v>
      </c>
      <c r="E60" s="2"/>
      <c r="G60">
        <v>51</v>
      </c>
      <c r="H60" s="610">
        <f t="shared" si="0"/>
        <v>18.945</v>
      </c>
      <c r="I60" s="4" t="str">
        <f t="shared" si="1"/>
        <v>BUCK</v>
      </c>
      <c r="J60">
        <f t="shared" si="43"/>
        <v>1</v>
      </c>
      <c r="K60">
        <f t="shared" si="2"/>
        <v>20</v>
      </c>
      <c r="L60" s="4">
        <f t="shared" si="3"/>
        <v>15.014222456819448</v>
      </c>
      <c r="M60" s="4">
        <f t="shared" si="4"/>
        <v>20</v>
      </c>
      <c r="N60" s="386">
        <f t="shared" si="5"/>
        <v>0.68107340173638531</v>
      </c>
      <c r="O60" s="386">
        <f t="shared" si="58"/>
        <v>0</v>
      </c>
      <c r="P60" s="4">
        <f t="shared" si="6"/>
        <v>8.2562442052091569</v>
      </c>
      <c r="Q60" s="386">
        <f t="shared" si="7"/>
        <v>20.141510966939332</v>
      </c>
      <c r="R60" s="386">
        <f t="shared" si="8"/>
        <v>1.0035961952504393</v>
      </c>
      <c r="S60" s="386">
        <f t="shared" si="45"/>
        <v>1.8187380167465668</v>
      </c>
      <c r="T60" s="386">
        <f t="shared" si="46"/>
        <v>2.8223342119970063</v>
      </c>
      <c r="U60" s="4">
        <f t="shared" si="9"/>
        <v>2.3833724071863975</v>
      </c>
      <c r="V60" s="386">
        <f t="shared" si="10"/>
        <v>1.1360928062674967E-2</v>
      </c>
      <c r="W60" s="386">
        <f t="shared" si="47"/>
        <v>1.1360928062674967E-2</v>
      </c>
      <c r="X60" s="386">
        <f t="shared" si="11"/>
        <v>9.3871633963886882</v>
      </c>
      <c r="Y60" s="386">
        <f t="shared" si="12"/>
        <v>0.17623767326099923</v>
      </c>
      <c r="Z60" s="603">
        <f t="shared" si="48"/>
        <v>0.17623767326099923</v>
      </c>
      <c r="AA60" s="386">
        <f t="shared" si="13"/>
        <v>16.622219275891482</v>
      </c>
      <c r="AB60" s="386">
        <f t="shared" si="14"/>
        <v>0.52496652994605486</v>
      </c>
      <c r="AC60" s="386">
        <f t="shared" si="15"/>
        <v>1.313556533315634</v>
      </c>
      <c r="AD60">
        <f t="shared" si="16"/>
        <v>0</v>
      </c>
      <c r="AE60" s="386">
        <f t="shared" si="17"/>
        <v>2.0542003490752956</v>
      </c>
      <c r="AF60" s="386">
        <f t="shared" si="18"/>
        <v>11.374633636980098</v>
      </c>
      <c r="AG60" s="386">
        <f t="shared" si="19"/>
        <v>0.24582635171348627</v>
      </c>
      <c r="AH60" s="386">
        <f t="shared" si="20"/>
        <v>0</v>
      </c>
      <c r="AI60" s="386">
        <f t="shared" si="21"/>
        <v>0.25853741354408283</v>
      </c>
      <c r="AJ60" s="386">
        <f t="shared" si="22"/>
        <v>0</v>
      </c>
      <c r="AK60" s="386">
        <f t="shared" si="23"/>
        <v>0</v>
      </c>
      <c r="AL60" s="386">
        <f t="shared" si="24"/>
        <v>0</v>
      </c>
      <c r="AM60">
        <f t="shared" si="25"/>
        <v>0</v>
      </c>
      <c r="AN60" s="386">
        <f t="shared" si="26"/>
        <v>0</v>
      </c>
      <c r="AO60" s="386">
        <f t="shared" si="27"/>
        <v>20.141510966939332</v>
      </c>
      <c r="AP60" s="386">
        <f t="shared" si="28"/>
        <v>0.2028402320156687</v>
      </c>
      <c r="AQ60" s="386">
        <f t="shared" si="29"/>
        <v>0</v>
      </c>
      <c r="AR60" s="386">
        <f t="shared" si="30"/>
        <v>0.2114170069646211</v>
      </c>
      <c r="AS60" s="386">
        <f t="shared" si="31"/>
        <v>0.2028402320156687</v>
      </c>
      <c r="AT60" s="386">
        <f t="shared" si="32"/>
        <v>0.27500000000000002</v>
      </c>
      <c r="AU60" s="386">
        <f t="shared" si="33"/>
        <v>1.2998562500000002</v>
      </c>
      <c r="AV60" s="386">
        <f t="shared" si="34"/>
        <v>0.38814687112655727</v>
      </c>
      <c r="AW60" s="386" t="e">
        <f t="shared" si="35"/>
        <v>#VALUE!</v>
      </c>
      <c r="AX60" s="386">
        <f t="shared" si="36"/>
        <v>3.8400000000000004E-2</v>
      </c>
      <c r="AY60" s="386">
        <f t="shared" si="37"/>
        <v>0.61440000000000006</v>
      </c>
      <c r="AZ60" s="386">
        <f t="shared" si="38"/>
        <v>0.47314285714285709</v>
      </c>
      <c r="BA60" s="386">
        <f t="shared" si="56"/>
        <v>0.65280000000000005</v>
      </c>
      <c r="BB60" s="386" t="e">
        <f t="shared" si="57"/>
        <v>#VALUE!</v>
      </c>
      <c r="BC60">
        <f t="shared" si="39"/>
        <v>256</v>
      </c>
      <c r="BD60" s="604" t="e">
        <f t="shared" si="50"/>
        <v>#VALUE!</v>
      </c>
      <c r="BE60" s="614">
        <f t="shared" si="40"/>
        <v>167.70282995376479</v>
      </c>
      <c r="BF60" s="614">
        <f t="shared" si="41"/>
        <v>12.926870677204141</v>
      </c>
      <c r="BG60" s="9"/>
      <c r="BH60" s="4" t="e">
        <f t="shared" si="51"/>
        <v>#VALUE!</v>
      </c>
      <c r="BI60" s="386">
        <f t="shared" si="52"/>
        <v>2.8223342119970063</v>
      </c>
      <c r="BJ60" s="386">
        <f t="shared" si="53"/>
        <v>3.8240110195839998</v>
      </c>
      <c r="BK60" s="386">
        <f t="shared" si="54"/>
        <v>0.68748997604408291</v>
      </c>
      <c r="BL60" s="386">
        <f t="shared" si="55"/>
        <v>0.38814687112655727</v>
      </c>
      <c r="BR60" s="18"/>
      <c r="BS60" s="19"/>
    </row>
    <row r="61" spans="1:73" x14ac:dyDescent="0.2">
      <c r="A61" s="24" t="s">
        <v>121</v>
      </c>
      <c r="B61" s="15" t="s">
        <v>115</v>
      </c>
      <c r="C61" s="24" t="s">
        <v>80</v>
      </c>
      <c r="D61" s="24" t="s">
        <v>249</v>
      </c>
      <c r="G61">
        <v>52</v>
      </c>
      <c r="H61" s="610">
        <f t="shared" si="0"/>
        <v>19.14</v>
      </c>
      <c r="I61" s="4" t="str">
        <f t="shared" si="1"/>
        <v>BUCK</v>
      </c>
      <c r="J61">
        <f t="shared" si="43"/>
        <v>1</v>
      </c>
      <c r="K61">
        <f t="shared" si="2"/>
        <v>20</v>
      </c>
      <c r="L61" s="4">
        <f t="shared" si="3"/>
        <v>14.861256240566583</v>
      </c>
      <c r="M61" s="4">
        <f t="shared" si="4"/>
        <v>20</v>
      </c>
      <c r="N61" s="386">
        <f t="shared" si="5"/>
        <v>0.67415625000000012</v>
      </c>
      <c r="O61" s="386">
        <f t="shared" si="58"/>
        <v>0</v>
      </c>
      <c r="P61" s="4">
        <f t="shared" si="6"/>
        <v>8.4353126625000012</v>
      </c>
      <c r="Q61" s="386">
        <f t="shared" si="7"/>
        <v>20.147693208971702</v>
      </c>
      <c r="R61" s="386">
        <f t="shared" si="8"/>
        <v>1.0042618828129437</v>
      </c>
      <c r="S61" s="386">
        <f t="shared" si="45"/>
        <v>1.9109104044773497</v>
      </c>
      <c r="T61" s="386">
        <f t="shared" si="46"/>
        <v>2.9151722872902934</v>
      </c>
      <c r="U61" s="4">
        <f t="shared" si="9"/>
        <v>2.4350650181965174</v>
      </c>
      <c r="V61" s="386">
        <f t="shared" si="10"/>
        <v>1.1859083285688812E-2</v>
      </c>
      <c r="W61" s="386">
        <f t="shared" si="47"/>
        <v>1.1859083285688812E-2</v>
      </c>
      <c r="X61" s="386">
        <f t="shared" si="11"/>
        <v>9.4430069511102399</v>
      </c>
      <c r="Y61" s="386">
        <f t="shared" si="12"/>
        <v>0.17834076055743261</v>
      </c>
      <c r="Z61" s="603">
        <f t="shared" si="48"/>
        <v>0.17834076055743261</v>
      </c>
      <c r="AA61" s="386">
        <f t="shared" si="13"/>
        <v>16.54267020641344</v>
      </c>
      <c r="AB61" s="386">
        <f t="shared" si="14"/>
        <v>0.51995388136050191</v>
      </c>
      <c r="AC61" s="386">
        <f t="shared" si="15"/>
        <v>1.3270769093513453</v>
      </c>
      <c r="AD61">
        <f t="shared" si="16"/>
        <v>0</v>
      </c>
      <c r="AE61" s="386">
        <f t="shared" si="17"/>
        <v>2.0613970724845512</v>
      </c>
      <c r="AF61" s="386">
        <f t="shared" si="18"/>
        <v>11.500852319923318</v>
      </c>
      <c r="AG61" s="386">
        <f t="shared" si="19"/>
        <v>0.25131224776090255</v>
      </c>
      <c r="AH61" s="386">
        <f t="shared" si="20"/>
        <v>0</v>
      </c>
      <c r="AI61" s="386">
        <f t="shared" si="21"/>
        <v>0.26461231067720131</v>
      </c>
      <c r="AJ61" s="386">
        <f t="shared" si="22"/>
        <v>0</v>
      </c>
      <c r="AK61" s="386">
        <f t="shared" si="23"/>
        <v>0</v>
      </c>
      <c r="AL61" s="386">
        <f t="shared" si="24"/>
        <v>0</v>
      </c>
      <c r="AM61">
        <f t="shared" si="25"/>
        <v>0</v>
      </c>
      <c r="AN61" s="386">
        <f t="shared" si="26"/>
        <v>0</v>
      </c>
      <c r="AO61" s="386">
        <f t="shared" si="27"/>
        <v>20.147693208971702</v>
      </c>
      <c r="AP61" s="386">
        <f t="shared" si="28"/>
        <v>0.20296477082142225</v>
      </c>
      <c r="AQ61" s="386">
        <f t="shared" si="29"/>
        <v>0</v>
      </c>
      <c r="AR61" s="386">
        <f t="shared" si="30"/>
        <v>0.21155230379262505</v>
      </c>
      <c r="AS61" s="386">
        <f t="shared" si="31"/>
        <v>0.20296477082142225</v>
      </c>
      <c r="AT61" s="386">
        <f t="shared" si="32"/>
        <v>0.27500000000000002</v>
      </c>
      <c r="AU61" s="386">
        <f t="shared" si="33"/>
        <v>1.3132625000000002</v>
      </c>
      <c r="AV61" s="386">
        <f t="shared" si="34"/>
        <v>0.39680881225405673</v>
      </c>
      <c r="AW61" s="386" t="e">
        <f t="shared" si="35"/>
        <v>#VALUE!</v>
      </c>
      <c r="AX61" s="386">
        <f t="shared" si="36"/>
        <v>3.8400000000000004E-2</v>
      </c>
      <c r="AY61" s="386">
        <f t="shared" si="37"/>
        <v>0.61440000000000006</v>
      </c>
      <c r="AZ61" s="386">
        <f t="shared" si="38"/>
        <v>0.47314285714285709</v>
      </c>
      <c r="BA61" s="386">
        <f t="shared" si="56"/>
        <v>0.65280000000000005</v>
      </c>
      <c r="BB61" s="386" t="e">
        <f t="shared" si="57"/>
        <v>#VALUE!</v>
      </c>
      <c r="BC61">
        <f t="shared" si="39"/>
        <v>256</v>
      </c>
      <c r="BD61" s="604" t="e">
        <f t="shared" si="50"/>
        <v>#VALUE!</v>
      </c>
      <c r="BE61" s="614">
        <f t="shared" si="40"/>
        <v>168.73297862422757</v>
      </c>
      <c r="BF61" s="614">
        <f t="shared" si="41"/>
        <v>13.230615533860066</v>
      </c>
      <c r="BG61" s="9"/>
      <c r="BH61" s="4" t="e">
        <f t="shared" si="51"/>
        <v>#VALUE!</v>
      </c>
      <c r="BI61" s="386">
        <f t="shared" si="52"/>
        <v>2.9151722872902934</v>
      </c>
      <c r="BJ61" s="386">
        <f t="shared" si="53"/>
        <v>3.8508241869543776</v>
      </c>
      <c r="BK61" s="386">
        <f t="shared" si="54"/>
        <v>0.69798893567720133</v>
      </c>
      <c r="BL61" s="386">
        <f t="shared" si="55"/>
        <v>0.39680881225405673</v>
      </c>
      <c r="BR61" s="18"/>
      <c r="BS61" s="19"/>
    </row>
    <row r="62" spans="1:73" ht="15.75" x14ac:dyDescent="0.3">
      <c r="A62" s="488" t="s">
        <v>678</v>
      </c>
      <c r="B62" s="74">
        <v>30</v>
      </c>
      <c r="C62" s="483" t="s">
        <v>241</v>
      </c>
      <c r="D62" s="76" t="s">
        <v>107</v>
      </c>
      <c r="G62">
        <v>53</v>
      </c>
      <c r="H62" s="610">
        <f t="shared" si="0"/>
        <v>19.335000000000001</v>
      </c>
      <c r="I62" s="4" t="str">
        <f t="shared" si="1"/>
        <v>BUCK</v>
      </c>
      <c r="J62">
        <f t="shared" si="43"/>
        <v>1</v>
      </c>
      <c r="K62">
        <f t="shared" si="2"/>
        <v>20</v>
      </c>
      <c r="L62" s="4">
        <f t="shared" si="3"/>
        <v>14.711375456138837</v>
      </c>
      <c r="M62" s="4">
        <f t="shared" si="4"/>
        <v>20</v>
      </c>
      <c r="N62" s="386">
        <f t="shared" si="5"/>
        <v>0.66737819025522049</v>
      </c>
      <c r="O62" s="386">
        <f t="shared" si="58"/>
        <v>0</v>
      </c>
      <c r="P62" s="4">
        <f t="shared" si="6"/>
        <v>8.6107803619489562</v>
      </c>
      <c r="Q62" s="386">
        <f t="shared" si="7"/>
        <v>20.153877911462693</v>
      </c>
      <c r="R62" s="386">
        <f t="shared" si="8"/>
        <v>1.0049281054336923</v>
      </c>
      <c r="S62" s="386">
        <f t="shared" si="45"/>
        <v>2.0037389590528365</v>
      </c>
      <c r="T62" s="386">
        <f t="shared" si="46"/>
        <v>3.008667064486529</v>
      </c>
      <c r="U62" s="4">
        <f t="shared" si="9"/>
        <v>2.4857181799519865</v>
      </c>
      <c r="V62" s="386">
        <f t="shared" si="10"/>
        <v>1.2357589740287634E-2</v>
      </c>
      <c r="W62" s="386">
        <f t="shared" si="47"/>
        <v>1.2357589740287634E-2</v>
      </c>
      <c r="X62" s="386">
        <f t="shared" si="11"/>
        <v>9.4955470361941003</v>
      </c>
      <c r="Y62" s="386">
        <f t="shared" si="12"/>
        <v>0.18033082703314912</v>
      </c>
      <c r="Z62" s="603">
        <f t="shared" si="48"/>
        <v>0.18033082703314912</v>
      </c>
      <c r="AA62" s="386">
        <f t="shared" si="13"/>
        <v>16.464351461277879</v>
      </c>
      <c r="AB62" s="386">
        <f t="shared" si="14"/>
        <v>0.51504225117691771</v>
      </c>
      <c r="AC62" s="386">
        <f t="shared" si="15"/>
        <v>1.3405972853870567</v>
      </c>
      <c r="AD62">
        <f t="shared" si="16"/>
        <v>0</v>
      </c>
      <c r="AE62" s="386">
        <f t="shared" si="17"/>
        <v>2.0687369207111495</v>
      </c>
      <c r="AF62" s="386">
        <f t="shared" si="18"/>
        <v>11.623421433883433</v>
      </c>
      <c r="AG62" s="386">
        <f t="shared" si="19"/>
        <v>0.25669745907635549</v>
      </c>
      <c r="AH62" s="386">
        <f t="shared" si="20"/>
        <v>0</v>
      </c>
      <c r="AI62" s="386">
        <f t="shared" si="21"/>
        <v>0.27058938035435731</v>
      </c>
      <c r="AJ62" s="386">
        <f t="shared" si="22"/>
        <v>0</v>
      </c>
      <c r="AK62" s="386">
        <f t="shared" si="23"/>
        <v>0</v>
      </c>
      <c r="AL62" s="386">
        <f t="shared" si="24"/>
        <v>0</v>
      </c>
      <c r="AM62">
        <f t="shared" si="25"/>
        <v>0</v>
      </c>
      <c r="AN62" s="386">
        <f t="shared" si="26"/>
        <v>0</v>
      </c>
      <c r="AO62" s="386">
        <f t="shared" si="27"/>
        <v>20.153877911462693</v>
      </c>
      <c r="AP62" s="386">
        <f t="shared" si="28"/>
        <v>0.20308939743507193</v>
      </c>
      <c r="AQ62" s="386">
        <f t="shared" si="29"/>
        <v>0</v>
      </c>
      <c r="AR62" s="386">
        <f t="shared" si="30"/>
        <v>0.21168770304628898</v>
      </c>
      <c r="AS62" s="386">
        <f t="shared" si="31"/>
        <v>0.20308939743507193</v>
      </c>
      <c r="AT62" s="386">
        <f t="shared" si="32"/>
        <v>0.27500000000000002</v>
      </c>
      <c r="AU62" s="386">
        <f t="shared" si="33"/>
        <v>1.3266687500000001</v>
      </c>
      <c r="AV62" s="386">
        <f t="shared" si="34"/>
        <v>0.40531177748898239</v>
      </c>
      <c r="AW62" s="386" t="e">
        <f t="shared" si="35"/>
        <v>#VALUE!</v>
      </c>
      <c r="AX62" s="386">
        <f t="shared" si="36"/>
        <v>3.8400000000000004E-2</v>
      </c>
      <c r="AY62" s="386">
        <f t="shared" si="37"/>
        <v>0.61440000000000006</v>
      </c>
      <c r="AZ62" s="386">
        <f t="shared" si="38"/>
        <v>0.47314285714285709</v>
      </c>
      <c r="BA62" s="386">
        <f t="shared" si="56"/>
        <v>0.65280000000000005</v>
      </c>
      <c r="BB62" s="386" t="e">
        <f t="shared" si="57"/>
        <v>#VALUE!</v>
      </c>
      <c r="BC62">
        <f t="shared" si="39"/>
        <v>256</v>
      </c>
      <c r="BD62" s="604" t="e">
        <f t="shared" si="50"/>
        <v>#VALUE!</v>
      </c>
      <c r="BE62" s="614">
        <f t="shared" si="40"/>
        <v>169.77028353555747</v>
      </c>
      <c r="BF62" s="614">
        <f t="shared" si="41"/>
        <v>13.529469017717865</v>
      </c>
      <c r="BG62" s="9"/>
      <c r="BH62" s="4" t="e">
        <f t="shared" si="51"/>
        <v>#VALUE!</v>
      </c>
      <c r="BI62" s="386">
        <f t="shared" si="52"/>
        <v>3.008667064486529</v>
      </c>
      <c r="BJ62" s="386">
        <f t="shared" si="53"/>
        <v>3.8776827541117957</v>
      </c>
      <c r="BK62" s="386">
        <f t="shared" si="54"/>
        <v>0.70839006785435732</v>
      </c>
      <c r="BL62" s="386">
        <f t="shared" si="55"/>
        <v>0.40531177748898239</v>
      </c>
      <c r="BR62" s="18"/>
      <c r="BS62" s="19"/>
    </row>
    <row r="63" spans="1:73" x14ac:dyDescent="0.2">
      <c r="A63" s="23" t="s">
        <v>122</v>
      </c>
      <c r="B63" s="74">
        <v>2</v>
      </c>
      <c r="C63" s="483" t="s">
        <v>241</v>
      </c>
      <c r="D63" s="21" t="s">
        <v>107</v>
      </c>
      <c r="G63">
        <v>54</v>
      </c>
      <c r="H63" s="610">
        <f t="shared" si="0"/>
        <v>19.53</v>
      </c>
      <c r="I63" s="4" t="str">
        <f t="shared" si="1"/>
        <v>BUCK</v>
      </c>
      <c r="J63">
        <f t="shared" si="43"/>
        <v>1</v>
      </c>
      <c r="K63">
        <f t="shared" si="2"/>
        <v>20</v>
      </c>
      <c r="L63" s="4">
        <f t="shared" si="3"/>
        <v>14.56448768276725</v>
      </c>
      <c r="M63" s="4">
        <f t="shared" si="4"/>
        <v>20</v>
      </c>
      <c r="N63" s="386">
        <f t="shared" si="5"/>
        <v>0.66073506891271061</v>
      </c>
      <c r="O63" s="386">
        <f t="shared" si="58"/>
        <v>0</v>
      </c>
      <c r="P63" s="4">
        <f t="shared" si="6"/>
        <v>8.7827548300153158</v>
      </c>
      <c r="Q63" s="386">
        <f t="shared" si="7"/>
        <v>20.160061140788894</v>
      </c>
      <c r="R63" s="386">
        <f t="shared" si="8"/>
        <v>1.0055944395135514</v>
      </c>
      <c r="S63" s="386">
        <f t="shared" si="45"/>
        <v>2.0971450302577139</v>
      </c>
      <c r="T63" s="386">
        <f t="shared" si="46"/>
        <v>3.1027394697712651</v>
      </c>
      <c r="U63" s="4">
        <f t="shared" si="9"/>
        <v>2.5353629326679146</v>
      </c>
      <c r="V63" s="386">
        <f t="shared" si="10"/>
        <v>1.2856130400692896E-2</v>
      </c>
      <c r="W63" s="386">
        <f t="shared" si="47"/>
        <v>1.2856130400692896E-2</v>
      </c>
      <c r="X63" s="386">
        <f t="shared" si="11"/>
        <v>9.5449796952988972</v>
      </c>
      <c r="Y63" s="386">
        <f t="shared" si="12"/>
        <v>0.18221327476733645</v>
      </c>
      <c r="Z63" s="603">
        <f t="shared" si="48"/>
        <v>0.18221327476733645</v>
      </c>
      <c r="AA63" s="386">
        <f t="shared" si="13"/>
        <v>16.387229041793812</v>
      </c>
      <c r="AB63" s="386">
        <f t="shared" si="14"/>
        <v>0.51022842376960009</v>
      </c>
      <c r="AC63" s="386">
        <f t="shared" si="15"/>
        <v>1.3541176614227677</v>
      </c>
      <c r="AD63">
        <f t="shared" si="16"/>
        <v>0</v>
      </c>
      <c r="AE63" s="386">
        <f t="shared" si="17"/>
        <v>2.0762148513997092</v>
      </c>
      <c r="AF63" s="386">
        <f t="shared" si="18"/>
        <v>11.742520578314346</v>
      </c>
      <c r="AG63" s="386">
        <f t="shared" si="19"/>
        <v>0.26198490011105824</v>
      </c>
      <c r="AH63" s="386">
        <f t="shared" si="20"/>
        <v>0</v>
      </c>
      <c r="AI63" s="386">
        <f t="shared" si="21"/>
        <v>0.27647115362422453</v>
      </c>
      <c r="AJ63" s="386">
        <f t="shared" si="22"/>
        <v>0</v>
      </c>
      <c r="AK63" s="386">
        <f t="shared" si="23"/>
        <v>0</v>
      </c>
      <c r="AL63" s="386">
        <f t="shared" si="24"/>
        <v>0</v>
      </c>
      <c r="AM63">
        <f t="shared" si="25"/>
        <v>0</v>
      </c>
      <c r="AN63" s="386">
        <f t="shared" si="26"/>
        <v>0</v>
      </c>
      <c r="AO63" s="386">
        <f t="shared" si="27"/>
        <v>20.160061140788894</v>
      </c>
      <c r="AP63" s="386">
        <f t="shared" si="28"/>
        <v>0.20321403260017321</v>
      </c>
      <c r="AQ63" s="386">
        <f t="shared" si="29"/>
        <v>0</v>
      </c>
      <c r="AR63" s="386">
        <f t="shared" si="30"/>
        <v>0.21182311862700073</v>
      </c>
      <c r="AS63" s="386">
        <f t="shared" si="31"/>
        <v>0.20321403260017321</v>
      </c>
      <c r="AT63" s="386">
        <f t="shared" si="32"/>
        <v>0.27500000000000002</v>
      </c>
      <c r="AU63" s="386">
        <f t="shared" si="33"/>
        <v>1.3400750000000001</v>
      </c>
      <c r="AV63" s="386">
        <f t="shared" si="34"/>
        <v>0.41366036859640776</v>
      </c>
      <c r="AW63" s="386" t="e">
        <f t="shared" si="35"/>
        <v>#VALUE!</v>
      </c>
      <c r="AX63" s="386">
        <f t="shared" si="36"/>
        <v>3.8400000000000004E-2</v>
      </c>
      <c r="AY63" s="386">
        <f t="shared" si="37"/>
        <v>0.61440000000000006</v>
      </c>
      <c r="AZ63" s="386">
        <f t="shared" si="38"/>
        <v>0.47314285714285709</v>
      </c>
      <c r="BA63" s="386">
        <f t="shared" si="56"/>
        <v>0.65280000000000005</v>
      </c>
      <c r="BB63" s="386" t="e">
        <f t="shared" si="57"/>
        <v>#VALUE!</v>
      </c>
      <c r="BC63">
        <f t="shared" si="39"/>
        <v>256</v>
      </c>
      <c r="BD63" s="604" t="e">
        <f t="shared" si="50"/>
        <v>#VALUE!</v>
      </c>
      <c r="BE63" s="614">
        <f t="shared" si="40"/>
        <v>170.81449256998548</v>
      </c>
      <c r="BF63" s="614">
        <f t="shared" si="41"/>
        <v>13.823557681211227</v>
      </c>
      <c r="BG63" s="9"/>
      <c r="BH63" s="4" t="e">
        <f t="shared" si="51"/>
        <v>#VALUE!</v>
      </c>
      <c r="BI63" s="386">
        <f t="shared" si="52"/>
        <v>3.1027394697712651</v>
      </c>
      <c r="BJ63" s="386">
        <f t="shared" si="53"/>
        <v>3.9045841236509342</v>
      </c>
      <c r="BK63" s="386">
        <f t="shared" si="54"/>
        <v>0.71869590362422464</v>
      </c>
      <c r="BL63" s="386">
        <f t="shared" si="55"/>
        <v>0.41366036859640776</v>
      </c>
      <c r="BR63" s="18"/>
      <c r="BS63" s="19"/>
    </row>
    <row r="64" spans="1:73" x14ac:dyDescent="0.2">
      <c r="A64" s="75"/>
      <c r="B64" s="30"/>
      <c r="G64">
        <v>55</v>
      </c>
      <c r="H64" s="610">
        <f t="shared" si="0"/>
        <v>19.725000000000001</v>
      </c>
      <c r="I64" s="4" t="str">
        <f t="shared" si="1"/>
        <v>BUCK</v>
      </c>
      <c r="J64">
        <f t="shared" si="43"/>
        <v>1</v>
      </c>
      <c r="K64">
        <f t="shared" si="2"/>
        <v>20</v>
      </c>
      <c r="L64" s="4">
        <f t="shared" si="3"/>
        <v>14.420504154344458</v>
      </c>
      <c r="M64" s="4">
        <f t="shared" si="4"/>
        <v>20</v>
      </c>
      <c r="N64" s="386">
        <f t="shared" si="5"/>
        <v>0.65422289613343443</v>
      </c>
      <c r="O64" s="386">
        <f t="shared" si="58"/>
        <v>0</v>
      </c>
      <c r="P64" s="4">
        <f t="shared" si="6"/>
        <v>8.9513393540561044</v>
      </c>
      <c r="Q64" s="386">
        <f t="shared" si="7"/>
        <v>20.166239271431419</v>
      </c>
      <c r="R64" s="386">
        <f t="shared" si="8"/>
        <v>1.0062604939890167</v>
      </c>
      <c r="S64" s="386">
        <f t="shared" si="45"/>
        <v>2.1910545896330453</v>
      </c>
      <c r="T64" s="386">
        <f t="shared" si="46"/>
        <v>3.1973150836220618</v>
      </c>
      <c r="U64" s="4">
        <f t="shared" si="9"/>
        <v>2.5840290928359915</v>
      </c>
      <c r="V64" s="386">
        <f t="shared" si="10"/>
        <v>1.3354412705245594E-2</v>
      </c>
      <c r="W64" s="386">
        <f t="shared" si="47"/>
        <v>1.3354412705245594E-2</v>
      </c>
      <c r="X64" s="386">
        <f t="shared" si="11"/>
        <v>9.591486097066003</v>
      </c>
      <c r="Y64" s="386">
        <f t="shared" si="12"/>
        <v>0.18399321110042086</v>
      </c>
      <c r="Z64" s="603">
        <f t="shared" si="48"/>
        <v>0.18399321110042086</v>
      </c>
      <c r="AA64" s="386">
        <f t="shared" si="13"/>
        <v>16.311270328563229</v>
      </c>
      <c r="AB64" s="386">
        <f t="shared" si="14"/>
        <v>0.50550932548978755</v>
      </c>
      <c r="AC64" s="386">
        <f t="shared" si="15"/>
        <v>1.3676380374584789</v>
      </c>
      <c r="AD64">
        <f t="shared" si="16"/>
        <v>0</v>
      </c>
      <c r="AE64" s="386">
        <f t="shared" si="17"/>
        <v>2.0838260646212072</v>
      </c>
      <c r="AF64" s="386">
        <f t="shared" si="18"/>
        <v>11.858316348502242</v>
      </c>
      <c r="AG64" s="386">
        <f t="shared" si="19"/>
        <v>0.26717736658019553</v>
      </c>
      <c r="AH64" s="386">
        <f t="shared" si="20"/>
        <v>0</v>
      </c>
      <c r="AI64" s="386">
        <f t="shared" si="21"/>
        <v>0.28226006685057276</v>
      </c>
      <c r="AJ64" s="386">
        <f t="shared" si="22"/>
        <v>0</v>
      </c>
      <c r="AK64" s="386">
        <f t="shared" si="23"/>
        <v>0</v>
      </c>
      <c r="AL64" s="386">
        <f t="shared" si="24"/>
        <v>0</v>
      </c>
      <c r="AM64">
        <f t="shared" si="25"/>
        <v>0</v>
      </c>
      <c r="AN64" s="386">
        <f t="shared" si="26"/>
        <v>0</v>
      </c>
      <c r="AO64" s="386">
        <f t="shared" si="27"/>
        <v>20.166239271431419</v>
      </c>
      <c r="AP64" s="386">
        <f t="shared" si="28"/>
        <v>0.20333860317631142</v>
      </c>
      <c r="AQ64" s="386">
        <f t="shared" si="29"/>
        <v>0</v>
      </c>
      <c r="AR64" s="386">
        <f t="shared" si="30"/>
        <v>0.21195847106381183</v>
      </c>
      <c r="AS64" s="386">
        <f t="shared" si="31"/>
        <v>0.20333860317631142</v>
      </c>
      <c r="AT64" s="386">
        <f t="shared" si="32"/>
        <v>0.27500000000000002</v>
      </c>
      <c r="AU64" s="386">
        <f t="shared" si="33"/>
        <v>1.3534812500000002</v>
      </c>
      <c r="AV64" s="386">
        <f t="shared" si="34"/>
        <v>0.42185899986346664</v>
      </c>
      <c r="AW64" s="386" t="e">
        <f t="shared" si="35"/>
        <v>#VALUE!</v>
      </c>
      <c r="AX64" s="386">
        <f t="shared" si="36"/>
        <v>3.8400000000000004E-2</v>
      </c>
      <c r="AY64" s="386">
        <f t="shared" si="37"/>
        <v>0.61440000000000006</v>
      </c>
      <c r="AZ64" s="386">
        <f t="shared" si="38"/>
        <v>0.47314285714285709</v>
      </c>
      <c r="BA64" s="386">
        <f t="shared" si="56"/>
        <v>0.65280000000000005</v>
      </c>
      <c r="BB64" s="386" t="e">
        <f t="shared" si="57"/>
        <v>#VALUE!</v>
      </c>
      <c r="BC64">
        <f t="shared" si="39"/>
        <v>256</v>
      </c>
      <c r="BD64" s="604" t="e">
        <f t="shared" si="50"/>
        <v>#VALUE!</v>
      </c>
      <c r="BE64" s="614">
        <f t="shared" si="40"/>
        <v>171.86536573106036</v>
      </c>
      <c r="BF64" s="614">
        <f t="shared" si="41"/>
        <v>14.113003342528637</v>
      </c>
      <c r="BG64" s="9"/>
      <c r="BH64" s="4" t="e">
        <f t="shared" si="51"/>
        <v>#VALUE!</v>
      </c>
      <c r="BI64" s="386">
        <f t="shared" si="52"/>
        <v>3.1973150836220618</v>
      </c>
      <c r="BJ64" s="386">
        <f t="shared" si="53"/>
        <v>3.9315258525355916</v>
      </c>
      <c r="BK64" s="386">
        <f t="shared" si="54"/>
        <v>0.72890887935057291</v>
      </c>
      <c r="BL64" s="386">
        <f t="shared" si="55"/>
        <v>0.42185899986346664</v>
      </c>
      <c r="BR64" s="18"/>
      <c r="BS64" s="19"/>
    </row>
    <row r="65" spans="1:71" x14ac:dyDescent="0.2">
      <c r="G65">
        <v>56</v>
      </c>
      <c r="H65" s="610">
        <f t="shared" si="0"/>
        <v>19.920000000000002</v>
      </c>
      <c r="I65" s="4" t="str">
        <f t="shared" si="1"/>
        <v>BUCK</v>
      </c>
      <c r="J65">
        <f t="shared" si="43"/>
        <v>1</v>
      </c>
      <c r="K65">
        <f t="shared" si="2"/>
        <v>20</v>
      </c>
      <c r="L65" s="4">
        <f t="shared" si="3"/>
        <v>14.279339580544399</v>
      </c>
      <c r="M65" s="4">
        <f t="shared" si="4"/>
        <v>20</v>
      </c>
      <c r="N65" s="386">
        <f t="shared" si="5"/>
        <v>0.64783783783783788</v>
      </c>
      <c r="O65" s="386">
        <f t="shared" si="58"/>
        <v>0</v>
      </c>
      <c r="P65" s="4">
        <f t="shared" si="6"/>
        <v>9.1166331891891907</v>
      </c>
      <c r="Q65" s="386">
        <f t="shared" si="7"/>
        <v>20.172408963536942</v>
      </c>
      <c r="R65" s="386">
        <f t="shared" si="8"/>
        <v>1.0069259079793322</v>
      </c>
      <c r="S65" s="386">
        <f t="shared" si="45"/>
        <v>2.2853979844645629</v>
      </c>
      <c r="T65" s="386">
        <f t="shared" si="46"/>
        <v>3.2923238924438953</v>
      </c>
      <c r="U65" s="4">
        <f t="shared" si="9"/>
        <v>2.631745312940728</v>
      </c>
      <c r="V65" s="386">
        <f t="shared" si="10"/>
        <v>1.3852166784370982E-2</v>
      </c>
      <c r="W65" s="386">
        <f t="shared" si="47"/>
        <v>1.3852166784370982E-2</v>
      </c>
      <c r="X65" s="386">
        <f t="shared" si="11"/>
        <v>9.6352339706240571</v>
      </c>
      <c r="Y65" s="386">
        <f t="shared" si="12"/>
        <v>0.18567546733733567</v>
      </c>
      <c r="Z65" s="603">
        <f t="shared" si="48"/>
        <v>0.18567546733733567</v>
      </c>
      <c r="AA65" s="386">
        <f t="shared" si="13"/>
        <v>16.236444007990578</v>
      </c>
      <c r="AB65" s="386">
        <f t="shared" si="14"/>
        <v>0.50088201664676502</v>
      </c>
      <c r="AC65" s="386">
        <f t="shared" si="15"/>
        <v>1.3811584134941903</v>
      </c>
      <c r="AD65">
        <f t="shared" si="16"/>
        <v>0</v>
      </c>
      <c r="AE65" s="386">
        <f t="shared" si="17"/>
        <v>2.0915659881609203</v>
      </c>
      <c r="AF65" s="386">
        <f t="shared" si="18"/>
        <v>11.970963593945658</v>
      </c>
      <c r="AG65" s="386">
        <f t="shared" si="19"/>
        <v>0.27227754179838748</v>
      </c>
      <c r="AH65" s="386">
        <f t="shared" si="20"/>
        <v>0</v>
      </c>
      <c r="AI65" s="386">
        <f t="shared" si="21"/>
        <v>0.28795846647685791</v>
      </c>
      <c r="AJ65" s="386">
        <f t="shared" si="22"/>
        <v>0</v>
      </c>
      <c r="AK65" s="386">
        <f t="shared" si="23"/>
        <v>0</v>
      </c>
      <c r="AL65" s="386">
        <f t="shared" si="24"/>
        <v>0</v>
      </c>
      <c r="AM65">
        <f t="shared" si="25"/>
        <v>0</v>
      </c>
      <c r="AN65" s="386">
        <f t="shared" si="26"/>
        <v>0</v>
      </c>
      <c r="AO65" s="386">
        <f t="shared" si="27"/>
        <v>20.172408963536942</v>
      </c>
      <c r="AP65" s="386">
        <f t="shared" si="28"/>
        <v>0.20346304169609278</v>
      </c>
      <c r="AQ65" s="386">
        <f t="shared" si="29"/>
        <v>0</v>
      </c>
      <c r="AR65" s="386">
        <f t="shared" si="30"/>
        <v>0.21209368703377915</v>
      </c>
      <c r="AS65" s="386">
        <f t="shared" si="31"/>
        <v>0.20346304169609278</v>
      </c>
      <c r="AT65" s="386">
        <f t="shared" si="32"/>
        <v>0.27500000000000002</v>
      </c>
      <c r="AU65" s="386">
        <f t="shared" si="33"/>
        <v>1.3668875000000003</v>
      </c>
      <c r="AV65" s="386">
        <f t="shared" si="34"/>
        <v>0.42991190810271712</v>
      </c>
      <c r="AW65" s="386" t="e">
        <f t="shared" si="35"/>
        <v>#VALUE!</v>
      </c>
      <c r="AX65" s="386">
        <f t="shared" si="36"/>
        <v>3.8400000000000004E-2</v>
      </c>
      <c r="AY65" s="386">
        <f t="shared" si="37"/>
        <v>0.61440000000000006</v>
      </c>
      <c r="AZ65" s="386">
        <f t="shared" si="38"/>
        <v>0.47314285714285709</v>
      </c>
      <c r="BA65" s="386">
        <f t="shared" si="56"/>
        <v>0.65280000000000005</v>
      </c>
      <c r="BB65" s="386" t="e">
        <f t="shared" si="57"/>
        <v>#VALUE!</v>
      </c>
      <c r="BC65">
        <f t="shared" si="39"/>
        <v>256</v>
      </c>
      <c r="BD65" s="604" t="e">
        <f t="shared" si="50"/>
        <v>#VALUE!</v>
      </c>
      <c r="BE65" s="614">
        <f t="shared" si="40"/>
        <v>172.92267440804602</v>
      </c>
      <c r="BF65" s="614">
        <f t="shared" si="41"/>
        <v>14.397923323842896</v>
      </c>
      <c r="BG65" s="9"/>
      <c r="BH65" s="4" t="e">
        <f t="shared" si="51"/>
        <v>#VALUE!</v>
      </c>
      <c r="BI65" s="386">
        <f t="shared" si="52"/>
        <v>3.2923238924438953</v>
      </c>
      <c r="BJ65" s="386">
        <f t="shared" si="53"/>
        <v>3.9585056416715574</v>
      </c>
      <c r="BK65" s="386">
        <f t="shared" si="54"/>
        <v>0.73903134147685801</v>
      </c>
      <c r="BL65" s="386">
        <f t="shared" si="55"/>
        <v>0.42991190810271712</v>
      </c>
      <c r="BR65" s="18"/>
      <c r="BS65" s="19"/>
    </row>
    <row r="66" spans="1:71" x14ac:dyDescent="0.2">
      <c r="A66" s="11" t="s">
        <v>81</v>
      </c>
      <c r="B66" s="31"/>
      <c r="C66" s="31"/>
      <c r="G66">
        <v>57</v>
      </c>
      <c r="H66" s="610">
        <f t="shared" si="0"/>
        <v>20.114999999999998</v>
      </c>
      <c r="I66" s="4" t="str">
        <f t="shared" si="1"/>
        <v>BUCK</v>
      </c>
      <c r="J66">
        <f t="shared" si="43"/>
        <v>1</v>
      </c>
      <c r="K66">
        <f t="shared" si="2"/>
        <v>20</v>
      </c>
      <c r="L66" s="4">
        <f t="shared" si="3"/>
        <v>14.140911978346729</v>
      </c>
      <c r="M66" s="4">
        <f t="shared" si="4"/>
        <v>20</v>
      </c>
      <c r="N66" s="386">
        <f t="shared" si="5"/>
        <v>0.64157620817843886</v>
      </c>
      <c r="O66" s="386">
        <f t="shared" si="58"/>
        <v>0</v>
      </c>
      <c r="P66" s="4">
        <f t="shared" si="6"/>
        <v>9.2787317531598514</v>
      </c>
      <c r="Q66" s="386">
        <f t="shared" si="7"/>
        <v>20.178567142199618</v>
      </c>
      <c r="R66" s="386">
        <f t="shared" si="8"/>
        <v>1.007590348614207</v>
      </c>
      <c r="S66" s="386">
        <f t="shared" si="45"/>
        <v>2.3801097027048765</v>
      </c>
      <c r="T66" s="386">
        <f t="shared" si="46"/>
        <v>3.3877000513190838</v>
      </c>
      <c r="U66" s="4">
        <f t="shared" si="9"/>
        <v>2.6785391377125842</v>
      </c>
      <c r="V66" s="386">
        <f t="shared" si="10"/>
        <v>1.434914382451615E-2</v>
      </c>
      <c r="W66" s="386">
        <f t="shared" si="47"/>
        <v>1.434914382451615E-2</v>
      </c>
      <c r="X66" s="386">
        <f t="shared" si="11"/>
        <v>9.6763788703044167</v>
      </c>
      <c r="Y66" s="386">
        <f t="shared" si="12"/>
        <v>0.18726461608334757</v>
      </c>
      <c r="Z66" s="603">
        <f t="shared" si="48"/>
        <v>0.18726461608334757</v>
      </c>
      <c r="AA66" s="386">
        <f t="shared" si="13"/>
        <v>16.162720003580635</v>
      </c>
      <c r="AB66" s="386">
        <f t="shared" si="14"/>
        <v>0.49634368403687662</v>
      </c>
      <c r="AC66" s="386">
        <f t="shared" si="15"/>
        <v>1.3946787895299011</v>
      </c>
      <c r="AD66">
        <f t="shared" si="16"/>
        <v>0</v>
      </c>
      <c r="AE66" s="386">
        <f t="shared" si="17"/>
        <v>2.0994302638770246</v>
      </c>
      <c r="AF66" s="386">
        <f t="shared" si="18"/>
        <v>12.080606524430488</v>
      </c>
      <c r="AG66" s="386">
        <f t="shared" si="19"/>
        <v>0.27728800259641367</v>
      </c>
      <c r="AH66" s="386">
        <f t="shared" si="20"/>
        <v>0</v>
      </c>
      <c r="AI66" s="386">
        <f t="shared" si="21"/>
        <v>0.29356861348824442</v>
      </c>
      <c r="AJ66" s="386">
        <f t="shared" si="22"/>
        <v>0</v>
      </c>
      <c r="AK66" s="386">
        <f t="shared" si="23"/>
        <v>0</v>
      </c>
      <c r="AL66" s="386">
        <f t="shared" si="24"/>
        <v>0</v>
      </c>
      <c r="AM66">
        <f t="shared" si="25"/>
        <v>0</v>
      </c>
      <c r="AN66" s="386">
        <f t="shared" si="26"/>
        <v>0</v>
      </c>
      <c r="AO66" s="386">
        <f t="shared" si="27"/>
        <v>20.178567142199618</v>
      </c>
      <c r="AP66" s="386">
        <f t="shared" si="28"/>
        <v>0.20358728595612904</v>
      </c>
      <c r="AQ66" s="386">
        <f t="shared" si="29"/>
        <v>0</v>
      </c>
      <c r="AR66" s="386">
        <f t="shared" si="30"/>
        <v>0.21222869891911778</v>
      </c>
      <c r="AS66" s="386">
        <f t="shared" si="31"/>
        <v>0.20358728595612904</v>
      </c>
      <c r="AT66" s="386">
        <f t="shared" si="32"/>
        <v>0.27500000000000002</v>
      </c>
      <c r="AU66" s="386">
        <f t="shared" si="33"/>
        <v>1.3802937500000001</v>
      </c>
      <c r="AV66" s="386">
        <f t="shared" si="34"/>
        <v>0.43782316199433741</v>
      </c>
      <c r="AW66" s="386" t="e">
        <f t="shared" si="35"/>
        <v>#VALUE!</v>
      </c>
      <c r="AX66" s="386">
        <f t="shared" si="36"/>
        <v>3.8400000000000004E-2</v>
      </c>
      <c r="AY66" s="386">
        <f t="shared" si="37"/>
        <v>0.61440000000000006</v>
      </c>
      <c r="AZ66" s="386">
        <f t="shared" si="38"/>
        <v>0.47314285714285709</v>
      </c>
      <c r="BA66" s="386">
        <f t="shared" si="56"/>
        <v>0.65280000000000005</v>
      </c>
      <c r="BB66" s="386" t="e">
        <f t="shared" si="57"/>
        <v>#VALUE!</v>
      </c>
      <c r="BC66">
        <f t="shared" si="39"/>
        <v>256</v>
      </c>
      <c r="BD66" s="604" t="e">
        <f t="shared" si="50"/>
        <v>#VALUE!</v>
      </c>
      <c r="BE66" s="614">
        <f t="shared" si="40"/>
        <v>173.98620069385123</v>
      </c>
      <c r="BF66" s="614">
        <f t="shared" si="41"/>
        <v>14.678430674412221</v>
      </c>
      <c r="BG66" s="9"/>
      <c r="BH66" s="4" t="e">
        <f t="shared" si="51"/>
        <v>#VALUE!</v>
      </c>
      <c r="BI66" s="386">
        <f t="shared" si="52"/>
        <v>3.3877000513190838</v>
      </c>
      <c r="BJ66" s="386">
        <f t="shared" si="53"/>
        <v>3.9855213262843865</v>
      </c>
      <c r="BK66" s="386">
        <f t="shared" si="54"/>
        <v>0.74906555098824446</v>
      </c>
      <c r="BL66" s="386">
        <f t="shared" si="55"/>
        <v>0.43782316199433741</v>
      </c>
      <c r="BR66" s="18"/>
      <c r="BS66" s="19"/>
    </row>
    <row r="67" spans="1:71" x14ac:dyDescent="0.2">
      <c r="A67" s="14" t="s">
        <v>59</v>
      </c>
      <c r="B67" s="15" t="s">
        <v>8</v>
      </c>
      <c r="C67" s="15" t="s">
        <v>80</v>
      </c>
      <c r="G67">
        <v>58</v>
      </c>
      <c r="H67" s="610">
        <f t="shared" si="0"/>
        <v>20.309999999999999</v>
      </c>
      <c r="I67" s="4" t="str">
        <f t="shared" si="1"/>
        <v>BUCK</v>
      </c>
      <c r="J67">
        <f t="shared" si="43"/>
        <v>1</v>
      </c>
      <c r="K67">
        <f t="shared" si="2"/>
        <v>20</v>
      </c>
      <c r="L67" s="4">
        <f t="shared" si="3"/>
        <v>14.005142513266589</v>
      </c>
      <c r="M67" s="4">
        <f t="shared" si="4"/>
        <v>20</v>
      </c>
      <c r="N67" s="386">
        <f t="shared" si="5"/>
        <v>0.63543446244477186</v>
      </c>
      <c r="O67" s="386">
        <f t="shared" si="58"/>
        <v>0</v>
      </c>
      <c r="P67" s="4">
        <f t="shared" si="6"/>
        <v>9.4377268100147269</v>
      </c>
      <c r="Q67" s="386">
        <f t="shared" si="7"/>
        <v>20.184710978321501</v>
      </c>
      <c r="R67" s="386">
        <f t="shared" si="8"/>
        <v>1.0082535090270635</v>
      </c>
      <c r="S67" s="386">
        <f t="shared" si="45"/>
        <v>2.4751281487866921</v>
      </c>
      <c r="T67" s="386">
        <f t="shared" si="46"/>
        <v>3.4833816578137555</v>
      </c>
      <c r="U67" s="4">
        <f t="shared" si="9"/>
        <v>2.7244370571500753</v>
      </c>
      <c r="V67" s="386">
        <f t="shared" si="10"/>
        <v>1.4845114556745125E-2</v>
      </c>
      <c r="W67" s="386">
        <f t="shared" si="47"/>
        <v>1.4845114556745125E-2</v>
      </c>
      <c r="X67" s="386">
        <f t="shared" si="11"/>
        <v>9.7150652938107331</v>
      </c>
      <c r="Y67" s="386">
        <f t="shared" si="12"/>
        <v>0.18876498732601166</v>
      </c>
      <c r="Z67" s="603">
        <f t="shared" si="48"/>
        <v>0.18876498732601166</v>
      </c>
      <c r="AA67" s="386">
        <f t="shared" si="13"/>
        <v>16.090069411660625</v>
      </c>
      <c r="AB67" s="386">
        <f t="shared" si="14"/>
        <v>0.4918916339769081</v>
      </c>
      <c r="AC67" s="386">
        <f t="shared" si="15"/>
        <v>1.4081991655656125</v>
      </c>
      <c r="AD67">
        <f t="shared" si="16"/>
        <v>0</v>
      </c>
      <c r="AE67" s="386">
        <f t="shared" si="17"/>
        <v>2.1074147350396544</v>
      </c>
      <c r="AF67" s="386">
        <f t="shared" si="18"/>
        <v>12.18737968581908</v>
      </c>
      <c r="AG67" s="386">
        <f t="shared" si="19"/>
        <v>0.28221122485199956</v>
      </c>
      <c r="AH67" s="386">
        <f t="shared" si="20"/>
        <v>0</v>
      </c>
      <c r="AI67" s="386">
        <f t="shared" si="21"/>
        <v>0.29909268759403751</v>
      </c>
      <c r="AJ67" s="386">
        <f t="shared" si="22"/>
        <v>0</v>
      </c>
      <c r="AK67" s="386">
        <f t="shared" si="23"/>
        <v>0</v>
      </c>
      <c r="AL67" s="386">
        <f t="shared" si="24"/>
        <v>0</v>
      </c>
      <c r="AM67">
        <f t="shared" si="25"/>
        <v>0</v>
      </c>
      <c r="AN67" s="386">
        <f t="shared" si="26"/>
        <v>0</v>
      </c>
      <c r="AO67" s="386">
        <f t="shared" si="27"/>
        <v>20.184710978321501</v>
      </c>
      <c r="AP67" s="386">
        <f t="shared" si="28"/>
        <v>0.20371127863918628</v>
      </c>
      <c r="AQ67" s="386">
        <f t="shared" si="29"/>
        <v>0</v>
      </c>
      <c r="AR67" s="386">
        <f t="shared" si="30"/>
        <v>0.21236344439809796</v>
      </c>
      <c r="AS67" s="386">
        <f t="shared" si="31"/>
        <v>0.20371127863918628</v>
      </c>
      <c r="AT67" s="386">
        <f t="shared" si="32"/>
        <v>0.27500000000000002</v>
      </c>
      <c r="AU67" s="386">
        <f t="shared" si="33"/>
        <v>1.3936999999999999</v>
      </c>
      <c r="AV67" s="386">
        <f t="shared" si="34"/>
        <v>0.44559667081894672</v>
      </c>
      <c r="AW67" s="386" t="e">
        <f t="shared" si="35"/>
        <v>#VALUE!</v>
      </c>
      <c r="AX67" s="386">
        <f t="shared" si="36"/>
        <v>3.8400000000000004E-2</v>
      </c>
      <c r="AY67" s="386">
        <f t="shared" si="37"/>
        <v>0.61440000000000006</v>
      </c>
      <c r="AZ67" s="386">
        <f t="shared" si="38"/>
        <v>0.47314285714285709</v>
      </c>
      <c r="BA67" s="386">
        <f t="shared" si="56"/>
        <v>0.65280000000000005</v>
      </c>
      <c r="BB67" s="386" t="e">
        <f t="shared" si="57"/>
        <v>#VALUE!</v>
      </c>
      <c r="BC67">
        <f t="shared" si="39"/>
        <v>256</v>
      </c>
      <c r="BD67" s="604" t="e">
        <f t="shared" si="50"/>
        <v>#VALUE!</v>
      </c>
      <c r="BE67" s="614">
        <f t="shared" si="40"/>
        <v>175.05573675198272</v>
      </c>
      <c r="BF67" s="614">
        <f t="shared" si="41"/>
        <v>14.954634379701876</v>
      </c>
      <c r="BG67" s="9"/>
      <c r="BH67" s="4" t="e">
        <f t="shared" si="51"/>
        <v>#VALUE!</v>
      </c>
      <c r="BI67" s="386">
        <f t="shared" si="52"/>
        <v>3.4833816578137555</v>
      </c>
      <c r="BJ67" s="386">
        <f t="shared" si="53"/>
        <v>4.0125708670317897</v>
      </c>
      <c r="BK67" s="386">
        <f t="shared" si="54"/>
        <v>0.75901368759403753</v>
      </c>
      <c r="BL67" s="386">
        <f t="shared" si="55"/>
        <v>0.44559667081894672</v>
      </c>
      <c r="BR67" s="18"/>
      <c r="BS67" s="19"/>
    </row>
    <row r="68" spans="1:71" x14ac:dyDescent="0.2">
      <c r="A68" s="32" t="s">
        <v>244</v>
      </c>
      <c r="B68" s="491" t="e">
        <f>#REF!</f>
        <v>#REF!</v>
      </c>
      <c r="C68" s="21" t="s">
        <v>19</v>
      </c>
      <c r="G68">
        <v>59</v>
      </c>
      <c r="H68" s="610">
        <f t="shared" si="0"/>
        <v>20.504999999999999</v>
      </c>
      <c r="I68" s="4" t="str">
        <f t="shared" si="1"/>
        <v>BUCK</v>
      </c>
      <c r="J68">
        <f t="shared" si="43"/>
        <v>1</v>
      </c>
      <c r="K68">
        <f t="shared" si="2"/>
        <v>20</v>
      </c>
      <c r="L68" s="4">
        <f t="shared" si="3"/>
        <v>13.871955349643718</v>
      </c>
      <c r="M68" s="4">
        <f t="shared" si="4"/>
        <v>20</v>
      </c>
      <c r="N68" s="386">
        <f t="shared" si="5"/>
        <v>0.62940919037199139</v>
      </c>
      <c r="O68" s="386">
        <f t="shared" si="58"/>
        <v>0</v>
      </c>
      <c r="P68" s="4">
        <f t="shared" si="6"/>
        <v>9.5937066433260387</v>
      </c>
      <c r="Q68" s="386">
        <f t="shared" si="7"/>
        <v>20.190837870921797</v>
      </c>
      <c r="R68" s="386">
        <f t="shared" si="8"/>
        <v>1.0089151065001336</v>
      </c>
      <c r="S68" s="386">
        <f t="shared" si="45"/>
        <v>2.5703954301773742</v>
      </c>
      <c r="T68" s="386">
        <f t="shared" si="46"/>
        <v>3.5793105366775078</v>
      </c>
      <c r="U68" s="4">
        <f t="shared" si="9"/>
        <v>2.7694645565252949</v>
      </c>
      <c r="V68" s="386">
        <f t="shared" si="10"/>
        <v>1.5339867859699697E-2</v>
      </c>
      <c r="W68" s="386">
        <f t="shared" si="47"/>
        <v>1.5339867859699697E-2</v>
      </c>
      <c r="X68" s="386">
        <f t="shared" si="11"/>
        <v>9.7514276740961776</v>
      </c>
      <c r="Y68" s="386">
        <f t="shared" si="12"/>
        <v>0.19018068336625757</v>
      </c>
      <c r="Z68" s="603">
        <f t="shared" si="48"/>
        <v>0.19018068336625757</v>
      </c>
      <c r="AA68" s="386">
        <f t="shared" si="13"/>
        <v>16.018464441193792</v>
      </c>
      <c r="AB68" s="386">
        <f t="shared" si="14"/>
        <v>0.48752328580220095</v>
      </c>
      <c r="AC68" s="386">
        <f t="shared" si="15"/>
        <v>1.4217195416013235</v>
      </c>
      <c r="AD68">
        <f t="shared" si="16"/>
        <v>0</v>
      </c>
      <c r="AE68" s="386">
        <f t="shared" si="17"/>
        <v>2.1155154345687723</v>
      </c>
      <c r="AF68" s="386">
        <f t="shared" si="18"/>
        <v>12.291408823892395</v>
      </c>
      <c r="AG68" s="386">
        <f t="shared" si="19"/>
        <v>0.28704958866451369</v>
      </c>
      <c r="AH68" s="386">
        <f t="shared" si="20"/>
        <v>0</v>
      </c>
      <c r="AI68" s="386">
        <f t="shared" si="21"/>
        <v>0.30453279115149207</v>
      </c>
      <c r="AJ68" s="386">
        <f t="shared" si="22"/>
        <v>0</v>
      </c>
      <c r="AK68" s="386">
        <f t="shared" si="23"/>
        <v>0</v>
      </c>
      <c r="AL68" s="386">
        <f t="shared" si="24"/>
        <v>0</v>
      </c>
      <c r="AM68">
        <f t="shared" si="25"/>
        <v>0</v>
      </c>
      <c r="AN68" s="386">
        <f t="shared" si="26"/>
        <v>0</v>
      </c>
      <c r="AO68" s="386">
        <f t="shared" si="27"/>
        <v>20.190837870921797</v>
      </c>
      <c r="AP68" s="386">
        <f t="shared" si="28"/>
        <v>0.20383496696492492</v>
      </c>
      <c r="AQ68" s="386">
        <f t="shared" si="29"/>
        <v>0</v>
      </c>
      <c r="AR68" s="386">
        <f t="shared" si="30"/>
        <v>0.21249786606689755</v>
      </c>
      <c r="AS68" s="386">
        <f t="shared" si="31"/>
        <v>0.20383496696492492</v>
      </c>
      <c r="AT68" s="386">
        <f t="shared" si="32"/>
        <v>0.27500000000000002</v>
      </c>
      <c r="AU68" s="386">
        <f t="shared" si="33"/>
        <v>1.40710625</v>
      </c>
      <c r="AV68" s="386">
        <f t="shared" si="34"/>
        <v>0.45323619262817955</v>
      </c>
      <c r="AW68" s="386" t="e">
        <f t="shared" si="35"/>
        <v>#VALUE!</v>
      </c>
      <c r="AX68" s="386">
        <f t="shared" si="36"/>
        <v>3.8400000000000004E-2</v>
      </c>
      <c r="AY68" s="386">
        <f t="shared" si="37"/>
        <v>0.61440000000000006</v>
      </c>
      <c r="AZ68" s="386">
        <f t="shared" si="38"/>
        <v>0.47314285714285709</v>
      </c>
      <c r="BA68" s="386">
        <f t="shared" si="56"/>
        <v>0.65280000000000005</v>
      </c>
      <c r="BB68" s="386" t="e">
        <f t="shared" si="57"/>
        <v>#VALUE!</v>
      </c>
      <c r="BC68">
        <f t="shared" si="39"/>
        <v>256</v>
      </c>
      <c r="BD68" s="604" t="e">
        <f t="shared" si="50"/>
        <v>#VALUE!</v>
      </c>
      <c r="BE68" s="614">
        <f t="shared" si="40"/>
        <v>176.13108422843862</v>
      </c>
      <c r="BF68" s="614">
        <f t="shared" si="41"/>
        <v>15.226639557574604</v>
      </c>
      <c r="BG68" s="9"/>
      <c r="BH68" s="4" t="e">
        <f t="shared" si="51"/>
        <v>#VALUE!</v>
      </c>
      <c r="BI68" s="386">
        <f t="shared" si="52"/>
        <v>3.5793105366775078</v>
      </c>
      <c r="BJ68" s="386">
        <f t="shared" si="53"/>
        <v>4.0396523417871624</v>
      </c>
      <c r="BK68" s="386">
        <f t="shared" si="54"/>
        <v>0.76887785365149208</v>
      </c>
      <c r="BL68" s="386">
        <f t="shared" si="55"/>
        <v>0.45323619262817955</v>
      </c>
      <c r="BR68" s="18"/>
      <c r="BS68" s="19"/>
    </row>
    <row r="69" spans="1:71" x14ac:dyDescent="0.2">
      <c r="A69" s="23" t="s">
        <v>82</v>
      </c>
      <c r="B69" s="491" t="e">
        <f>1-B68</f>
        <v>#REF!</v>
      </c>
      <c r="C69" s="21" t="s">
        <v>19</v>
      </c>
      <c r="G69">
        <v>60</v>
      </c>
      <c r="H69" s="610">
        <f t="shared" si="0"/>
        <v>20.7</v>
      </c>
      <c r="I69" s="4" t="str">
        <f t="shared" si="1"/>
        <v>BUCK</v>
      </c>
      <c r="J69">
        <f t="shared" si="43"/>
        <v>1</v>
      </c>
      <c r="K69">
        <f t="shared" si="2"/>
        <v>20</v>
      </c>
      <c r="L69" s="4">
        <f t="shared" si="3"/>
        <v>13.741277509393452</v>
      </c>
      <c r="M69" s="4">
        <f t="shared" si="4"/>
        <v>20</v>
      </c>
      <c r="N69" s="386">
        <f t="shared" si="5"/>
        <v>0.62349710982658968</v>
      </c>
      <c r="O69" s="386">
        <f t="shared" si="58"/>
        <v>0</v>
      </c>
      <c r="P69" s="4">
        <f t="shared" si="6"/>
        <v>9.7467562196531787</v>
      </c>
      <c r="Q69" s="386">
        <f t="shared" si="7"/>
        <v>20.196945430776879</v>
      </c>
      <c r="R69" s="386">
        <f t="shared" si="8"/>
        <v>1.0095748807489398</v>
      </c>
      <c r="S69" s="386">
        <f t="shared" si="45"/>
        <v>2.6658571544453253</v>
      </c>
      <c r="T69" s="386">
        <f t="shared" si="46"/>
        <v>3.6754320351942651</v>
      </c>
      <c r="U69" s="4">
        <f t="shared" si="9"/>
        <v>2.8136461635712111</v>
      </c>
      <c r="V69" s="386">
        <f t="shared" si="10"/>
        <v>1.583320946755799E-2</v>
      </c>
      <c r="W69" s="386">
        <f t="shared" si="47"/>
        <v>1.583320946755799E-2</v>
      </c>
      <c r="X69" s="386">
        <f t="shared" si="11"/>
        <v>9.7855912619559469</v>
      </c>
      <c r="Y69" s="386">
        <f t="shared" si="12"/>
        <v>0.19151559269213714</v>
      </c>
      <c r="Z69" s="603">
        <f t="shared" si="48"/>
        <v>0.19151559269213714</v>
      </c>
      <c r="AA69" s="386">
        <f t="shared" si="13"/>
        <v>15.947878357379912</v>
      </c>
      <c r="AB69" s="386">
        <f t="shared" si="14"/>
        <v>0.48323616579339451</v>
      </c>
      <c r="AC69" s="386">
        <f t="shared" si="15"/>
        <v>1.4352399176370347</v>
      </c>
      <c r="AD69">
        <f t="shared" si="16"/>
        <v>0</v>
      </c>
      <c r="AE69" s="386">
        <f t="shared" si="17"/>
        <v>2.1237285740969236</v>
      </c>
      <c r="AF69" s="386">
        <f t="shared" si="18"/>
        <v>12.392811651598374</v>
      </c>
      <c r="AG69" s="386">
        <f t="shared" si="19"/>
        <v>0.29180538320078558</v>
      </c>
      <c r="AH69" s="386">
        <f t="shared" si="20"/>
        <v>0</v>
      </c>
      <c r="AI69" s="386">
        <f t="shared" si="21"/>
        <v>0.30989095285016538</v>
      </c>
      <c r="AJ69" s="386">
        <f t="shared" si="22"/>
        <v>0</v>
      </c>
      <c r="AK69" s="386">
        <f t="shared" si="23"/>
        <v>0</v>
      </c>
      <c r="AL69" s="386">
        <f t="shared" si="24"/>
        <v>0</v>
      </c>
      <c r="AM69">
        <f t="shared" si="25"/>
        <v>0</v>
      </c>
      <c r="AN69" s="386">
        <f t="shared" si="26"/>
        <v>0</v>
      </c>
      <c r="AO69" s="386">
        <f t="shared" si="27"/>
        <v>20.196945430776879</v>
      </c>
      <c r="AP69" s="386">
        <f t="shared" si="28"/>
        <v>0.20395830236688953</v>
      </c>
      <c r="AQ69" s="386">
        <f t="shared" si="29"/>
        <v>0</v>
      </c>
      <c r="AR69" s="386">
        <f t="shared" si="30"/>
        <v>0.21263191108987312</v>
      </c>
      <c r="AS69" s="386">
        <f t="shared" si="31"/>
        <v>0.20395830236688953</v>
      </c>
      <c r="AT69" s="386">
        <f t="shared" si="32"/>
        <v>0.27500000000000002</v>
      </c>
      <c r="AU69" s="386">
        <f t="shared" si="33"/>
        <v>1.4205125000000001</v>
      </c>
      <c r="AV69" s="386">
        <f t="shared" si="34"/>
        <v>0.46074534189597727</v>
      </c>
      <c r="AW69" s="386" t="e">
        <f t="shared" si="35"/>
        <v>#VALUE!</v>
      </c>
      <c r="AX69" s="386">
        <f t="shared" si="36"/>
        <v>3.8400000000000004E-2</v>
      </c>
      <c r="AY69" s="386">
        <f t="shared" si="37"/>
        <v>0.61440000000000006</v>
      </c>
      <c r="AZ69" s="386">
        <f t="shared" si="38"/>
        <v>0.47314285714285709</v>
      </c>
      <c r="BA69" s="386">
        <f t="shared" si="56"/>
        <v>0.65280000000000005</v>
      </c>
      <c r="BB69" s="386" t="e">
        <f t="shared" si="57"/>
        <v>#VALUE!</v>
      </c>
      <c r="BC69">
        <f t="shared" si="39"/>
        <v>256</v>
      </c>
      <c r="BD69" s="604" t="e">
        <f t="shared" si="50"/>
        <v>#VALUE!</v>
      </c>
      <c r="BE69" s="614">
        <f t="shared" si="40"/>
        <v>177.2120537048462</v>
      </c>
      <c r="BF69" s="614">
        <f t="shared" si="41"/>
        <v>15.49454764250827</v>
      </c>
      <c r="BG69" s="9"/>
      <c r="BH69" s="4" t="e">
        <f t="shared" si="51"/>
        <v>#VALUE!</v>
      </c>
      <c r="BI69" s="386">
        <f t="shared" si="52"/>
        <v>3.6754320351942651</v>
      </c>
      <c r="BJ69" s="386">
        <f t="shared" si="53"/>
        <v>4.0667639380369618</v>
      </c>
      <c r="BK69" s="386">
        <f t="shared" si="54"/>
        <v>0.77866007785016544</v>
      </c>
      <c r="BL69" s="386">
        <f t="shared" si="55"/>
        <v>0.46074534189597727</v>
      </c>
      <c r="BR69" s="18"/>
      <c r="BS69" s="19"/>
    </row>
    <row r="70" spans="1:71" x14ac:dyDescent="0.2">
      <c r="A70" s="33" t="s">
        <v>245</v>
      </c>
      <c r="B70" s="491">
        <f>Iripple_Vinnom</f>
        <v>1.6107262569832415</v>
      </c>
      <c r="C70" s="21" t="s">
        <v>2</v>
      </c>
      <c r="G70">
        <v>61</v>
      </c>
      <c r="H70" s="610">
        <f t="shared" si="0"/>
        <v>20.895</v>
      </c>
      <c r="I70" s="4" t="str">
        <f t="shared" si="1"/>
        <v>BUCK</v>
      </c>
      <c r="J70">
        <f t="shared" si="43"/>
        <v>1</v>
      </c>
      <c r="K70">
        <f t="shared" si="2"/>
        <v>20</v>
      </c>
      <c r="L70" s="4">
        <f t="shared" si="3"/>
        <v>13.61303873866688</v>
      </c>
      <c r="M70" s="4">
        <f t="shared" si="4"/>
        <v>20</v>
      </c>
      <c r="N70" s="386">
        <f t="shared" si="5"/>
        <v>0.6176950608446673</v>
      </c>
      <c r="O70" s="386">
        <f t="shared" si="58"/>
        <v>0</v>
      </c>
      <c r="P70" s="4">
        <f t="shared" si="6"/>
        <v>9.8969573428775952</v>
      </c>
      <c r="Q70" s="386">
        <f t="shared" si="7"/>
        <v>20.203031465283328</v>
      </c>
      <c r="R70" s="386">
        <f t="shared" si="8"/>
        <v>1.0102325923348219</v>
      </c>
      <c r="S70" s="386">
        <f t="shared" si="45"/>
        <v>2.761462236549677</v>
      </c>
      <c r="T70" s="386">
        <f t="shared" si="46"/>
        <v>3.7716948288844989</v>
      </c>
      <c r="U70" s="4">
        <f t="shared" si="9"/>
        <v>2.8570054930343116</v>
      </c>
      <c r="V70" s="386">
        <f t="shared" si="10"/>
        <v>1.632496077445646E-2</v>
      </c>
      <c r="W70" s="386">
        <f t="shared" si="47"/>
        <v>1.632496077445646E-2</v>
      </c>
      <c r="X70" s="386">
        <f t="shared" si="11"/>
        <v>9.8176729136859073</v>
      </c>
      <c r="Y70" s="386">
        <f t="shared" si="12"/>
        <v>0.19277340288024389</v>
      </c>
      <c r="Z70" s="603">
        <f t="shared" si="48"/>
        <v>0.19277340288024389</v>
      </c>
      <c r="AA70" s="386">
        <f t="shared" si="13"/>
        <v>15.878285428764002</v>
      </c>
      <c r="AB70" s="386">
        <f t="shared" si="14"/>
        <v>0.47902790149886854</v>
      </c>
      <c r="AC70" s="386">
        <f t="shared" si="15"/>
        <v>1.4487602936727459</v>
      </c>
      <c r="AD70">
        <f t="shared" si="16"/>
        <v>0</v>
      </c>
      <c r="AE70" s="386">
        <f t="shared" si="17"/>
        <v>2.1320505337897875</v>
      </c>
      <c r="AF70" s="386">
        <f t="shared" si="18"/>
        <v>12.491698532622733</v>
      </c>
      <c r="AG70" s="386">
        <f t="shared" si="19"/>
        <v>0.29648081123686498</v>
      </c>
      <c r="AH70" s="386">
        <f t="shared" si="20"/>
        <v>0</v>
      </c>
      <c r="AI70" s="386">
        <f t="shared" si="21"/>
        <v>0.31516913117434237</v>
      </c>
      <c r="AJ70" s="386">
        <f t="shared" si="22"/>
        <v>0</v>
      </c>
      <c r="AK70" s="386">
        <f t="shared" si="23"/>
        <v>0</v>
      </c>
      <c r="AL70" s="386">
        <f t="shared" si="24"/>
        <v>0</v>
      </c>
      <c r="AM70">
        <f t="shared" si="25"/>
        <v>0</v>
      </c>
      <c r="AN70" s="386">
        <f t="shared" si="26"/>
        <v>0</v>
      </c>
      <c r="AO70" s="386">
        <f t="shared" si="27"/>
        <v>20.203031465283328</v>
      </c>
      <c r="AP70" s="386">
        <f t="shared" si="28"/>
        <v>0.20408124019361409</v>
      </c>
      <c r="AQ70" s="386">
        <f t="shared" si="29"/>
        <v>0</v>
      </c>
      <c r="AR70" s="386">
        <f t="shared" si="30"/>
        <v>0.21276553087593689</v>
      </c>
      <c r="AS70" s="386">
        <f t="shared" si="31"/>
        <v>0.20408124019361409</v>
      </c>
      <c r="AT70" s="386">
        <f t="shared" si="32"/>
        <v>0.27500000000000002</v>
      </c>
      <c r="AU70" s="386">
        <f t="shared" si="33"/>
        <v>1.4339187500000001</v>
      </c>
      <c r="AV70" s="386">
        <f t="shared" si="34"/>
        <v>0.46812759668978687</v>
      </c>
      <c r="AW70" s="386" t="e">
        <f t="shared" si="35"/>
        <v>#VALUE!</v>
      </c>
      <c r="AX70" s="386">
        <f t="shared" si="36"/>
        <v>3.8400000000000004E-2</v>
      </c>
      <c r="AY70" s="386">
        <f t="shared" si="37"/>
        <v>0.61440000000000006</v>
      </c>
      <c r="AZ70" s="386">
        <f t="shared" si="38"/>
        <v>0.47314285714285709</v>
      </c>
      <c r="BA70" s="386">
        <f t="shared" si="56"/>
        <v>0.65280000000000005</v>
      </c>
      <c r="BB70" s="386" t="e">
        <f t="shared" si="57"/>
        <v>#VALUE!</v>
      </c>
      <c r="BC70">
        <f t="shared" si="39"/>
        <v>256</v>
      </c>
      <c r="BD70" s="604" t="e">
        <f t="shared" si="50"/>
        <v>#VALUE!</v>
      </c>
      <c r="BE70" s="614">
        <f t="shared" si="40"/>
        <v>178.29846418948938</v>
      </c>
      <c r="BF70" s="614">
        <f t="shared" si="41"/>
        <v>15.758456558717118</v>
      </c>
      <c r="BG70" s="9"/>
      <c r="BH70" s="4" t="e">
        <f t="shared" si="51"/>
        <v>#VALUE!</v>
      </c>
      <c r="BI70" s="386">
        <f t="shared" si="52"/>
        <v>3.7716948288844989</v>
      </c>
      <c r="BJ70" s="386">
        <f t="shared" si="53"/>
        <v>4.0939039458400668</v>
      </c>
      <c r="BK70" s="386">
        <f t="shared" si="54"/>
        <v>0.78836231867434248</v>
      </c>
      <c r="BL70" s="386">
        <f t="shared" si="55"/>
        <v>0.46812759668978687</v>
      </c>
      <c r="BR70" s="18"/>
      <c r="BS70" s="19"/>
    </row>
    <row r="71" spans="1:71" x14ac:dyDescent="0.2">
      <c r="A71" s="14" t="s">
        <v>63</v>
      </c>
      <c r="B71" s="15" t="s">
        <v>8</v>
      </c>
      <c r="C71" s="17" t="s">
        <v>80</v>
      </c>
      <c r="G71">
        <v>62</v>
      </c>
      <c r="H71" s="610">
        <f t="shared" si="0"/>
        <v>21.09</v>
      </c>
      <c r="I71" s="4" t="str">
        <f t="shared" si="1"/>
        <v>BUCK</v>
      </c>
      <c r="J71">
        <f t="shared" si="43"/>
        <v>1</v>
      </c>
      <c r="K71">
        <f t="shared" si="2"/>
        <v>20</v>
      </c>
      <c r="L71" s="4">
        <f t="shared" si="3"/>
        <v>13.487171381908222</v>
      </c>
      <c r="M71" s="4">
        <f t="shared" si="4"/>
        <v>20</v>
      </c>
      <c r="N71" s="386">
        <f t="shared" si="5"/>
        <v>0.6120000000000001</v>
      </c>
      <c r="O71" s="386">
        <f t="shared" si="58"/>
        <v>0</v>
      </c>
      <c r="P71" s="4">
        <f t="shared" si="6"/>
        <v>10.0443888</v>
      </c>
      <c r="Q71" s="386">
        <f t="shared" si="7"/>
        <v>20.209093964445739</v>
      </c>
      <c r="R71" s="386">
        <f t="shared" si="8"/>
        <v>1.0108880211951625</v>
      </c>
      <c r="S71" s="386">
        <f t="shared" si="45"/>
        <v>2.8571627160226796</v>
      </c>
      <c r="T71" s="386">
        <f t="shared" si="46"/>
        <v>3.8680507372178421</v>
      </c>
      <c r="U71" s="4">
        <f t="shared" si="9"/>
        <v>2.8995652887626311</v>
      </c>
      <c r="V71" s="386">
        <f t="shared" si="10"/>
        <v>1.681495772759424E-2</v>
      </c>
      <c r="W71" s="386">
        <f t="shared" si="47"/>
        <v>1.681495772759424E-2</v>
      </c>
      <c r="X71" s="386">
        <f t="shared" si="11"/>
        <v>9.8477817959722191</v>
      </c>
      <c r="Y71" s="386">
        <f t="shared" si="12"/>
        <v>0.19395761260216368</v>
      </c>
      <c r="Z71" s="603">
        <f t="shared" si="48"/>
        <v>0.19395761260216368</v>
      </c>
      <c r="AA71" s="386">
        <f t="shared" si="13"/>
        <v>15.80966087759772</v>
      </c>
      <c r="AB71" s="386">
        <f t="shared" si="14"/>
        <v>0.47489621642282343</v>
      </c>
      <c r="AC71" s="386">
        <f t="shared" si="15"/>
        <v>1.4622806697084572</v>
      </c>
      <c r="AD71">
        <f t="shared" si="16"/>
        <v>0</v>
      </c>
      <c r="AE71" s="386">
        <f t="shared" si="17"/>
        <v>2.1404778528636386</v>
      </c>
      <c r="AF71" s="386">
        <f t="shared" si="18"/>
        <v>12.588173092198616</v>
      </c>
      <c r="AG71" s="386">
        <f t="shared" si="19"/>
        <v>0.3010779934183912</v>
      </c>
      <c r="AH71" s="386">
        <f t="shared" si="20"/>
        <v>0</v>
      </c>
      <c r="AI71" s="386">
        <f t="shared" si="21"/>
        <v>0.3203692176595847</v>
      </c>
      <c r="AJ71" s="386">
        <f t="shared" si="22"/>
        <v>0</v>
      </c>
      <c r="AK71" s="386">
        <f t="shared" si="23"/>
        <v>0</v>
      </c>
      <c r="AL71" s="386">
        <f t="shared" si="24"/>
        <v>0</v>
      </c>
      <c r="AM71">
        <f t="shared" si="25"/>
        <v>0</v>
      </c>
      <c r="AN71" s="386">
        <f t="shared" si="26"/>
        <v>0</v>
      </c>
      <c r="AO71" s="386">
        <f t="shared" si="27"/>
        <v>20.209093964445739</v>
      </c>
      <c r="AP71" s="386">
        <f t="shared" si="28"/>
        <v>0.2042037394318986</v>
      </c>
      <c r="AQ71" s="386">
        <f t="shared" si="29"/>
        <v>0</v>
      </c>
      <c r="AR71" s="386">
        <f t="shared" si="30"/>
        <v>0.21289868077893387</v>
      </c>
      <c r="AS71" s="386">
        <f t="shared" si="31"/>
        <v>0.2042037394318986</v>
      </c>
      <c r="AT71" s="386">
        <f t="shared" si="32"/>
        <v>0.27500000000000002</v>
      </c>
      <c r="AU71" s="386">
        <f t="shared" si="33"/>
        <v>1.4473250000000002</v>
      </c>
      <c r="AV71" s="386">
        <f t="shared" si="34"/>
        <v>0.4753863053974598</v>
      </c>
      <c r="AW71" s="386" t="e">
        <f t="shared" si="35"/>
        <v>#VALUE!</v>
      </c>
      <c r="AX71" s="386">
        <f t="shared" si="36"/>
        <v>3.8400000000000004E-2</v>
      </c>
      <c r="AY71" s="386">
        <f t="shared" si="37"/>
        <v>0.61440000000000006</v>
      </c>
      <c r="AZ71" s="386">
        <f t="shared" si="38"/>
        <v>0.47314285714285709</v>
      </c>
      <c r="BA71" s="386">
        <f t="shared" si="56"/>
        <v>0.65280000000000005</v>
      </c>
      <c r="BB71" s="386" t="e">
        <f t="shared" si="57"/>
        <v>#VALUE!</v>
      </c>
      <c r="BC71">
        <f t="shared" si="39"/>
        <v>256</v>
      </c>
      <c r="BD71" s="604" t="e">
        <f t="shared" si="50"/>
        <v>#VALUE!</v>
      </c>
      <c r="BE71" s="614">
        <f t="shared" si="40"/>
        <v>179.39014264318195</v>
      </c>
      <c r="BF71" s="614">
        <f t="shared" si="41"/>
        <v>16.018460882979234</v>
      </c>
      <c r="BG71" s="9"/>
      <c r="BH71" s="4" t="e">
        <f t="shared" si="51"/>
        <v>#VALUE!</v>
      </c>
      <c r="BI71" s="386">
        <f t="shared" si="52"/>
        <v>3.8680507372178421</v>
      </c>
      <c r="BJ71" s="386">
        <f t="shared" si="53"/>
        <v>4.1210707513021569</v>
      </c>
      <c r="BK71" s="386">
        <f t="shared" si="54"/>
        <v>0.79798646765958481</v>
      </c>
      <c r="BL71" s="386">
        <f t="shared" si="55"/>
        <v>0.4753863053974598</v>
      </c>
      <c r="BR71" s="18"/>
      <c r="BS71" s="19"/>
    </row>
    <row r="72" spans="1:71" x14ac:dyDescent="0.2">
      <c r="A72" s="32" t="s">
        <v>92</v>
      </c>
      <c r="B72" s="492">
        <f>(Qgd_Q1+Qgs_Q1/2)*(RdsonDRT+Rgate1)/(Vdd-Vsp_Q1)*1000000000</f>
        <v>12.771371769383698</v>
      </c>
      <c r="C72" s="21" t="s">
        <v>79</v>
      </c>
      <c r="D72" s="118" t="s">
        <v>719</v>
      </c>
      <c r="G72">
        <v>63</v>
      </c>
      <c r="H72" s="610">
        <f t="shared" si="0"/>
        <v>21.285</v>
      </c>
      <c r="I72" s="4" t="str">
        <f t="shared" si="1"/>
        <v>BUCK</v>
      </c>
      <c r="J72">
        <f t="shared" si="43"/>
        <v>1</v>
      </c>
      <c r="K72">
        <f t="shared" si="2"/>
        <v>20</v>
      </c>
      <c r="L72" s="4">
        <f t="shared" si="3"/>
        <v>13.363610262835069</v>
      </c>
      <c r="M72" s="4">
        <f t="shared" si="4"/>
        <v>20</v>
      </c>
      <c r="N72" s="386">
        <f t="shared" si="5"/>
        <v>0.60640899508081525</v>
      </c>
      <c r="O72" s="386">
        <f t="shared" si="58"/>
        <v>0</v>
      </c>
      <c r="P72" s="4">
        <f t="shared" si="6"/>
        <v>10.189126498945889</v>
      </c>
      <c r="Q72" s="386">
        <f t="shared" si="7"/>
        <v>20.215131087899483</v>
      </c>
      <c r="R72" s="386">
        <f t="shared" si="8"/>
        <v>1.011540965281879</v>
      </c>
      <c r="S72" s="386">
        <f t="shared" si="45"/>
        <v>2.9529135836853313</v>
      </c>
      <c r="T72" s="386">
        <f t="shared" si="46"/>
        <v>3.9644545489672103</v>
      </c>
      <c r="U72" s="4">
        <f t="shared" si="9"/>
        <v>2.9413474634867791</v>
      </c>
      <c r="V72" s="386">
        <f t="shared" si="10"/>
        <v>1.7303049801920219E-2</v>
      </c>
      <c r="W72" s="386">
        <f t="shared" si="47"/>
        <v>1.7303049801920219E-2</v>
      </c>
      <c r="X72" s="386">
        <f t="shared" si="11"/>
        <v>9.8760200183682088</v>
      </c>
      <c r="Y72" s="386">
        <f t="shared" si="12"/>
        <v>0.1950715428064192</v>
      </c>
      <c r="Z72" s="603">
        <f t="shared" si="48"/>
        <v>0.1950715428064192</v>
      </c>
      <c r="AA72" s="386">
        <f t="shared" si="13"/>
        <v>15.741980833218987</v>
      </c>
      <c r="AB72" s="386">
        <f t="shared" si="14"/>
        <v>0.47083892505152447</v>
      </c>
      <c r="AC72" s="386">
        <f t="shared" si="15"/>
        <v>1.4758010457441684</v>
      </c>
      <c r="AD72">
        <f t="shared" si="16"/>
        <v>0</v>
      </c>
      <c r="AE72" s="386">
        <f t="shared" si="17"/>
        <v>2.1490072207443385</v>
      </c>
      <c r="AF72" s="386">
        <f t="shared" si="18"/>
        <v>12.682332764421778</v>
      </c>
      <c r="AG72" s="386">
        <f t="shared" si="19"/>
        <v>0.30559897226029969</v>
      </c>
      <c r="AH72" s="386">
        <f t="shared" si="20"/>
        <v>0</v>
      </c>
      <c r="AI72" s="386">
        <f t="shared" si="21"/>
        <v>0.32549303995811585</v>
      </c>
      <c r="AJ72" s="386">
        <f t="shared" si="22"/>
        <v>0</v>
      </c>
      <c r="AK72" s="386">
        <f t="shared" si="23"/>
        <v>0</v>
      </c>
      <c r="AL72" s="386">
        <f t="shared" si="24"/>
        <v>0</v>
      </c>
      <c r="AM72">
        <f t="shared" si="25"/>
        <v>0</v>
      </c>
      <c r="AN72" s="386">
        <f t="shared" si="26"/>
        <v>0</v>
      </c>
      <c r="AO72" s="386">
        <f t="shared" si="27"/>
        <v>20.215131087899483</v>
      </c>
      <c r="AP72" s="386">
        <f t="shared" si="28"/>
        <v>0.20432576245048006</v>
      </c>
      <c r="AQ72" s="386">
        <f t="shared" si="29"/>
        <v>0</v>
      </c>
      <c r="AR72" s="386">
        <f t="shared" si="30"/>
        <v>0.21303131982009466</v>
      </c>
      <c r="AS72" s="386">
        <f t="shared" si="31"/>
        <v>0.20432576245048006</v>
      </c>
      <c r="AT72" s="386">
        <f t="shared" si="32"/>
        <v>0.27500000000000002</v>
      </c>
      <c r="AU72" s="386">
        <f t="shared" si="33"/>
        <v>1.46073125</v>
      </c>
      <c r="AV72" s="386">
        <f t="shared" si="34"/>
        <v>0.48252469304257845</v>
      </c>
      <c r="AW72" s="386" t="e">
        <f t="shared" si="35"/>
        <v>#VALUE!</v>
      </c>
      <c r="AX72" s="386">
        <f t="shared" si="36"/>
        <v>3.8400000000000004E-2</v>
      </c>
      <c r="AY72" s="386">
        <f t="shared" si="37"/>
        <v>0.61440000000000006</v>
      </c>
      <c r="AZ72" s="386">
        <f t="shared" si="38"/>
        <v>0.47314285714285709</v>
      </c>
      <c r="BA72" s="386">
        <f t="shared" si="56"/>
        <v>0.65280000000000005</v>
      </c>
      <c r="BB72" s="386" t="e">
        <f t="shared" si="57"/>
        <v>#VALUE!</v>
      </c>
      <c r="BC72">
        <f t="shared" si="39"/>
        <v>256</v>
      </c>
      <c r="BD72" s="604" t="e">
        <f t="shared" si="50"/>
        <v>#VALUE!</v>
      </c>
      <c r="BE72" s="614">
        <f t="shared" si="40"/>
        <v>180.48692353721694</v>
      </c>
      <c r="BF72" s="614">
        <f t="shared" si="41"/>
        <v>16.274651997905792</v>
      </c>
      <c r="BG72" s="9"/>
      <c r="BH72" s="4" t="e">
        <f t="shared" si="51"/>
        <v>#VALUE!</v>
      </c>
      <c r="BI72" s="386">
        <f t="shared" si="52"/>
        <v>3.9644545489672103</v>
      </c>
      <c r="BJ72" s="386">
        <f t="shared" si="53"/>
        <v>4.1482628305225493</v>
      </c>
      <c r="BK72" s="386">
        <f t="shared" si="54"/>
        <v>0.80753435245811589</v>
      </c>
      <c r="BL72" s="386">
        <f t="shared" si="55"/>
        <v>0.48252469304257845</v>
      </c>
      <c r="BR72" s="18"/>
      <c r="BS72" s="19"/>
    </row>
    <row r="73" spans="1:71" x14ac:dyDescent="0.2">
      <c r="A73" s="33" t="s">
        <v>93</v>
      </c>
      <c r="B73" s="492">
        <f>(Qgd_Q1+Qgs_Q1/2)*(RdsonDRT2+Rgate1)/(Vsp_Q1)*1000000000</f>
        <v>14.962732919254655</v>
      </c>
      <c r="C73" s="21" t="s">
        <v>79</v>
      </c>
      <c r="D73" s="118" t="s">
        <v>720</v>
      </c>
      <c r="G73">
        <v>64</v>
      </c>
      <c r="H73" s="610">
        <f t="shared" ref="H73:H136" si="59">VIN_min+(VIN_max-VIN_min)*(G73/200)</f>
        <v>21.48</v>
      </c>
      <c r="I73" s="4" t="str">
        <f t="shared" ref="I73:I136" si="60">IF(H73&gt;VIN_BB_to_buck, "BUCK", IF(H73&lt;VIN_boost_to_BB,"BOOST","BUCK-BST"))</f>
        <v>BUCK</v>
      </c>
      <c r="J73">
        <f t="shared" si="43"/>
        <v>1</v>
      </c>
      <c r="K73">
        <f t="shared" ref="K73:K136" si="61">Iout</f>
        <v>20</v>
      </c>
      <c r="L73" s="4">
        <f t="shared" ref="L73:L136" si="62">Vout*K73/(H73*Efficiency)</f>
        <v>13.24229257190151</v>
      </c>
      <c r="M73" s="4">
        <f t="shared" ref="M73:M136" si="63">Iout/(1-O73)</f>
        <v>20</v>
      </c>
      <c r="N73" s="386">
        <f t="shared" ref="N73:N136" si="64">CHOOSE(J73,(Vout+(Rdson2+Rs+Rdcr)*K73)/(H73+(Rs+Rdson2-Rdson1)*K73),1,IF(H73&lt;Vout,D_max_buck_BB,Vout/H73*(1-D_min_boost_exitBB_to_buck)))</f>
        <v>0.60091922005571041</v>
      </c>
      <c r="O73" s="386">
        <f t="shared" si="58"/>
        <v>0</v>
      </c>
      <c r="P73" s="4">
        <f t="shared" ref="P73:P136" si="65">MAX(0, CHOOSE(J73, (H73-(Rdson1+Rdcr)*K73-Vout)*N73/(Fsw*Lf), (H73-(Rdson4+Rdcr+Rs)*L73)*O73/(Fsw*Lf), IF(H73&lt;Vout, (H73-(Rdson4+Rdcr+Rs)*L73)*O73/(0.5*Fsw*Lf),(H73-(Rdson1+Rdcr)*K73-Vout)*N73/(0.5*Fsw*Lf))))</f>
        <v>10.331243598885795</v>
      </c>
      <c r="Q73" s="386">
        <f t="shared" ref="Q73:Q136" si="66">CHOOSE(J73, SQRT(K73^2+(P73^2)/12), SQRT(L73^2+(P73^2)/12), SQRT(M73^2+(P73^2)/12))</f>
        <v>20.221141152886499</v>
      </c>
      <c r="R73" s="386">
        <f t="shared" si="8"/>
        <v>1.0121912392995749</v>
      </c>
      <c r="S73" s="386">
        <f t="shared" ref="S73:S109" si="67">7.759*10^-3*Fsw^0.9458*(0.00787*P73)^2.304</f>
        <v>3.0486726175182919</v>
      </c>
      <c r="T73" s="386">
        <f t="shared" si="46"/>
        <v>4.0608638568178668</v>
      </c>
      <c r="U73" s="4">
        <f t="shared" ref="U73:U136" si="68">IF(H73&gt;Vout, P73/SQRT(12), SQRT(O73/(1-O73))*SQRT(K73^2+(P73^2)/12))</f>
        <v>2.982373136440156</v>
      </c>
      <c r="V73" s="386">
        <f t="shared" si="10"/>
        <v>1.778909904991979E-2</v>
      </c>
      <c r="W73" s="386">
        <f t="shared" si="47"/>
        <v>1.778909904991979E-2</v>
      </c>
      <c r="X73" s="386">
        <f t="shared" ref="X73:X136" si="69">IF(H73&gt;Vout, SQRT(N73*(1-N73))*SQRT(K73^2+(P73^2)/12), P73/SQRT(12))</f>
        <v>9.9024832022114371</v>
      </c>
      <c r="Y73" s="386">
        <f t="shared" si="12"/>
        <v>0.19611834714015935</v>
      </c>
      <c r="Z73" s="603">
        <f t="shared" si="48"/>
        <v>0.19611834714015935</v>
      </c>
      <c r="AA73" s="386">
        <f t="shared" ref="AA73:AA136" si="70">CHOOSE(J73, SQRT(N73)*SQRT(K73^2+(P73^2)/12), SQRT(L73^2+(P73^2)/12), SQRT(N73)*SQRT(M73^2+(P73^2)/12))</f>
        <v>15.675222288234702</v>
      </c>
      <c r="AB73" s="386">
        <f t="shared" ref="AB73:AB136" si="71">Rdson1*AA73^2</f>
        <v>0.46685392819258292</v>
      </c>
      <c r="AC73" s="386">
        <f t="shared" ref="AC73:AC136" si="72">CHOOSE(J73, (H73*K73/2)*(Fsw)*(Tr_buck+Tf_buck), 0, (H73*M73/2)*(Fsw/2)*(Tr_buck+Tf_buck))</f>
        <v>1.4893214217798796</v>
      </c>
      <c r="AD73">
        <f t="shared" ref="AD73:AD136" si="73">IF(H73&gt;Vout, IF(K73&gt;P73/2,0,ABS(K73-P73/2)*Vsd_Q1*Deadtime*Fsw),0)</f>
        <v>0</v>
      </c>
      <c r="AE73" s="386">
        <f t="shared" ref="AE73:AE136" si="74">(AD73+AC73+AB73*(1+RdsonTopTc*Ta-RdsonTopTc*25))/(1-AB73*RdsonTopTc*ThetaJA_Q1)</f>
        <v>2.1576354688174799</v>
      </c>
      <c r="AF73" s="386">
        <f t="shared" ref="AF73:AF136" si="75">CHOOSE(J73, SQRT((1-N73))*SQRT(K73^2+(P73^2)/12), 0, SQRT((1-N73))*SQRT(M73^2+(P73^2)/12))</f>
        <v>12.774269283970412</v>
      </c>
      <c r="AG73" s="386">
        <f t="shared" ref="AG73:AG136" si="76">Rdson2*AF73^2</f>
        <v>0.31004571590484087</v>
      </c>
      <c r="AH73" s="386">
        <f t="shared" ref="AH73:AH136" si="77">CHOOSE(J73, IF(K73&lt;P73/2,Deadtime*Fsw*IF(VfdSky_Q2&gt;0,0,Vsd_Q2)*(K73+P73/2),2*Deadtime*Fsw*IF(VfdSky_Q2&gt;0,0,Vsd_Q2)*K73),0, IF(K73&lt;P73/2,Deadtime*Fsw/2*IF(VfdSky_Q2&gt;0,0,Vsd_Q2)*(K73+P73/2),2*Deadtime*Fsw/2*IF(VfdSky_Q2&gt;0,0,Vsd_Q2)*K73))</f>
        <v>0</v>
      </c>
      <c r="AI73" s="386">
        <f t="shared" ref="AI73:AI136" si="78">(AH73+AG73*(1+RdsonBotTc*Ta-RdsonBotTc*25))/(1-AG73*RdsonBotTc*ThetaJA_Q2)</f>
        <v>0.33054236472654502</v>
      </c>
      <c r="AJ73" s="386">
        <f t="shared" ref="AJ73:AJ136" si="79">CHOOSE(J73, 0, SQRT(O73)*SQRT(L73^2+(P73^2)/12), SQRT(O73)*SQRT(M73^2+(P73^2)/12))</f>
        <v>0</v>
      </c>
      <c r="AK73" s="386">
        <f t="shared" ref="AK73:AK136" si="80">Rdson4*AJ73^2</f>
        <v>0</v>
      </c>
      <c r="AL73" s="386">
        <f t="shared" ref="AL73:AL136" si="81">CHOOSE(J73, 0, (Vout*L73/2)*(Fsw)*(Tr_boost+Tf_boost), (Vout*Iout/2)*(Fsw/2)*(Tr_boost+Tf_boost))</f>
        <v>0</v>
      </c>
      <c r="AM73">
        <f t="shared" ref="AM73:AM136" si="82">IF(H73&gt;Vout, 0, IF(L73&gt;P73/2,0,ABS(L73-P73/2)*Vsd_Q4*Deadtime*Fsw))</f>
        <v>0</v>
      </c>
      <c r="AN73" s="386">
        <f t="shared" ref="AN73:AN136" si="83">(AM73+AL73+AK73*(1+RdsonTopTc*Ta-RdsonTopTc*25))/(1-AK73*RdsonTopTc*ThetaJA_Q4)</f>
        <v>0</v>
      </c>
      <c r="AO73" s="386">
        <f t="shared" ref="AO73:AO136" si="84">CHOOSE(J73, SQRT(Iout^2+(P73^2)/12), SQRT(1-O73)*SQRT(L73^2+(P73^2)/12), SQRT(1-O73)*SQRT(M73^2+(P73^2)/12))</f>
        <v>20.221141152886499</v>
      </c>
      <c r="AP73" s="386">
        <f t="shared" ref="AP73:AP136" si="85">Rdson3*AO73^2</f>
        <v>0.20444727476247998</v>
      </c>
      <c r="AQ73" s="386">
        <f t="shared" ref="AQ73:AQ136" si="86">CHOOSE(J73, 0, IF(L73&lt;P73/2,Deadtime*Fsw*IF(VfdSky_Q3&gt;0,0,Vsd_Q3)*(L73+P73/2), 2*Deadtime*Fsw*IF(VfdSky_Q3&gt;0,0,Vsd_Q3)*L73), IF(L73&lt;P73/2,Deadtime*Fsw/2*IF(VfdSky_Q3&gt;0,0,Vsd_Q3)*(L73+P73/2), 2*Deadtime*Fsw/2*IF(VfdSky_Q3&gt;0,0,Vsd_Q3)*L73))</f>
        <v>0</v>
      </c>
      <c r="AR73" s="386">
        <f t="shared" ref="AR73:AR136" si="87">(AQ73+AP73*(1+RdsonBotTc*Ta-RdsonBotTc*25))/(1-AP73*RdsonBotTc*ThetaJA_Q3)</f>
        <v>0.21316341043081102</v>
      </c>
      <c r="AS73" s="386">
        <f t="shared" ref="AS73:AS136" si="88">CHOOSE(J73, Rdson3*Q73^2, Rdson1*Q73^2, 0)</f>
        <v>0.20444727476247998</v>
      </c>
      <c r="AT73" s="386">
        <f t="shared" ref="AT73:AT136" si="89">CHOOSE(J73, 2*Deadtime*Fsw*IF(VfdSky_Q2&gt;0,VfdSky_Q2,0)*K73, 2*Deadtime*Fsw*IF(VfdSky_Q3&gt;0,VfdSky_Q3,0)*L73, 2*Deadtime*Fsw/2*IF(VfdSky_Q2&gt;0,VfdSky_Q2,0)*K73+2*Deadtime*Fsw/2*IF(VfdSky_Q3&gt;0,VfdSky_Q3,0)*L73)</f>
        <v>0.27500000000000002</v>
      </c>
      <c r="AU73" s="386">
        <f t="shared" ref="AU73:AU136" si="90">CHOOSE(J73, IF(QrrSky_Q2&gt;0,QrrSky_Q2,Qrr_Q2)*Fsw*(H73-K73*Rdson1), IF(QrrSky_Q3&gt;0,QrrSky_Q3,Qrr_Q3)*Fsw*Vout,  IF(QrrSky_Q2&gt;0,QrrSky_Q2,Qrr_Q2)*Fsw/2*(H73-K73*Rdson1)+IF(QrrSky_Q3&gt;0,QrrSky_Q3,Qrr_Q3)*Fsw/2*Vout)</f>
        <v>1.4741375000000001</v>
      </c>
      <c r="AV73" s="386">
        <f t="shared" ref="AV73:AV136" si="91">CHOOSE(J73, Rs*AF73^2, Rs*AJ73^2, Rs*(AF73^2+AJ73^2))</f>
        <v>0.48954586721816984</v>
      </c>
      <c r="AW73" s="386" t="e">
        <f t="shared" ref="AW73:AW136" si="92">Rshunt_std/1000*Iout^2</f>
        <v>#VALUE!</v>
      </c>
      <c r="AX73" s="386">
        <f t="shared" ref="AX73:AX136" si="93">IF(Vout&gt;8, Iq*Vout, Iq*H73)</f>
        <v>3.8400000000000004E-2</v>
      </c>
      <c r="AY73" s="386">
        <f t="shared" ref="AY73:AY136" si="94">CHOOSE(J73, (Qg_Q1+Qg_Q2)*Fsw, (Qg_Q3+Qg_Q4)*Fsw, (Qg_Q1+Qg_Q2+Qg_Q3+Qg_Q4)*Fsw/2)*IF(Vout&gt;8, Vout, H73)</f>
        <v>0.61440000000000006</v>
      </c>
      <c r="AZ73" s="386">
        <f t="shared" ref="AZ73:AZ136" si="95">(Vin-Vdd)*Fsw*(Qg_Q1+Qg_Q2)+(RdsonDRT+RdsonDRT2)*Fsw*Qg_Q1*Vdd/(RdsonDRT+2*Rgate1+RdsonDRT2)+(RdsonDRB+RdsonDRB2)*Fsw*Qg_Q2*Vdd/(RdsonDRB+2*Rgate2+RdsonDRB2)</f>
        <v>0.47314285714285709</v>
      </c>
      <c r="BA73" s="386">
        <f t="shared" si="56"/>
        <v>0.65280000000000005</v>
      </c>
      <c r="BB73" s="386" t="e">
        <f t="shared" si="57"/>
        <v>#VALUE!</v>
      </c>
      <c r="BC73">
        <f t="shared" ref="BC73:BC136" si="96">Vout*K73</f>
        <v>256</v>
      </c>
      <c r="BD73" s="604" t="e">
        <f t="shared" si="50"/>
        <v>#VALUE!</v>
      </c>
      <c r="BE73" s="614">
        <f t="shared" ref="BE73:BE136" si="97">IF(H73&gt;Vout,ThetaJA_Q1*(AE73+AU73),ThetaJA_Q4*(AN73+AU73))</f>
        <v>181.58864844087401</v>
      </c>
      <c r="BF73" s="614">
        <f t="shared" ref="BF73:BF136" si="98">IF(H73&gt;Vout, AI73*ThetaJA_Q2, ThetaJA_Q3*AR73)</f>
        <v>16.527118236327251</v>
      </c>
      <c r="BG73" s="9"/>
      <c r="BH73" s="4" t="e">
        <f t="shared" si="51"/>
        <v>#VALUE!</v>
      </c>
      <c r="BI73" s="386">
        <f t="shared" si="52"/>
        <v>4.0608638568178668</v>
      </c>
      <c r="BJ73" s="386">
        <f t="shared" si="53"/>
        <v>4.1754787439748355</v>
      </c>
      <c r="BK73" s="386">
        <f t="shared" si="54"/>
        <v>0.81700773972654506</v>
      </c>
      <c r="BL73" s="386">
        <f t="shared" si="55"/>
        <v>0.48954586721816984</v>
      </c>
      <c r="BR73" s="18"/>
      <c r="BS73" s="19"/>
    </row>
    <row r="74" spans="1:71" x14ac:dyDescent="0.2">
      <c r="A74" s="14" t="s">
        <v>118</v>
      </c>
      <c r="B74" s="15" t="s">
        <v>8</v>
      </c>
      <c r="C74" s="17" t="s">
        <v>80</v>
      </c>
      <c r="G74">
        <v>65</v>
      </c>
      <c r="H74" s="610">
        <f t="shared" si="59"/>
        <v>21.675000000000001</v>
      </c>
      <c r="I74" s="4" t="str">
        <f t="shared" si="60"/>
        <v>BUCK</v>
      </c>
      <c r="J74">
        <f t="shared" ref="J74:J137" si="99">IF(I74="BOOST",2, IF(I74="BUCK", 1,3))</f>
        <v>1</v>
      </c>
      <c r="K74">
        <f t="shared" si="61"/>
        <v>20</v>
      </c>
      <c r="L74" s="4">
        <f t="shared" si="62"/>
        <v>13.12315775983596</v>
      </c>
      <c r="M74" s="4">
        <f t="shared" si="63"/>
        <v>20</v>
      </c>
      <c r="N74" s="386">
        <f t="shared" si="64"/>
        <v>0.59552795031055905</v>
      </c>
      <c r="O74" s="386">
        <f t="shared" ref="O74:O105" si="100">CHOOSE(J74,0,(Vout+(Rdson3+Rdcr)*L74-H74)/(Vout+(Rdson3-Rdson4-Rs)*L74),IF(H74&gt;Vout,D_min_boost_exitBB_to_buck, (Vout-H74*D_max_buck_BB)/Vout))</f>
        <v>0</v>
      </c>
      <c r="P74" s="4">
        <f t="shared" si="65"/>
        <v>10.470810633540374</v>
      </c>
      <c r="Q74" s="386">
        <f t="shared" si="66"/>
        <v>20.227122623109015</v>
      </c>
      <c r="R74" s="386">
        <f t="shared" ref="R74:R109" si="101">(Q74^2*Rdcr*(1+Ltc*Ta-Ltc*25))/(1-Q74^2*Rdcr*Ltc*ThetaCa)</f>
        <v>1.0128386735354746</v>
      </c>
      <c r="S74" s="386">
        <f t="shared" si="67"/>
        <v>3.144400227300026</v>
      </c>
      <c r="T74" s="386">
        <f t="shared" ref="T74:T109" si="102">R74+S74</f>
        <v>4.1572389008355008</v>
      </c>
      <c r="U74" s="4">
        <f t="shared" si="68"/>
        <v>3.0226626689540654</v>
      </c>
      <c r="V74" s="386">
        <f t="shared" ref="V74:V109" si="103">RCoutEsr*U74^2</f>
        <v>1.8272979220577027E-2</v>
      </c>
      <c r="W74" s="386">
        <f t="shared" ref="W74:W109" si="104">V74</f>
        <v>1.8272979220577027E-2</v>
      </c>
      <c r="X74" s="386">
        <f t="shared" si="69"/>
        <v>9.9272609935780736</v>
      </c>
      <c r="Y74" s="386">
        <f t="shared" ref="Y74:Y109" si="105">RCinEsr*X74^2</f>
        <v>0.19710102166923343</v>
      </c>
      <c r="Z74" s="603">
        <f t="shared" ref="Z74:Z109" si="106">Y74</f>
        <v>0.19710102166923343</v>
      </c>
      <c r="AA74" s="386">
        <f t="shared" si="70"/>
        <v>15.609363057308663</v>
      </c>
      <c r="AB74" s="386">
        <f t="shared" si="71"/>
        <v>0.46293920860425763</v>
      </c>
      <c r="AC74" s="386">
        <f t="shared" si="72"/>
        <v>1.5028417978155908</v>
      </c>
      <c r="AD74">
        <f t="shared" si="73"/>
        <v>0</v>
      </c>
      <c r="AE74" s="386">
        <f t="shared" si="74"/>
        <v>2.1663595627237702</v>
      </c>
      <c r="AF74" s="386">
        <f t="shared" si="75"/>
        <v>12.864069128989321</v>
      </c>
      <c r="AG74" s="386">
        <f t="shared" si="76"/>
        <v>0.31442012165529054</v>
      </c>
      <c r="AH74" s="386">
        <f t="shared" si="77"/>
        <v>0</v>
      </c>
      <c r="AI74" s="386">
        <f t="shared" si="78"/>
        <v>0.33551890034832443</v>
      </c>
      <c r="AJ74" s="386">
        <f t="shared" si="79"/>
        <v>0</v>
      </c>
      <c r="AK74" s="386">
        <f t="shared" si="80"/>
        <v>0</v>
      </c>
      <c r="AL74" s="386">
        <f t="shared" si="81"/>
        <v>0</v>
      </c>
      <c r="AM74">
        <f t="shared" si="82"/>
        <v>0</v>
      </c>
      <c r="AN74" s="386">
        <f t="shared" si="83"/>
        <v>0</v>
      </c>
      <c r="AO74" s="386">
        <f t="shared" si="84"/>
        <v>20.227122623109015</v>
      </c>
      <c r="AP74" s="386">
        <f t="shared" si="85"/>
        <v>0.20456824480514424</v>
      </c>
      <c r="AQ74" s="386">
        <f t="shared" si="86"/>
        <v>0</v>
      </c>
      <c r="AR74" s="386">
        <f t="shared" si="87"/>
        <v>0.21329491821412846</v>
      </c>
      <c r="AS74" s="386">
        <f t="shared" si="88"/>
        <v>0.20456824480514424</v>
      </c>
      <c r="AT74" s="386">
        <f t="shared" si="89"/>
        <v>0.27500000000000002</v>
      </c>
      <c r="AU74" s="386">
        <f t="shared" si="90"/>
        <v>1.4875437500000002</v>
      </c>
      <c r="AV74" s="386">
        <f t="shared" si="91"/>
        <v>0.49645282366624827</v>
      </c>
      <c r="AW74" s="386" t="e">
        <f t="shared" si="92"/>
        <v>#VALUE!</v>
      </c>
      <c r="AX74" s="386">
        <f t="shared" si="93"/>
        <v>3.8400000000000004E-2</v>
      </c>
      <c r="AY74" s="386">
        <f t="shared" si="94"/>
        <v>0.61440000000000006</v>
      </c>
      <c r="AZ74" s="386">
        <f t="shared" si="95"/>
        <v>0.47314285714285709</v>
      </c>
      <c r="BA74" s="386">
        <f t="shared" si="56"/>
        <v>0.65280000000000005</v>
      </c>
      <c r="BB74" s="386" t="e">
        <f t="shared" si="57"/>
        <v>#VALUE!</v>
      </c>
      <c r="BC74">
        <f t="shared" si="96"/>
        <v>256</v>
      </c>
      <c r="BD74" s="604" t="e">
        <f t="shared" ref="BD74:BD109" si="107">BC74/(BC74+BB74)</f>
        <v>#VALUE!</v>
      </c>
      <c r="BE74" s="614">
        <f t="shared" si="97"/>
        <v>182.69516563618851</v>
      </c>
      <c r="BF74" s="614">
        <f t="shared" si="98"/>
        <v>16.775945017416223</v>
      </c>
      <c r="BG74" s="9"/>
      <c r="BH74" s="4" t="e">
        <f t="shared" ref="BH74:BH109" si="108">BD74*100</f>
        <v>#VALUE!</v>
      </c>
      <c r="BI74" s="386">
        <f t="shared" ref="BI74:BI109" si="109">T74</f>
        <v>4.1572389008355008</v>
      </c>
      <c r="BJ74" s="386">
        <f t="shared" ref="BJ74:BJ109" si="110">AE74+AI74+AN74+AR74+AU74</f>
        <v>4.2027171312862235</v>
      </c>
      <c r="BK74" s="386">
        <f t="shared" ref="BK74:BK109" si="111">AI74+AU74*0.33</f>
        <v>0.82640833784832446</v>
      </c>
      <c r="BL74" s="386">
        <f t="shared" ref="BL74:BL109" si="112">AV74</f>
        <v>0.49645282366624827</v>
      </c>
      <c r="BR74" s="18"/>
      <c r="BS74" s="19"/>
    </row>
    <row r="75" spans="1:71" x14ac:dyDescent="0.2">
      <c r="A75" s="34" t="s">
        <v>119</v>
      </c>
      <c r="B75" s="80">
        <f>BA9</f>
        <v>0.66560000000000008</v>
      </c>
      <c r="C75" s="81" t="s">
        <v>120</v>
      </c>
      <c r="G75">
        <v>66</v>
      </c>
      <c r="H75" s="610">
        <f t="shared" si="59"/>
        <v>21.87</v>
      </c>
      <c r="I75" s="4" t="str">
        <f t="shared" si="60"/>
        <v>BUCK</v>
      </c>
      <c r="J75">
        <f t="shared" si="99"/>
        <v>1</v>
      </c>
      <c r="K75">
        <f t="shared" si="61"/>
        <v>20</v>
      </c>
      <c r="L75" s="4">
        <f t="shared" si="62"/>
        <v>13.006147436874461</v>
      </c>
      <c r="M75" s="4">
        <f t="shared" si="63"/>
        <v>20</v>
      </c>
      <c r="N75" s="386">
        <f t="shared" si="64"/>
        <v>0.5902325581395349</v>
      </c>
      <c r="O75" s="386">
        <f t="shared" si="100"/>
        <v>0</v>
      </c>
      <c r="P75" s="4">
        <f t="shared" si="65"/>
        <v>10.607895627906977</v>
      </c>
      <c r="Q75" s="386">
        <f t="shared" si="66"/>
        <v>20.233074098392645</v>
      </c>
      <c r="R75" s="386">
        <f t="shared" si="101"/>
        <v>1.0134831127739554</v>
      </c>
      <c r="S75" s="386">
        <f t="shared" si="67"/>
        <v>3.2400593076204163</v>
      </c>
      <c r="T75" s="386">
        <f t="shared" si="102"/>
        <v>4.2535424203943712</v>
      </c>
      <c r="U75" s="4">
        <f t="shared" si="68"/>
        <v>3.0622356981537737</v>
      </c>
      <c r="V75" s="386">
        <f t="shared" si="103"/>
        <v>1.8754574942094659E-2</v>
      </c>
      <c r="W75" s="386">
        <f t="shared" si="104"/>
        <v>1.8754574942094659E-2</v>
      </c>
      <c r="X75" s="386">
        <f t="shared" si="69"/>
        <v>9.9504375268183516</v>
      </c>
      <c r="Y75" s="386">
        <f t="shared" si="105"/>
        <v>0.19802241395022985</v>
      </c>
      <c r="Z75" s="603">
        <f t="shared" si="106"/>
        <v>0.19802241395022985</v>
      </c>
      <c r="AA75" s="386">
        <f t="shared" si="70"/>
        <v>15.544381738372872</v>
      </c>
      <c r="AB75" s="386">
        <f t="shared" si="71"/>
        <v>0.45909282689369402</v>
      </c>
      <c r="AC75" s="386">
        <f t="shared" si="72"/>
        <v>1.5163621738513022</v>
      </c>
      <c r="AD75">
        <f t="shared" si="73"/>
        <v>0</v>
      </c>
      <c r="AE75" s="386">
        <f t="shared" si="74"/>
        <v>2.1751765951577946</v>
      </c>
      <c r="AF75" s="386">
        <f t="shared" si="75"/>
        <v>12.951813920945101</v>
      </c>
      <c r="AG75" s="386">
        <f t="shared" si="76"/>
        <v>0.31872401930129585</v>
      </c>
      <c r="AH75" s="386">
        <f t="shared" si="77"/>
        <v>0</v>
      </c>
      <c r="AI75" s="386">
        <f t="shared" si="78"/>
        <v>0.34042429950233855</v>
      </c>
      <c r="AJ75" s="386">
        <f t="shared" si="79"/>
        <v>0</v>
      </c>
      <c r="AK75" s="386">
        <f t="shared" si="80"/>
        <v>0</v>
      </c>
      <c r="AL75" s="386">
        <f t="shared" si="81"/>
        <v>0</v>
      </c>
      <c r="AM75">
        <f t="shared" si="82"/>
        <v>0</v>
      </c>
      <c r="AN75" s="386">
        <f t="shared" si="83"/>
        <v>0</v>
      </c>
      <c r="AO75" s="386">
        <f t="shared" si="84"/>
        <v>20.233074098392645</v>
      </c>
      <c r="AP75" s="386">
        <f t="shared" si="85"/>
        <v>0.20468864373552367</v>
      </c>
      <c r="AQ75" s="386">
        <f t="shared" si="86"/>
        <v>0</v>
      </c>
      <c r="AR75" s="386">
        <f t="shared" si="87"/>
        <v>0.21342581172349059</v>
      </c>
      <c r="AS75" s="386">
        <f t="shared" si="88"/>
        <v>0.20468864373552367</v>
      </c>
      <c r="AT75" s="386">
        <f t="shared" si="89"/>
        <v>0.27500000000000002</v>
      </c>
      <c r="AU75" s="386">
        <f t="shared" si="90"/>
        <v>1.5009500000000002</v>
      </c>
      <c r="AV75" s="386">
        <f t="shared" si="91"/>
        <v>0.50324845152836195</v>
      </c>
      <c r="AW75" s="386" t="e">
        <f t="shared" si="92"/>
        <v>#VALUE!</v>
      </c>
      <c r="AX75" s="386">
        <f t="shared" si="93"/>
        <v>3.8400000000000004E-2</v>
      </c>
      <c r="AY75" s="386">
        <f t="shared" si="94"/>
        <v>0.61440000000000006</v>
      </c>
      <c r="AZ75" s="386">
        <f t="shared" si="95"/>
        <v>0.47314285714285709</v>
      </c>
      <c r="BA75" s="386">
        <f t="shared" ref="BA75:BA109" si="113">SUM(AX75:AY75)</f>
        <v>0.65280000000000005</v>
      </c>
      <c r="BB75" s="386" t="e">
        <f t="shared" ref="BB75:BB109" si="114">SUM(T75,W75,Z75,AE75,AI75,AN75,AR75, AT75,AU75,BA75,AV75,AW75)</f>
        <v>#VALUE!</v>
      </c>
      <c r="BC75">
        <f t="shared" si="96"/>
        <v>256</v>
      </c>
      <c r="BD75" s="604" t="e">
        <f t="shared" si="107"/>
        <v>#VALUE!</v>
      </c>
      <c r="BE75" s="614">
        <f t="shared" si="97"/>
        <v>183.80632975788976</v>
      </c>
      <c r="BF75" s="614">
        <f t="shared" si="98"/>
        <v>17.021214975116926</v>
      </c>
      <c r="BG75" s="9"/>
      <c r="BH75" s="4" t="e">
        <f t="shared" si="108"/>
        <v>#VALUE!</v>
      </c>
      <c r="BI75" s="386">
        <f t="shared" si="109"/>
        <v>4.2535424203943712</v>
      </c>
      <c r="BJ75" s="386">
        <f t="shared" si="110"/>
        <v>4.2299767063836242</v>
      </c>
      <c r="BK75" s="386">
        <f t="shared" si="111"/>
        <v>0.83573779950233862</v>
      </c>
      <c r="BL75" s="386">
        <f t="shared" si="112"/>
        <v>0.50324845152836195</v>
      </c>
      <c r="BR75" s="18"/>
      <c r="BS75" s="19"/>
    </row>
    <row r="76" spans="1:71" x14ac:dyDescent="0.2">
      <c r="A76" s="34" t="s">
        <v>123</v>
      </c>
      <c r="B76" s="79">
        <f>B75*B62</f>
        <v>19.968000000000004</v>
      </c>
      <c r="C76" s="482" t="s">
        <v>673</v>
      </c>
      <c r="G76">
        <v>67</v>
      </c>
      <c r="H76" s="610">
        <f t="shared" si="59"/>
        <v>22.065000000000001</v>
      </c>
      <c r="I76" s="4" t="str">
        <f t="shared" si="60"/>
        <v>BUCK</v>
      </c>
      <c r="J76">
        <f t="shared" si="99"/>
        <v>1</v>
      </c>
      <c r="K76">
        <f t="shared" si="61"/>
        <v>20</v>
      </c>
      <c r="L76" s="4">
        <f t="shared" si="62"/>
        <v>12.891205277337159</v>
      </c>
      <c r="M76" s="4">
        <f t="shared" si="63"/>
        <v>20</v>
      </c>
      <c r="N76" s="386">
        <f t="shared" si="64"/>
        <v>0.58503050847457638</v>
      </c>
      <c r="O76" s="386">
        <f t="shared" si="100"/>
        <v>0</v>
      </c>
      <c r="P76" s="4">
        <f t="shared" si="65"/>
        <v>10.742564208813562</v>
      </c>
      <c r="Q76" s="386">
        <f t="shared" si="66"/>
        <v>20.238994305095964</v>
      </c>
      <c r="R76" s="386">
        <f t="shared" si="101"/>
        <v>1.0141244152890894</v>
      </c>
      <c r="S76" s="386">
        <f t="shared" si="67"/>
        <v>3.3356150988792161</v>
      </c>
      <c r="T76" s="386">
        <f t="shared" si="102"/>
        <v>4.3497395141683057</v>
      </c>
      <c r="U76" s="4">
        <f t="shared" si="68"/>
        <v>3.1011111688726749</v>
      </c>
      <c r="V76" s="386">
        <f t="shared" si="103"/>
        <v>1.9233780963413698E-2</v>
      </c>
      <c r="W76" s="386">
        <f t="shared" si="104"/>
        <v>1.9233780963413698E-2</v>
      </c>
      <c r="X76" s="386">
        <f t="shared" si="69"/>
        <v>9.9720918443291175</v>
      </c>
      <c r="Y76" s="386">
        <f t="shared" si="105"/>
        <v>0.19888523150347062</v>
      </c>
      <c r="Z76" s="603">
        <f t="shared" si="106"/>
        <v>0.19888523150347062</v>
      </c>
      <c r="AA76" s="386">
        <f t="shared" si="70"/>
        <v>15.480257676094666</v>
      </c>
      <c r="AB76" s="386">
        <f t="shared" si="71"/>
        <v>0.45531291766474691</v>
      </c>
      <c r="AC76" s="386">
        <f t="shared" si="72"/>
        <v>1.5298825498870132</v>
      </c>
      <c r="AD76">
        <f t="shared" si="73"/>
        <v>0</v>
      </c>
      <c r="AE76" s="386">
        <f t="shared" si="74"/>
        <v>2.1840837791319201</v>
      </c>
      <c r="AF76" s="386">
        <f t="shared" si="75"/>
        <v>13.03758078645801</v>
      </c>
      <c r="AG76" s="386">
        <f t="shared" si="76"/>
        <v>0.32295917425049625</v>
      </c>
      <c r="AH76" s="386">
        <f t="shared" si="77"/>
        <v>0</v>
      </c>
      <c r="AI76" s="386">
        <f t="shared" si="78"/>
        <v>0.34526016158811429</v>
      </c>
      <c r="AJ76" s="386">
        <f t="shared" si="79"/>
        <v>0</v>
      </c>
      <c r="AK76" s="386">
        <f t="shared" si="80"/>
        <v>0</v>
      </c>
      <c r="AL76" s="386">
        <f t="shared" si="81"/>
        <v>0</v>
      </c>
      <c r="AM76">
        <f t="shared" si="82"/>
        <v>0</v>
      </c>
      <c r="AN76" s="386">
        <f t="shared" si="83"/>
        <v>0</v>
      </c>
      <c r="AO76" s="386">
        <f t="shared" si="84"/>
        <v>20.238994305095964</v>
      </c>
      <c r="AP76" s="386">
        <f t="shared" si="85"/>
        <v>0.20480844524085345</v>
      </c>
      <c r="AQ76" s="386">
        <f t="shared" si="86"/>
        <v>0</v>
      </c>
      <c r="AR76" s="386">
        <f t="shared" si="87"/>
        <v>0.21355606225739254</v>
      </c>
      <c r="AS76" s="386">
        <f t="shared" si="88"/>
        <v>0.20480844524085345</v>
      </c>
      <c r="AT76" s="386">
        <f t="shared" si="89"/>
        <v>0.27500000000000002</v>
      </c>
      <c r="AU76" s="386">
        <f t="shared" si="90"/>
        <v>1.5143562500000003</v>
      </c>
      <c r="AV76" s="386">
        <f t="shared" si="91"/>
        <v>0.50993553829025728</v>
      </c>
      <c r="AW76" s="386" t="e">
        <f t="shared" si="92"/>
        <v>#VALUE!</v>
      </c>
      <c r="AX76" s="386">
        <f t="shared" si="93"/>
        <v>3.8400000000000004E-2</v>
      </c>
      <c r="AY76" s="386">
        <f t="shared" si="94"/>
        <v>0.61440000000000006</v>
      </c>
      <c r="AZ76" s="386">
        <f t="shared" si="95"/>
        <v>0.47314285714285709</v>
      </c>
      <c r="BA76" s="386">
        <f t="shared" si="113"/>
        <v>0.65280000000000005</v>
      </c>
      <c r="BB76" s="386" t="e">
        <f t="shared" si="114"/>
        <v>#VALUE!</v>
      </c>
      <c r="BC76">
        <f t="shared" si="96"/>
        <v>256</v>
      </c>
      <c r="BD76" s="604" t="e">
        <f t="shared" si="107"/>
        <v>#VALUE!</v>
      </c>
      <c r="BE76" s="614">
        <f t="shared" si="97"/>
        <v>184.92200145659604</v>
      </c>
      <c r="BF76" s="614">
        <f t="shared" si="98"/>
        <v>17.263008079405715</v>
      </c>
      <c r="BG76" s="9"/>
      <c r="BH76" s="4" t="e">
        <f t="shared" si="108"/>
        <v>#VALUE!</v>
      </c>
      <c r="BI76" s="386">
        <f t="shared" si="109"/>
        <v>4.3497395141683057</v>
      </c>
      <c r="BJ76" s="386">
        <f t="shared" si="110"/>
        <v>4.2572562529774274</v>
      </c>
      <c r="BK76" s="386">
        <f t="shared" si="111"/>
        <v>0.84499772408811435</v>
      </c>
      <c r="BL76" s="386">
        <f t="shared" si="112"/>
        <v>0.50993553829025728</v>
      </c>
      <c r="BR76" s="18"/>
      <c r="BS76" s="19"/>
    </row>
    <row r="77" spans="1:71" x14ac:dyDescent="0.2">
      <c r="A77" s="34" t="s">
        <v>246</v>
      </c>
      <c r="B77" s="79">
        <f>(Qg_Q1+Qg_Q2)*Fsw+Iq</f>
        <v>5.1000000000000004E-2</v>
      </c>
      <c r="C77" s="21" t="s">
        <v>2</v>
      </c>
      <c r="G77">
        <v>68</v>
      </c>
      <c r="H77" s="610">
        <f t="shared" si="59"/>
        <v>22.26</v>
      </c>
      <c r="I77" s="4" t="str">
        <f t="shared" si="60"/>
        <v>BUCK</v>
      </c>
      <c r="J77">
        <f t="shared" si="99"/>
        <v>1</v>
      </c>
      <c r="K77">
        <f t="shared" si="61"/>
        <v>20</v>
      </c>
      <c r="L77" s="4">
        <f t="shared" si="62"/>
        <v>12.778276929220324</v>
      </c>
      <c r="M77" s="4">
        <f t="shared" si="63"/>
        <v>20</v>
      </c>
      <c r="N77" s="386">
        <f t="shared" si="64"/>
        <v>0.57991935483870971</v>
      </c>
      <c r="O77" s="386">
        <f t="shared" si="100"/>
        <v>0</v>
      </c>
      <c r="P77" s="4">
        <f t="shared" si="65"/>
        <v>10.874879709677421</v>
      </c>
      <c r="Q77" s="386">
        <f t="shared" si="66"/>
        <v>20.244882087209007</v>
      </c>
      <c r="R77" s="386">
        <f t="shared" si="101"/>
        <v>1.0147624519091705</v>
      </c>
      <c r="S77" s="386">
        <f t="shared" si="67"/>
        <v>3.4310350558840277</v>
      </c>
      <c r="T77" s="386">
        <f t="shared" si="102"/>
        <v>4.4457975077931984</v>
      </c>
      <c r="U77" s="4">
        <f t="shared" si="68"/>
        <v>3.1393073638935292</v>
      </c>
      <c r="V77" s="386">
        <f t="shared" si="103"/>
        <v>1.9710501449992278E-2</v>
      </c>
      <c r="W77" s="386">
        <f t="shared" si="104"/>
        <v>1.9710501449992278E-2</v>
      </c>
      <c r="X77" s="386">
        <f t="shared" si="69"/>
        <v>9.9922982774687661</v>
      </c>
      <c r="Y77" s="386">
        <f t="shared" si="105"/>
        <v>0.19969204973181054</v>
      </c>
      <c r="Z77" s="603">
        <f t="shared" si="106"/>
        <v>0.19969204973181054</v>
      </c>
      <c r="AA77" s="386">
        <f t="shared" si="70"/>
        <v>15.416970927445421</v>
      </c>
      <c r="AB77" s="386">
        <f t="shared" si="71"/>
        <v>0.45159768589762489</v>
      </c>
      <c r="AC77" s="386">
        <f t="shared" si="72"/>
        <v>1.5434029259227247</v>
      </c>
      <c r="AD77">
        <f t="shared" si="73"/>
        <v>0</v>
      </c>
      <c r="AE77" s="386">
        <f t="shared" si="74"/>
        <v>2.1930784416704157</v>
      </c>
      <c r="AF77" s="386">
        <f t="shared" si="75"/>
        <v>13.121442685440451</v>
      </c>
      <c r="AG77" s="386">
        <f t="shared" si="76"/>
        <v>0.32712729047986755</v>
      </c>
      <c r="AH77" s="386">
        <f t="shared" si="77"/>
        <v>0</v>
      </c>
      <c r="AI77" s="386">
        <f t="shared" si="78"/>
        <v>0.35002803501730845</v>
      </c>
      <c r="AJ77" s="386">
        <f t="shared" si="79"/>
        <v>0</v>
      </c>
      <c r="AK77" s="386">
        <f t="shared" si="80"/>
        <v>0</v>
      </c>
      <c r="AL77" s="386">
        <f t="shared" si="81"/>
        <v>0</v>
      </c>
      <c r="AM77">
        <f t="shared" si="82"/>
        <v>0</v>
      </c>
      <c r="AN77" s="386">
        <f t="shared" si="83"/>
        <v>0</v>
      </c>
      <c r="AO77" s="386">
        <f t="shared" si="84"/>
        <v>20.244882087209007</v>
      </c>
      <c r="AP77" s="386">
        <f t="shared" si="85"/>
        <v>0.20492762536249806</v>
      </c>
      <c r="AQ77" s="386">
        <f t="shared" si="86"/>
        <v>0</v>
      </c>
      <c r="AR77" s="386">
        <f t="shared" si="87"/>
        <v>0.21368564366871542</v>
      </c>
      <c r="AS77" s="386">
        <f t="shared" si="88"/>
        <v>0.20492762536249806</v>
      </c>
      <c r="AT77" s="386">
        <f t="shared" si="89"/>
        <v>0.27500000000000002</v>
      </c>
      <c r="AU77" s="386">
        <f t="shared" si="90"/>
        <v>1.5277625000000001</v>
      </c>
      <c r="AV77" s="386">
        <f t="shared" si="91"/>
        <v>0.51651677444189614</v>
      </c>
      <c r="AW77" s="386" t="e">
        <f t="shared" si="92"/>
        <v>#VALUE!</v>
      </c>
      <c r="AX77" s="386">
        <f t="shared" si="93"/>
        <v>3.8400000000000004E-2</v>
      </c>
      <c r="AY77" s="386">
        <f t="shared" si="94"/>
        <v>0.61440000000000006</v>
      </c>
      <c r="AZ77" s="386">
        <f t="shared" si="95"/>
        <v>0.47314285714285709</v>
      </c>
      <c r="BA77" s="386">
        <f t="shared" si="113"/>
        <v>0.65280000000000005</v>
      </c>
      <c r="BB77" s="386" t="e">
        <f t="shared" si="114"/>
        <v>#VALUE!</v>
      </c>
      <c r="BC77">
        <f t="shared" si="96"/>
        <v>256</v>
      </c>
      <c r="BD77" s="604" t="e">
        <f t="shared" si="107"/>
        <v>#VALUE!</v>
      </c>
      <c r="BE77" s="614">
        <f t="shared" si="97"/>
        <v>186.0420470835208</v>
      </c>
      <c r="BF77" s="614">
        <f t="shared" si="98"/>
        <v>17.501401750865423</v>
      </c>
      <c r="BG77" s="9"/>
      <c r="BH77" s="4" t="e">
        <f t="shared" si="108"/>
        <v>#VALUE!</v>
      </c>
      <c r="BI77" s="386">
        <f t="shared" si="109"/>
        <v>4.4457975077931984</v>
      </c>
      <c r="BJ77" s="386">
        <f t="shared" si="110"/>
        <v>4.28455462035644</v>
      </c>
      <c r="BK77" s="386">
        <f t="shared" si="111"/>
        <v>0.85418966001730845</v>
      </c>
      <c r="BL77" s="386">
        <f t="shared" si="112"/>
        <v>0.51651677444189614</v>
      </c>
      <c r="BR77" s="18"/>
      <c r="BS77" s="19"/>
    </row>
    <row r="78" spans="1:71" x14ac:dyDescent="0.2">
      <c r="A78" s="34" t="s">
        <v>247</v>
      </c>
      <c r="B78" s="78">
        <f>Qrr_Q2*Fsw</f>
        <v>6.8750000000000006E-2</v>
      </c>
      <c r="C78" s="21" t="s">
        <v>2</v>
      </c>
      <c r="G78">
        <v>69</v>
      </c>
      <c r="H78" s="610">
        <f t="shared" si="59"/>
        <v>22.454999999999998</v>
      </c>
      <c r="I78" s="4" t="str">
        <f t="shared" si="60"/>
        <v>BUCK</v>
      </c>
      <c r="J78">
        <f t="shared" si="99"/>
        <v>1</v>
      </c>
      <c r="K78">
        <f t="shared" si="61"/>
        <v>20</v>
      </c>
      <c r="L78" s="4">
        <f t="shared" si="62"/>
        <v>12.667309928498975</v>
      </c>
      <c r="M78" s="4">
        <f t="shared" si="63"/>
        <v>20</v>
      </c>
      <c r="N78" s="386">
        <f t="shared" si="64"/>
        <v>0.57489673550966036</v>
      </c>
      <c r="O78" s="386">
        <f t="shared" si="100"/>
        <v>0</v>
      </c>
      <c r="P78" s="4">
        <f t="shared" si="65"/>
        <v>11.004903269820119</v>
      </c>
      <c r="Q78" s="386">
        <f t="shared" si="66"/>
        <v>20.250736398087884</v>
      </c>
      <c r="R78" s="386">
        <f t="shared" si="101"/>
        <v>1.0153971051477078</v>
      </c>
      <c r="S78" s="386">
        <f t="shared" si="67"/>
        <v>3.5262887236702669</v>
      </c>
      <c r="T78" s="386">
        <f t="shared" si="102"/>
        <v>4.5416858288179744</v>
      </c>
      <c r="U78" s="4">
        <f t="shared" si="68"/>
        <v>3.1768419326182196</v>
      </c>
      <c r="V78" s="386">
        <f t="shared" si="103"/>
        <v>2.0184649329682929E-2</v>
      </c>
      <c r="W78" s="386">
        <f t="shared" si="104"/>
        <v>2.0184649329682929E-2</v>
      </c>
      <c r="X78" s="386">
        <f t="shared" si="69"/>
        <v>10.011126792882177</v>
      </c>
      <c r="Y78" s="386">
        <f t="shared" si="105"/>
        <v>0.20044531932632678</v>
      </c>
      <c r="Z78" s="603">
        <f t="shared" si="106"/>
        <v>0.20044531932632678</v>
      </c>
      <c r="AA78" s="386">
        <f t="shared" si="70"/>
        <v>15.35450222922857</v>
      </c>
      <c r="AB78" s="386">
        <f t="shared" si="71"/>
        <v>0.44794540354403178</v>
      </c>
      <c r="AC78" s="386">
        <f t="shared" si="72"/>
        <v>1.5569233019584354</v>
      </c>
      <c r="AD78">
        <f t="shared" si="73"/>
        <v>0</v>
      </c>
      <c r="AE78" s="386">
        <f t="shared" si="74"/>
        <v>2.2021580179018181</v>
      </c>
      <c r="AF78" s="386">
        <f t="shared" si="75"/>
        <v>13.203468709299701</v>
      </c>
      <c r="AG78" s="386">
        <f t="shared" si="76"/>
        <v>0.33123001331916696</v>
      </c>
      <c r="AH78" s="386">
        <f t="shared" si="77"/>
        <v>0</v>
      </c>
      <c r="AI78" s="386">
        <f t="shared" si="78"/>
        <v>0.35472941938037966</v>
      </c>
      <c r="AJ78" s="386">
        <f t="shared" si="79"/>
        <v>0</v>
      </c>
      <c r="AK78" s="386">
        <f t="shared" si="80"/>
        <v>0</v>
      </c>
      <c r="AL78" s="386">
        <f t="shared" si="81"/>
        <v>0</v>
      </c>
      <c r="AM78">
        <f t="shared" si="82"/>
        <v>0</v>
      </c>
      <c r="AN78" s="386">
        <f t="shared" si="83"/>
        <v>0</v>
      </c>
      <c r="AO78" s="386">
        <f t="shared" si="84"/>
        <v>20.250736398087884</v>
      </c>
      <c r="AP78" s="386">
        <f t="shared" si="85"/>
        <v>0.20504616233242073</v>
      </c>
      <c r="AQ78" s="386">
        <f t="shared" si="86"/>
        <v>0</v>
      </c>
      <c r="AR78" s="386">
        <f t="shared" si="87"/>
        <v>0.2138145321876152</v>
      </c>
      <c r="AS78" s="386">
        <f t="shared" si="88"/>
        <v>0.20504616233242073</v>
      </c>
      <c r="AT78" s="386">
        <f t="shared" si="89"/>
        <v>0.27500000000000002</v>
      </c>
      <c r="AU78" s="386">
        <f t="shared" si="90"/>
        <v>1.54116875</v>
      </c>
      <c r="AV78" s="386">
        <f t="shared" si="91"/>
        <v>0.52299475787236893</v>
      </c>
      <c r="AW78" s="386" t="e">
        <f t="shared" si="92"/>
        <v>#VALUE!</v>
      </c>
      <c r="AX78" s="386">
        <f t="shared" si="93"/>
        <v>3.8400000000000004E-2</v>
      </c>
      <c r="AY78" s="386">
        <f t="shared" si="94"/>
        <v>0.61440000000000006</v>
      </c>
      <c r="AZ78" s="386">
        <f t="shared" si="95"/>
        <v>0.47314285714285709</v>
      </c>
      <c r="BA78" s="386">
        <f t="shared" si="113"/>
        <v>0.65280000000000005</v>
      </c>
      <c r="BB78" s="386" t="e">
        <f t="shared" si="114"/>
        <v>#VALUE!</v>
      </c>
      <c r="BC78">
        <f t="shared" si="96"/>
        <v>256</v>
      </c>
      <c r="BD78" s="604" t="e">
        <f t="shared" si="107"/>
        <v>#VALUE!</v>
      </c>
      <c r="BE78" s="614">
        <f t="shared" si="97"/>
        <v>187.16633839509092</v>
      </c>
      <c r="BF78" s="614">
        <f t="shared" si="98"/>
        <v>17.736470969018985</v>
      </c>
      <c r="BG78" s="9"/>
      <c r="BH78" s="4" t="e">
        <f t="shared" si="108"/>
        <v>#VALUE!</v>
      </c>
      <c r="BI78" s="386">
        <f t="shared" si="109"/>
        <v>4.5416858288179744</v>
      </c>
      <c r="BJ78" s="386">
        <f t="shared" si="110"/>
        <v>4.3118707194698125</v>
      </c>
      <c r="BK78" s="386">
        <f t="shared" si="111"/>
        <v>0.86331510688037971</v>
      </c>
      <c r="BL78" s="386">
        <f t="shared" si="112"/>
        <v>0.52299475787236893</v>
      </c>
      <c r="BR78" s="18"/>
      <c r="BS78" s="19"/>
    </row>
    <row r="79" spans="1:71" x14ac:dyDescent="0.2">
      <c r="A79" s="34" t="s">
        <v>248</v>
      </c>
      <c r="B79" s="78" t="e">
        <f>C79/Vin</f>
        <v>#NAME?</v>
      </c>
      <c r="C79" s="21" t="e">
        <f>Deadtime*Fsw*(Iripple_Vinnom/2)*(VsdTop+VsdBot)</f>
        <v>#NAME?</v>
      </c>
      <c r="G79">
        <v>70</v>
      </c>
      <c r="H79" s="610">
        <f t="shared" si="59"/>
        <v>22.65</v>
      </c>
      <c r="I79" s="4" t="str">
        <f t="shared" si="60"/>
        <v>BUCK</v>
      </c>
      <c r="J79">
        <f t="shared" si="99"/>
        <v>1</v>
      </c>
      <c r="K79">
        <f t="shared" si="61"/>
        <v>20</v>
      </c>
      <c r="L79" s="4">
        <f t="shared" si="62"/>
        <v>12.558253617856268</v>
      </c>
      <c r="M79" s="4">
        <f t="shared" si="63"/>
        <v>20</v>
      </c>
      <c r="N79" s="386">
        <f t="shared" si="64"/>
        <v>0.56996036988110976</v>
      </c>
      <c r="O79" s="386">
        <f t="shared" si="100"/>
        <v>0</v>
      </c>
      <c r="P79" s="4">
        <f t="shared" si="65"/>
        <v>11.132693928665786</v>
      </c>
      <c r="Q79" s="386">
        <f t="shared" si="66"/>
        <v>20.256556292777063</v>
      </c>
      <c r="R79" s="386">
        <f t="shared" si="101"/>
        <v>1.0160282683958135</v>
      </c>
      <c r="S79" s="386">
        <f t="shared" si="67"/>
        <v>3.6213476201760089</v>
      </c>
      <c r="T79" s="386">
        <f t="shared" si="102"/>
        <v>4.6373758885718228</v>
      </c>
      <c r="U79" s="4">
        <f t="shared" si="68"/>
        <v>3.2137319182604522</v>
      </c>
      <c r="V79" s="386">
        <f t="shared" si="103"/>
        <v>2.0656145684892015E-2</v>
      </c>
      <c r="W79" s="386">
        <f t="shared" si="104"/>
        <v>2.0656145684892015E-2</v>
      </c>
      <c r="X79" s="386">
        <f t="shared" si="69"/>
        <v>10.028643307959845</v>
      </c>
      <c r="Y79" s="386">
        <f t="shared" si="105"/>
        <v>0.20114737319657555</v>
      </c>
      <c r="Z79" s="603">
        <f t="shared" si="106"/>
        <v>0.20114737319657555</v>
      </c>
      <c r="AA79" s="386">
        <f t="shared" si="70"/>
        <v>15.292832967435546</v>
      </c>
      <c r="AB79" s="386">
        <f t="shared" si="71"/>
        <v>0.44435440632277862</v>
      </c>
      <c r="AC79" s="386">
        <f t="shared" si="72"/>
        <v>1.5704436779941469</v>
      </c>
      <c r="AD79">
        <f t="shared" si="73"/>
        <v>0</v>
      </c>
      <c r="AE79" s="386">
        <f t="shared" si="74"/>
        <v>2.2113200455202913</v>
      </c>
      <c r="AF79" s="386">
        <f t="shared" si="75"/>
        <v>13.283724352475948</v>
      </c>
      <c r="AG79" s="386">
        <f t="shared" si="76"/>
        <v>0.33526893207786884</v>
      </c>
      <c r="AH79" s="386">
        <f t="shared" si="77"/>
        <v>0</v>
      </c>
      <c r="AI79" s="386">
        <f t="shared" si="78"/>
        <v>0.35936576749665855</v>
      </c>
      <c r="AJ79" s="386">
        <f t="shared" si="79"/>
        <v>0</v>
      </c>
      <c r="AK79" s="386">
        <f t="shared" si="80"/>
        <v>0</v>
      </c>
      <c r="AL79" s="386">
        <f t="shared" si="81"/>
        <v>0</v>
      </c>
      <c r="AM79">
        <f t="shared" si="82"/>
        <v>0</v>
      </c>
      <c r="AN79" s="386">
        <f t="shared" si="83"/>
        <v>0</v>
      </c>
      <c r="AO79" s="386">
        <f t="shared" si="84"/>
        <v>20.256556292777063</v>
      </c>
      <c r="AP79" s="386">
        <f t="shared" si="85"/>
        <v>0.20516403642122302</v>
      </c>
      <c r="AQ79" s="386">
        <f t="shared" si="86"/>
        <v>0</v>
      </c>
      <c r="AR79" s="386">
        <f t="shared" si="87"/>
        <v>0.21394270625693354</v>
      </c>
      <c r="AS79" s="386">
        <f t="shared" si="88"/>
        <v>0.20516403642122302</v>
      </c>
      <c r="AT79" s="386">
        <f t="shared" si="89"/>
        <v>0.27500000000000002</v>
      </c>
      <c r="AU79" s="386">
        <f t="shared" si="90"/>
        <v>1.554575</v>
      </c>
      <c r="AV79" s="386">
        <f t="shared" si="91"/>
        <v>0.52937199801768764</v>
      </c>
      <c r="AW79" s="386" t="e">
        <f t="shared" si="92"/>
        <v>#VALUE!</v>
      </c>
      <c r="AX79" s="386">
        <f t="shared" si="93"/>
        <v>3.8400000000000004E-2</v>
      </c>
      <c r="AY79" s="386">
        <f t="shared" si="94"/>
        <v>0.61440000000000006</v>
      </c>
      <c r="AZ79" s="386">
        <f t="shared" si="95"/>
        <v>0.47314285714285709</v>
      </c>
      <c r="BA79" s="386">
        <f t="shared" si="113"/>
        <v>0.65280000000000005</v>
      </c>
      <c r="BB79" s="386" t="e">
        <f t="shared" si="114"/>
        <v>#VALUE!</v>
      </c>
      <c r="BC79">
        <f t="shared" si="96"/>
        <v>256</v>
      </c>
      <c r="BD79" s="604" t="e">
        <f t="shared" si="107"/>
        <v>#VALUE!</v>
      </c>
      <c r="BE79" s="614">
        <f t="shared" si="97"/>
        <v>188.29475227601455</v>
      </c>
      <c r="BF79" s="614">
        <f t="shared" si="98"/>
        <v>17.968288374832927</v>
      </c>
      <c r="BG79" s="9"/>
      <c r="BH79" s="4" t="e">
        <f t="shared" si="108"/>
        <v>#VALUE!</v>
      </c>
      <c r="BI79" s="386">
        <f t="shared" si="109"/>
        <v>4.6373758885718228</v>
      </c>
      <c r="BJ79" s="386">
        <f t="shared" si="110"/>
        <v>4.3392035192738838</v>
      </c>
      <c r="BK79" s="386">
        <f t="shared" si="111"/>
        <v>0.87237551749665854</v>
      </c>
      <c r="BL79" s="386">
        <f t="shared" si="112"/>
        <v>0.52937199801768764</v>
      </c>
      <c r="BR79" s="18"/>
      <c r="BS79" s="19"/>
    </row>
    <row r="80" spans="1:71" x14ac:dyDescent="0.2">
      <c r="A80" s="34" t="s">
        <v>49</v>
      </c>
      <c r="B80" s="78" t="e">
        <f>SUM(B77:B79)</f>
        <v>#NAME?</v>
      </c>
      <c r="C80" s="21" t="s">
        <v>2</v>
      </c>
      <c r="G80">
        <v>71</v>
      </c>
      <c r="H80" s="610">
        <f t="shared" si="59"/>
        <v>22.844999999999999</v>
      </c>
      <c r="I80" s="4" t="str">
        <f t="shared" si="60"/>
        <v>BUCK</v>
      </c>
      <c r="J80">
        <f t="shared" si="99"/>
        <v>1</v>
      </c>
      <c r="K80">
        <f t="shared" si="61"/>
        <v>20</v>
      </c>
      <c r="L80" s="4">
        <f t="shared" si="62"/>
        <v>12.451059069575155</v>
      </c>
      <c r="M80" s="4">
        <f t="shared" si="63"/>
        <v>20</v>
      </c>
      <c r="N80" s="386">
        <f t="shared" si="64"/>
        <v>0.56510805500982331</v>
      </c>
      <c r="O80" s="386">
        <f t="shared" si="100"/>
        <v>0</v>
      </c>
      <c r="P80" s="4">
        <f t="shared" si="65"/>
        <v>11.258308715127702</v>
      </c>
      <c r="Q80" s="386">
        <f t="shared" si="66"/>
        <v>20.262340920874863</v>
      </c>
      <c r="R80" s="386">
        <f t="shared" si="101"/>
        <v>1.0166558451713488</v>
      </c>
      <c r="S80" s="386">
        <f t="shared" si="67"/>
        <v>3.7161851254160885</v>
      </c>
      <c r="T80" s="386">
        <f t="shared" si="102"/>
        <v>4.7328409705874375</v>
      </c>
      <c r="U80" s="4">
        <f t="shared" si="68"/>
        <v>3.2499937836494444</v>
      </c>
      <c r="V80" s="386">
        <f t="shared" si="103"/>
        <v>2.1124919187520064E-2</v>
      </c>
      <c r="W80" s="386">
        <f t="shared" si="104"/>
        <v>2.1124919187520064E-2</v>
      </c>
      <c r="X80" s="386">
        <f t="shared" si="69"/>
        <v>10.044909978690583</v>
      </c>
      <c r="Y80" s="386">
        <f t="shared" si="105"/>
        <v>0.20180043295999531</v>
      </c>
      <c r="Z80" s="603">
        <f t="shared" si="106"/>
        <v>0.20180043295999531</v>
      </c>
      <c r="AA80" s="386">
        <f t="shared" si="70"/>
        <v>15.231945148308499</v>
      </c>
      <c r="AB80" s="386">
        <f t="shared" si="71"/>
        <v>0.44082309070204978</v>
      </c>
      <c r="AC80" s="386">
        <f t="shared" si="72"/>
        <v>1.5839640540298581</v>
      </c>
      <c r="AD80">
        <f t="shared" si="73"/>
        <v>0</v>
      </c>
      <c r="AE80" s="386">
        <f t="shared" si="74"/>
        <v>2.2205621595891274</v>
      </c>
      <c r="AF80" s="386">
        <f t="shared" si="75"/>
        <v>13.362271760171664</v>
      </c>
      <c r="AG80" s="386">
        <f t="shared" si="76"/>
        <v>0.33924558252609421</v>
      </c>
      <c r="AH80" s="386">
        <f t="shared" si="77"/>
        <v>0</v>
      </c>
      <c r="AI80" s="386">
        <f t="shared" si="78"/>
        <v>0.36393848735540413</v>
      </c>
      <c r="AJ80" s="386">
        <f t="shared" si="79"/>
        <v>0</v>
      </c>
      <c r="AK80" s="386">
        <f t="shared" si="80"/>
        <v>0</v>
      </c>
      <c r="AL80" s="386">
        <f t="shared" si="81"/>
        <v>0</v>
      </c>
      <c r="AM80">
        <f t="shared" si="82"/>
        <v>0</v>
      </c>
      <c r="AN80" s="386">
        <f t="shared" si="83"/>
        <v>0</v>
      </c>
      <c r="AO80" s="386">
        <f t="shared" si="84"/>
        <v>20.262340920874863</v>
      </c>
      <c r="AP80" s="386">
        <f t="shared" si="85"/>
        <v>0.20528122979687999</v>
      </c>
      <c r="AQ80" s="386">
        <f t="shared" si="86"/>
        <v>0</v>
      </c>
      <c r="AR80" s="386">
        <f t="shared" si="87"/>
        <v>0.21407014637918337</v>
      </c>
      <c r="AS80" s="386">
        <f t="shared" si="88"/>
        <v>0.20528122979687999</v>
      </c>
      <c r="AT80" s="386">
        <f t="shared" si="89"/>
        <v>0.27500000000000002</v>
      </c>
      <c r="AU80" s="386">
        <f t="shared" si="90"/>
        <v>1.5679812500000001</v>
      </c>
      <c r="AV80" s="386">
        <f t="shared" si="91"/>
        <v>0.53565091977804347</v>
      </c>
      <c r="AW80" s="386" t="e">
        <f t="shared" si="92"/>
        <v>#VALUE!</v>
      </c>
      <c r="AX80" s="386">
        <f t="shared" si="93"/>
        <v>3.8400000000000004E-2</v>
      </c>
      <c r="AY80" s="386">
        <f t="shared" si="94"/>
        <v>0.61440000000000006</v>
      </c>
      <c r="AZ80" s="386">
        <f t="shared" si="95"/>
        <v>0.47314285714285709</v>
      </c>
      <c r="BA80" s="386">
        <f t="shared" si="113"/>
        <v>0.65280000000000005</v>
      </c>
      <c r="BB80" s="386" t="e">
        <f t="shared" si="114"/>
        <v>#VALUE!</v>
      </c>
      <c r="BC80">
        <f t="shared" si="96"/>
        <v>256</v>
      </c>
      <c r="BD80" s="604" t="e">
        <f t="shared" si="107"/>
        <v>#VALUE!</v>
      </c>
      <c r="BE80" s="614">
        <f t="shared" si="97"/>
        <v>189.42717047945638</v>
      </c>
      <c r="BF80" s="614">
        <f t="shared" si="98"/>
        <v>18.196924367770208</v>
      </c>
      <c r="BG80" s="9"/>
      <c r="BH80" s="4" t="e">
        <f t="shared" si="108"/>
        <v>#VALUE!</v>
      </c>
      <c r="BI80" s="386">
        <f t="shared" si="109"/>
        <v>4.7328409705874375</v>
      </c>
      <c r="BJ80" s="386">
        <f t="shared" si="110"/>
        <v>4.3665520433237148</v>
      </c>
      <c r="BK80" s="386">
        <f t="shared" si="111"/>
        <v>0.88137229985540422</v>
      </c>
      <c r="BL80" s="386">
        <f t="shared" si="112"/>
        <v>0.53565091977804347</v>
      </c>
      <c r="BR80" s="18"/>
      <c r="BS80" s="19"/>
    </row>
    <row r="81" spans="1:71" x14ac:dyDescent="0.2">
      <c r="A81" s="2"/>
      <c r="G81">
        <v>72</v>
      </c>
      <c r="H81" s="610">
        <f t="shared" si="59"/>
        <v>23.04</v>
      </c>
      <c r="I81" s="4" t="str">
        <f t="shared" si="60"/>
        <v>BUCK</v>
      </c>
      <c r="J81">
        <f t="shared" si="99"/>
        <v>1</v>
      </c>
      <c r="K81">
        <f t="shared" si="61"/>
        <v>20</v>
      </c>
      <c r="L81" s="4">
        <f t="shared" si="62"/>
        <v>12.345679012345679</v>
      </c>
      <c r="M81" s="4">
        <f t="shared" si="63"/>
        <v>20</v>
      </c>
      <c r="N81" s="386">
        <f t="shared" si="64"/>
        <v>0.56033766233766247</v>
      </c>
      <c r="O81" s="386">
        <f t="shared" si="100"/>
        <v>0</v>
      </c>
      <c r="P81" s="4">
        <f t="shared" si="65"/>
        <v>11.381802732467532</v>
      </c>
      <c r="Q81" s="386">
        <f t="shared" si="66"/>
        <v>20.26808951990132</v>
      </c>
      <c r="R81" s="386">
        <f t="shared" si="101"/>
        <v>1.017279748420558</v>
      </c>
      <c r="S81" s="386">
        <f t="shared" si="67"/>
        <v>3.8107763768129619</v>
      </c>
      <c r="T81" s="386">
        <f t="shared" si="102"/>
        <v>4.8280561252335197</v>
      </c>
      <c r="U81" s="4">
        <f t="shared" si="68"/>
        <v>3.2856434357266742</v>
      </c>
      <c r="V81" s="386">
        <f t="shared" si="103"/>
        <v>2.1590905573467566E-2</v>
      </c>
      <c r="W81" s="386">
        <f t="shared" si="104"/>
        <v>2.1590905573467566E-2</v>
      </c>
      <c r="X81" s="386">
        <f t="shared" si="69"/>
        <v>10.059985462768324</v>
      </c>
      <c r="Y81" s="386">
        <f t="shared" si="105"/>
        <v>0.20240661502222002</v>
      </c>
      <c r="Z81" s="603">
        <f t="shared" si="106"/>
        <v>0.20240661502222002</v>
      </c>
      <c r="AA81" s="386">
        <f t="shared" si="70"/>
        <v>15.171821370997616</v>
      </c>
      <c r="AB81" s="386">
        <f t="shared" si="71"/>
        <v>0.43734991105557397</v>
      </c>
      <c r="AC81" s="386">
        <f t="shared" si="72"/>
        <v>1.5974844300655691</v>
      </c>
      <c r="AD81">
        <f t="shared" si="73"/>
        <v>0</v>
      </c>
      <c r="AE81" s="386">
        <f t="shared" si="74"/>
        <v>2.2298820876618044</v>
      </c>
      <c r="AF81" s="386">
        <f t="shared" si="75"/>
        <v>13.439169954773016</v>
      </c>
      <c r="AG81" s="386">
        <f t="shared" si="76"/>
        <v>0.34316144923922015</v>
      </c>
      <c r="AH81" s="386">
        <f t="shared" si="77"/>
        <v>0</v>
      </c>
      <c r="AI81" s="386">
        <f t="shared" si="78"/>
        <v>0.36844894395486227</v>
      </c>
      <c r="AJ81" s="386">
        <f t="shared" si="79"/>
        <v>0</v>
      </c>
      <c r="AK81" s="386">
        <f t="shared" si="80"/>
        <v>0</v>
      </c>
      <c r="AL81" s="386">
        <f t="shared" si="81"/>
        <v>0</v>
      </c>
      <c r="AM81">
        <f t="shared" si="82"/>
        <v>0</v>
      </c>
      <c r="AN81" s="386">
        <f t="shared" si="83"/>
        <v>0</v>
      </c>
      <c r="AO81" s="386">
        <f t="shared" si="84"/>
        <v>20.26808951990132</v>
      </c>
      <c r="AP81" s="386">
        <f t="shared" si="85"/>
        <v>0.20539772639336687</v>
      </c>
      <c r="AQ81" s="386">
        <f t="shared" si="86"/>
        <v>0</v>
      </c>
      <c r="AR81" s="386">
        <f t="shared" si="87"/>
        <v>0.21419683497423969</v>
      </c>
      <c r="AS81" s="386">
        <f t="shared" si="88"/>
        <v>0.20539772639336687</v>
      </c>
      <c r="AT81" s="386">
        <f t="shared" si="89"/>
        <v>0.27500000000000002</v>
      </c>
      <c r="AU81" s="386">
        <f t="shared" si="90"/>
        <v>1.5813874999999999</v>
      </c>
      <c r="AV81" s="386">
        <f t="shared" si="91"/>
        <v>0.5418338672198213</v>
      </c>
      <c r="AW81" s="386" t="e">
        <f t="shared" si="92"/>
        <v>#VALUE!</v>
      </c>
      <c r="AX81" s="386">
        <f t="shared" si="93"/>
        <v>3.8400000000000004E-2</v>
      </c>
      <c r="AY81" s="386">
        <f t="shared" si="94"/>
        <v>0.61440000000000006</v>
      </c>
      <c r="AZ81" s="386">
        <f t="shared" si="95"/>
        <v>0.47314285714285709</v>
      </c>
      <c r="BA81" s="386">
        <f t="shared" si="113"/>
        <v>0.65280000000000005</v>
      </c>
      <c r="BB81" s="386" t="e">
        <f t="shared" si="114"/>
        <v>#VALUE!</v>
      </c>
      <c r="BC81">
        <f t="shared" si="96"/>
        <v>256</v>
      </c>
      <c r="BD81" s="604" t="e">
        <f t="shared" si="107"/>
        <v>#VALUE!</v>
      </c>
      <c r="BE81" s="614">
        <f t="shared" si="97"/>
        <v>190.56347938309023</v>
      </c>
      <c r="BF81" s="614">
        <f t="shared" si="98"/>
        <v>18.422447197743114</v>
      </c>
      <c r="BG81" s="9"/>
      <c r="BH81" s="4" t="e">
        <f t="shared" si="108"/>
        <v>#VALUE!</v>
      </c>
      <c r="BI81" s="386">
        <f t="shared" si="109"/>
        <v>4.8280561252335197</v>
      </c>
      <c r="BJ81" s="386">
        <f t="shared" si="110"/>
        <v>4.3939153665909068</v>
      </c>
      <c r="BK81" s="386">
        <f t="shared" si="111"/>
        <v>0.8903068189548623</v>
      </c>
      <c r="BL81" s="386">
        <f t="shared" si="112"/>
        <v>0.5418338672198213</v>
      </c>
      <c r="BR81" s="18"/>
      <c r="BS81" s="19"/>
    </row>
    <row r="82" spans="1:71" x14ac:dyDescent="0.2">
      <c r="A82" s="2"/>
      <c r="G82">
        <v>73</v>
      </c>
      <c r="H82" s="610">
        <f t="shared" si="59"/>
        <v>23.234999999999999</v>
      </c>
      <c r="I82" s="4" t="str">
        <f t="shared" si="60"/>
        <v>BUCK</v>
      </c>
      <c r="J82">
        <f t="shared" si="99"/>
        <v>1</v>
      </c>
      <c r="K82">
        <f t="shared" si="61"/>
        <v>20</v>
      </c>
      <c r="L82" s="4">
        <f t="shared" si="62"/>
        <v>12.242067761757884</v>
      </c>
      <c r="M82" s="4">
        <f t="shared" si="63"/>
        <v>20</v>
      </c>
      <c r="N82" s="386">
        <f t="shared" si="64"/>
        <v>0.55564713457823578</v>
      </c>
      <c r="O82" s="386">
        <f t="shared" si="100"/>
        <v>0</v>
      </c>
      <c r="P82" s="4">
        <f t="shared" si="65"/>
        <v>11.503229238892468</v>
      </c>
      <c r="Q82" s="386">
        <f t="shared" si="66"/>
        <v>20.273801409130847</v>
      </c>
      <c r="R82" s="386">
        <f t="shared" si="101"/>
        <v>1.0178998998682705</v>
      </c>
      <c r="S82" s="386">
        <f t="shared" si="67"/>
        <v>3.9050981703550312</v>
      </c>
      <c r="T82" s="386">
        <f t="shared" si="102"/>
        <v>4.9229980702233016</v>
      </c>
      <c r="U82" s="4">
        <f t="shared" si="68"/>
        <v>3.3206962488122702</v>
      </c>
      <c r="V82" s="386">
        <f t="shared" si="103"/>
        <v>2.2054047153751765E-2</v>
      </c>
      <c r="W82" s="386">
        <f t="shared" si="104"/>
        <v>2.2054047153751765E-2</v>
      </c>
      <c r="X82" s="386">
        <f t="shared" si="69"/>
        <v>10.073925160470081</v>
      </c>
      <c r="Y82" s="386">
        <f t="shared" si="105"/>
        <v>0.20296793627750429</v>
      </c>
      <c r="Z82" s="603">
        <f t="shared" si="106"/>
        <v>0.20296793627750429</v>
      </c>
      <c r="AA82" s="386">
        <f t="shared" si="70"/>
        <v>15.112444801709355</v>
      </c>
      <c r="AB82" s="386">
        <f t="shared" si="71"/>
        <v>0.43393337698095302</v>
      </c>
      <c r="AC82" s="386">
        <f t="shared" si="72"/>
        <v>1.6110048061012805</v>
      </c>
      <c r="AD82">
        <f t="shared" si="73"/>
        <v>0</v>
      </c>
      <c r="AE82" s="386">
        <f t="shared" si="74"/>
        <v>2.2392776451979763</v>
      </c>
      <c r="AF82" s="386">
        <f t="shared" si="75"/>
        <v>13.514475043158868</v>
      </c>
      <c r="AG82" s="386">
        <f t="shared" si="76"/>
        <v>0.34701796781511135</v>
      </c>
      <c r="AH82" s="386">
        <f t="shared" si="77"/>
        <v>0</v>
      </c>
      <c r="AI82" s="386">
        <f t="shared" si="78"/>
        <v>0.37289846104581131</v>
      </c>
      <c r="AJ82" s="386">
        <f t="shared" si="79"/>
        <v>0</v>
      </c>
      <c r="AK82" s="386">
        <f t="shared" si="80"/>
        <v>0</v>
      </c>
      <c r="AL82" s="386">
        <f t="shared" si="81"/>
        <v>0</v>
      </c>
      <c r="AM82">
        <f t="shared" si="82"/>
        <v>0</v>
      </c>
      <c r="AN82" s="386">
        <f t="shared" si="83"/>
        <v>0</v>
      </c>
      <c r="AO82" s="386">
        <f t="shared" si="84"/>
        <v>20.273801409130847</v>
      </c>
      <c r="AP82" s="386">
        <f t="shared" si="85"/>
        <v>0.20551351178843796</v>
      </c>
      <c r="AQ82" s="386">
        <f t="shared" si="86"/>
        <v>0</v>
      </c>
      <c r="AR82" s="386">
        <f t="shared" si="87"/>
        <v>0.21432275624693495</v>
      </c>
      <c r="AS82" s="386">
        <f t="shared" si="88"/>
        <v>0.20551351178843796</v>
      </c>
      <c r="AT82" s="386">
        <f t="shared" si="89"/>
        <v>0.27500000000000002</v>
      </c>
      <c r="AU82" s="386">
        <f t="shared" si="90"/>
        <v>1.59479375</v>
      </c>
      <c r="AV82" s="386">
        <f t="shared" si="91"/>
        <v>0.54792310707649161</v>
      </c>
      <c r="AW82" s="386" t="e">
        <f t="shared" si="92"/>
        <v>#VALUE!</v>
      </c>
      <c r="AX82" s="386">
        <f t="shared" si="93"/>
        <v>3.8400000000000004E-2</v>
      </c>
      <c r="AY82" s="386">
        <f t="shared" si="94"/>
        <v>0.61440000000000006</v>
      </c>
      <c r="AZ82" s="386">
        <f t="shared" si="95"/>
        <v>0.47314285714285709</v>
      </c>
      <c r="BA82" s="386">
        <f t="shared" si="113"/>
        <v>0.65280000000000005</v>
      </c>
      <c r="BB82" s="386" t="e">
        <f t="shared" si="114"/>
        <v>#VALUE!</v>
      </c>
      <c r="BC82">
        <f t="shared" si="96"/>
        <v>256</v>
      </c>
      <c r="BD82" s="604" t="e">
        <f t="shared" si="107"/>
        <v>#VALUE!</v>
      </c>
      <c r="BE82" s="614">
        <f t="shared" si="97"/>
        <v>191.70356975989881</v>
      </c>
      <c r="BF82" s="614">
        <f t="shared" si="98"/>
        <v>18.644923052290565</v>
      </c>
      <c r="BG82" s="9"/>
      <c r="BH82" s="4" t="e">
        <f t="shared" si="108"/>
        <v>#VALUE!</v>
      </c>
      <c r="BI82" s="386">
        <f t="shared" si="109"/>
        <v>4.9229980702233016</v>
      </c>
      <c r="BJ82" s="386">
        <f t="shared" si="110"/>
        <v>4.4212926124907224</v>
      </c>
      <c r="BK82" s="386">
        <f t="shared" si="111"/>
        <v>0.89918039854581133</v>
      </c>
      <c r="BL82" s="386">
        <f t="shared" si="112"/>
        <v>0.54792310707649161</v>
      </c>
      <c r="BR82" s="18"/>
      <c r="BS82" s="19"/>
    </row>
    <row r="83" spans="1:71" x14ac:dyDescent="0.2">
      <c r="A83" s="2"/>
      <c r="G83">
        <v>74</v>
      </c>
      <c r="H83" s="610">
        <f t="shared" si="59"/>
        <v>23.43</v>
      </c>
      <c r="I83" s="4" t="str">
        <f t="shared" si="60"/>
        <v>BUCK</v>
      </c>
      <c r="J83">
        <f t="shared" si="99"/>
        <v>1</v>
      </c>
      <c r="K83">
        <f t="shared" si="61"/>
        <v>20</v>
      </c>
      <c r="L83" s="4">
        <f t="shared" si="62"/>
        <v>12.140181154265662</v>
      </c>
      <c r="M83" s="4">
        <f t="shared" si="63"/>
        <v>20</v>
      </c>
      <c r="N83" s="386">
        <f t="shared" si="64"/>
        <v>0.55103448275862077</v>
      </c>
      <c r="O83" s="386">
        <f t="shared" si="100"/>
        <v>0</v>
      </c>
      <c r="P83" s="4">
        <f t="shared" si="65"/>
        <v>11.622639724137931</v>
      </c>
      <c r="Q83" s="386">
        <f t="shared" si="66"/>
        <v>20.279475983855182</v>
      </c>
      <c r="R83" s="386">
        <f t="shared" si="101"/>
        <v>1.0185162294130699</v>
      </c>
      <c r="S83" s="386">
        <f t="shared" si="67"/>
        <v>3.9991288672674035</v>
      </c>
      <c r="T83" s="386">
        <f t="shared" si="102"/>
        <v>5.0176450966804733</v>
      </c>
      <c r="U83" s="4">
        <f t="shared" si="68"/>
        <v>3.3551670867125365</v>
      </c>
      <c r="V83" s="386">
        <f t="shared" si="103"/>
        <v>2.2514292359518181E-2</v>
      </c>
      <c r="W83" s="386">
        <f t="shared" si="104"/>
        <v>2.2514292359518181E-2</v>
      </c>
      <c r="X83" s="386">
        <f t="shared" si="69"/>
        <v>10.086781435525628</v>
      </c>
      <c r="Y83" s="386">
        <f t="shared" si="105"/>
        <v>0.20348631945612891</v>
      </c>
      <c r="Z83" s="603">
        <f t="shared" si="106"/>
        <v>0.20348631945612891</v>
      </c>
      <c r="AA83" s="386">
        <f t="shared" si="70"/>
        <v>15.053799149249668</v>
      </c>
      <c r="AB83" s="386">
        <f t="shared" si="71"/>
        <v>0.43057205076930505</v>
      </c>
      <c r="AC83" s="386">
        <f t="shared" si="72"/>
        <v>1.6245251821369915</v>
      </c>
      <c r="AD83">
        <f t="shared" si="73"/>
        <v>0</v>
      </c>
      <c r="AE83" s="386">
        <f t="shared" si="74"/>
        <v>2.2487467312536253</v>
      </c>
      <c r="AF83" s="386">
        <f t="shared" si="75"/>
        <v>13.588240406830057</v>
      </c>
      <c r="AG83" s="386">
        <f t="shared" si="76"/>
        <v>0.35081652697223725</v>
      </c>
      <c r="AH83" s="386">
        <f t="shared" si="77"/>
        <v>0</v>
      </c>
      <c r="AI83" s="386">
        <f t="shared" si="78"/>
        <v>0.37728832278560237</v>
      </c>
      <c r="AJ83" s="386">
        <f t="shared" si="79"/>
        <v>0</v>
      </c>
      <c r="AK83" s="386">
        <f t="shared" si="80"/>
        <v>0</v>
      </c>
      <c r="AL83" s="386">
        <f t="shared" si="81"/>
        <v>0</v>
      </c>
      <c r="AM83">
        <f t="shared" si="82"/>
        <v>0</v>
      </c>
      <c r="AN83" s="386">
        <f t="shared" si="83"/>
        <v>0</v>
      </c>
      <c r="AO83" s="386">
        <f t="shared" si="84"/>
        <v>20.279475983855182</v>
      </c>
      <c r="AP83" s="386">
        <f t="shared" si="85"/>
        <v>0.20562857308987956</v>
      </c>
      <c r="AQ83" s="386">
        <f t="shared" si="86"/>
        <v>0</v>
      </c>
      <c r="AR83" s="386">
        <f t="shared" si="87"/>
        <v>0.2144478960638258</v>
      </c>
      <c r="AS83" s="386">
        <f t="shared" si="88"/>
        <v>0.20562857308987956</v>
      </c>
      <c r="AT83" s="386">
        <f t="shared" si="89"/>
        <v>0.27500000000000002</v>
      </c>
      <c r="AU83" s="386">
        <f t="shared" si="90"/>
        <v>1.6082000000000001</v>
      </c>
      <c r="AV83" s="386">
        <f t="shared" si="91"/>
        <v>0.55392083206142717</v>
      </c>
      <c r="AW83" s="386" t="e">
        <f t="shared" si="92"/>
        <v>#VALUE!</v>
      </c>
      <c r="AX83" s="386">
        <f t="shared" si="93"/>
        <v>3.8400000000000004E-2</v>
      </c>
      <c r="AY83" s="386">
        <f t="shared" si="94"/>
        <v>0.61440000000000006</v>
      </c>
      <c r="AZ83" s="386">
        <f t="shared" si="95"/>
        <v>0.47314285714285709</v>
      </c>
      <c r="BA83" s="386">
        <f t="shared" si="113"/>
        <v>0.65280000000000005</v>
      </c>
      <c r="BB83" s="386" t="e">
        <f t="shared" si="114"/>
        <v>#VALUE!</v>
      </c>
      <c r="BC83">
        <f t="shared" si="96"/>
        <v>256</v>
      </c>
      <c r="BD83" s="604" t="e">
        <f t="shared" si="107"/>
        <v>#VALUE!</v>
      </c>
      <c r="BE83" s="614">
        <f t="shared" si="97"/>
        <v>192.84733656268128</v>
      </c>
      <c r="BF83" s="614">
        <f t="shared" si="98"/>
        <v>18.86441613928012</v>
      </c>
      <c r="BG83" s="9"/>
      <c r="BH83" s="4" t="e">
        <f t="shared" si="108"/>
        <v>#VALUE!</v>
      </c>
      <c r="BI83" s="386">
        <f t="shared" si="109"/>
        <v>5.0176450966804733</v>
      </c>
      <c r="BJ83" s="386">
        <f t="shared" si="110"/>
        <v>4.4486829501030538</v>
      </c>
      <c r="BK83" s="386">
        <f t="shared" si="111"/>
        <v>0.90799432278560244</v>
      </c>
      <c r="BL83" s="386">
        <f t="shared" si="112"/>
        <v>0.55392083206142717</v>
      </c>
      <c r="BR83" s="18"/>
      <c r="BS83" s="19"/>
    </row>
    <row r="84" spans="1:71" x14ac:dyDescent="0.2">
      <c r="G84">
        <v>75</v>
      </c>
      <c r="H84" s="610">
        <f t="shared" si="59"/>
        <v>23.625</v>
      </c>
      <c r="I84" s="4" t="str">
        <f t="shared" si="60"/>
        <v>BUCK</v>
      </c>
      <c r="J84">
        <f t="shared" si="99"/>
        <v>1</v>
      </c>
      <c r="K84">
        <f t="shared" si="61"/>
        <v>20</v>
      </c>
      <c r="L84" s="4">
        <f t="shared" si="62"/>
        <v>12.039976484420929</v>
      </c>
      <c r="M84" s="4">
        <f t="shared" si="63"/>
        <v>20</v>
      </c>
      <c r="N84" s="386">
        <f t="shared" si="64"/>
        <v>0.54649778340721988</v>
      </c>
      <c r="O84" s="386">
        <f t="shared" si="100"/>
        <v>0</v>
      </c>
      <c r="P84" s="4">
        <f t="shared" si="65"/>
        <v>11.74008398226726</v>
      </c>
      <c r="Q84" s="386">
        <f t="shared" si="66"/>
        <v>20.285112710044874</v>
      </c>
      <c r="R84" s="386">
        <f t="shared" si="101"/>
        <v>1.0191286745641215</v>
      </c>
      <c r="S84" s="386">
        <f t="shared" si="67"/>
        <v>4.0928483058939786</v>
      </c>
      <c r="T84" s="386">
        <f t="shared" si="102"/>
        <v>5.1119769804580999</v>
      </c>
      <c r="U84" s="4">
        <f t="shared" si="68"/>
        <v>3.3890703237354081</v>
      </c>
      <c r="V84" s="386">
        <f t="shared" si="103"/>
        <v>2.2971595318448047E-2</v>
      </c>
      <c r="W84" s="386">
        <f t="shared" si="104"/>
        <v>2.2971595318448047E-2</v>
      </c>
      <c r="X84" s="386">
        <f t="shared" si="69"/>
        <v>10.098603817942623</v>
      </c>
      <c r="Y84" s="386">
        <f t="shared" si="105"/>
        <v>0.20396359814353066</v>
      </c>
      <c r="Z84" s="603">
        <f t="shared" si="106"/>
        <v>0.20396359814353066</v>
      </c>
      <c r="AA84" s="386">
        <f t="shared" si="70"/>
        <v>14.99586864187326</v>
      </c>
      <c r="AB84" s="386">
        <f t="shared" si="71"/>
        <v>0.42726454501620376</v>
      </c>
      <c r="AC84" s="386">
        <f t="shared" si="72"/>
        <v>1.6380455581727027</v>
      </c>
      <c r="AD84">
        <f t="shared" si="73"/>
        <v>0</v>
      </c>
      <c r="AE84" s="386">
        <f t="shared" si="74"/>
        <v>2.2582873244262771</v>
      </c>
      <c r="AF84" s="386">
        <f t="shared" si="75"/>
        <v>13.660516876564603</v>
      </c>
      <c r="AG84" s="386">
        <f t="shared" si="76"/>
        <v>0.35455847053632206</v>
      </c>
      <c r="AH84" s="386">
        <f t="shared" si="77"/>
        <v>0</v>
      </c>
      <c r="AI84" s="386">
        <f t="shared" si="78"/>
        <v>0.38161977530826469</v>
      </c>
      <c r="AJ84" s="386">
        <f t="shared" si="79"/>
        <v>0</v>
      </c>
      <c r="AK84" s="386">
        <f t="shared" si="80"/>
        <v>0</v>
      </c>
      <c r="AL84" s="386">
        <f t="shared" si="81"/>
        <v>0</v>
      </c>
      <c r="AM84">
        <f t="shared" si="82"/>
        <v>0</v>
      </c>
      <c r="AN84" s="386">
        <f t="shared" si="83"/>
        <v>0</v>
      </c>
      <c r="AO84" s="386">
        <f t="shared" si="84"/>
        <v>20.285112710044874</v>
      </c>
      <c r="AP84" s="386">
        <f t="shared" si="85"/>
        <v>0.20574289882961205</v>
      </c>
      <c r="AQ84" s="386">
        <f t="shared" si="86"/>
        <v>0</v>
      </c>
      <c r="AR84" s="386">
        <f t="shared" si="87"/>
        <v>0.2145722418384545</v>
      </c>
      <c r="AS84" s="386">
        <f t="shared" si="88"/>
        <v>0.20574289882961205</v>
      </c>
      <c r="AT84" s="386">
        <f t="shared" si="89"/>
        <v>0.27500000000000002</v>
      </c>
      <c r="AU84" s="386">
        <f t="shared" si="90"/>
        <v>1.6216062500000001</v>
      </c>
      <c r="AV84" s="386">
        <f t="shared" si="91"/>
        <v>0.55982916400471905</v>
      </c>
      <c r="AW84" s="386" t="e">
        <f t="shared" si="92"/>
        <v>#VALUE!</v>
      </c>
      <c r="AX84" s="386">
        <f t="shared" si="93"/>
        <v>3.8400000000000004E-2</v>
      </c>
      <c r="AY84" s="386">
        <f t="shared" si="94"/>
        <v>0.61440000000000006</v>
      </c>
      <c r="AZ84" s="386">
        <f t="shared" si="95"/>
        <v>0.47314285714285709</v>
      </c>
      <c r="BA84" s="386">
        <f t="shared" si="113"/>
        <v>0.65280000000000005</v>
      </c>
      <c r="BB84" s="386" t="e">
        <f t="shared" si="114"/>
        <v>#VALUE!</v>
      </c>
      <c r="BC84">
        <f t="shared" si="96"/>
        <v>256</v>
      </c>
      <c r="BD84" s="604" t="e">
        <f t="shared" si="107"/>
        <v>#VALUE!</v>
      </c>
      <c r="BE84" s="614">
        <f t="shared" si="97"/>
        <v>193.99467872131387</v>
      </c>
      <c r="BF84" s="614">
        <f t="shared" si="98"/>
        <v>19.080988765413235</v>
      </c>
      <c r="BG84" s="9"/>
      <c r="BH84" s="4" t="e">
        <f t="shared" si="108"/>
        <v>#VALUE!</v>
      </c>
      <c r="BI84" s="386">
        <f t="shared" si="109"/>
        <v>5.1119769804580999</v>
      </c>
      <c r="BJ84" s="386">
        <f t="shared" si="110"/>
        <v>4.4760855915729962</v>
      </c>
      <c r="BK84" s="386">
        <f t="shared" si="111"/>
        <v>0.9167498378082648</v>
      </c>
      <c r="BL84" s="386">
        <f t="shared" si="112"/>
        <v>0.55982916400471905</v>
      </c>
      <c r="BR84" s="18"/>
      <c r="BS84" s="19"/>
    </row>
    <row r="85" spans="1:71" x14ac:dyDescent="0.2">
      <c r="G85">
        <v>76</v>
      </c>
      <c r="H85" s="610">
        <f t="shared" si="59"/>
        <v>23.82</v>
      </c>
      <c r="I85" s="4" t="str">
        <f t="shared" si="60"/>
        <v>BUCK</v>
      </c>
      <c r="J85">
        <f t="shared" si="99"/>
        <v>1</v>
      </c>
      <c r="K85">
        <f t="shared" si="61"/>
        <v>20</v>
      </c>
      <c r="L85" s="4">
        <f t="shared" si="62"/>
        <v>11.941412445190782</v>
      </c>
      <c r="M85" s="4">
        <f t="shared" si="63"/>
        <v>20</v>
      </c>
      <c r="N85" s="386">
        <f t="shared" si="64"/>
        <v>0.54203517587939709</v>
      </c>
      <c r="O85" s="386">
        <f t="shared" si="100"/>
        <v>0</v>
      </c>
      <c r="P85" s="4">
        <f t="shared" si="65"/>
        <v>11.855610180904524</v>
      </c>
      <c r="Q85" s="386">
        <f t="shared" si="66"/>
        <v>20.290711119379985</v>
      </c>
      <c r="R85" s="386">
        <f t="shared" si="101"/>
        <v>1.0197371799165933</v>
      </c>
      <c r="S85" s="386">
        <f t="shared" si="67"/>
        <v>4.1862377185038593</v>
      </c>
      <c r="T85" s="386">
        <f t="shared" si="102"/>
        <v>5.2059748984204521</v>
      </c>
      <c r="U85" s="4">
        <f t="shared" si="68"/>
        <v>3.4224198646762476</v>
      </c>
      <c r="V85" s="386">
        <f t="shared" si="103"/>
        <v>2.3425915460261171E-2</v>
      </c>
      <c r="W85" s="386">
        <f t="shared" si="104"/>
        <v>2.3425915460261171E-2</v>
      </c>
      <c r="X85" s="386">
        <f t="shared" si="69"/>
        <v>10.109439190527711</v>
      </c>
      <c r="Y85" s="386">
        <f t="shared" si="105"/>
        <v>0.20440152149395516</v>
      </c>
      <c r="Z85" s="603">
        <f t="shared" si="106"/>
        <v>0.20440152149395516</v>
      </c>
      <c r="AA85" s="386">
        <f t="shared" si="70"/>
        <v>14.938638005356381</v>
      </c>
      <c r="AB85" s="386">
        <f t="shared" si="71"/>
        <v>0.4240095203646484</v>
      </c>
      <c r="AC85" s="386">
        <f t="shared" si="72"/>
        <v>1.6515659342084139</v>
      </c>
      <c r="AD85">
        <f t="shared" si="73"/>
        <v>0</v>
      </c>
      <c r="AE85" s="386">
        <f t="shared" si="74"/>
        <v>2.2678974790376523</v>
      </c>
      <c r="AF85" s="386">
        <f t="shared" si="75"/>
        <v>13.731352893107529</v>
      </c>
      <c r="AG85" s="386">
        <f t="shared" si="76"/>
        <v>0.35824509932259979</v>
      </c>
      <c r="AH85" s="386">
        <f t="shared" si="77"/>
        <v>0</v>
      </c>
      <c r="AI85" s="386">
        <f t="shared" si="78"/>
        <v>0.38589402821583585</v>
      </c>
      <c r="AJ85" s="386">
        <f t="shared" si="79"/>
        <v>0</v>
      </c>
      <c r="AK85" s="386">
        <f t="shared" si="80"/>
        <v>0</v>
      </c>
      <c r="AL85" s="386">
        <f t="shared" si="81"/>
        <v>0</v>
      </c>
      <c r="AM85">
        <f t="shared" si="82"/>
        <v>0</v>
      </c>
      <c r="AN85" s="386">
        <f t="shared" si="83"/>
        <v>0</v>
      </c>
      <c r="AO85" s="386">
        <f t="shared" si="84"/>
        <v>20.290711119379985</v>
      </c>
      <c r="AP85" s="386">
        <f t="shared" si="85"/>
        <v>0.20585647886506528</v>
      </c>
      <c r="AQ85" s="386">
        <f t="shared" si="86"/>
        <v>0</v>
      </c>
      <c r="AR85" s="386">
        <f t="shared" si="87"/>
        <v>0.21469578242448209</v>
      </c>
      <c r="AS85" s="386">
        <f t="shared" si="88"/>
        <v>0.20585647886506528</v>
      </c>
      <c r="AT85" s="386">
        <f t="shared" si="89"/>
        <v>0.27500000000000002</v>
      </c>
      <c r="AU85" s="386">
        <f t="shared" si="90"/>
        <v>1.6350125000000002</v>
      </c>
      <c r="AV85" s="386">
        <f t="shared" si="91"/>
        <v>0.56565015682515751</v>
      </c>
      <c r="AW85" s="386" t="e">
        <f t="shared" si="92"/>
        <v>#VALUE!</v>
      </c>
      <c r="AX85" s="386">
        <f t="shared" si="93"/>
        <v>3.8400000000000004E-2</v>
      </c>
      <c r="AY85" s="386">
        <f t="shared" si="94"/>
        <v>0.61440000000000006</v>
      </c>
      <c r="AZ85" s="386">
        <f t="shared" si="95"/>
        <v>0.47314285714285709</v>
      </c>
      <c r="BA85" s="386">
        <f t="shared" si="113"/>
        <v>0.65280000000000005</v>
      </c>
      <c r="BB85" s="386" t="e">
        <f t="shared" si="114"/>
        <v>#VALUE!</v>
      </c>
      <c r="BC85">
        <f t="shared" si="96"/>
        <v>256</v>
      </c>
      <c r="BD85" s="604" t="e">
        <f t="shared" si="107"/>
        <v>#VALUE!</v>
      </c>
      <c r="BE85" s="614">
        <f t="shared" si="97"/>
        <v>195.14549895188262</v>
      </c>
      <c r="BF85" s="614">
        <f t="shared" si="98"/>
        <v>19.294701410791792</v>
      </c>
      <c r="BG85" s="9"/>
      <c r="BH85" s="4" t="e">
        <f t="shared" si="108"/>
        <v>#VALUE!</v>
      </c>
      <c r="BI85" s="386">
        <f t="shared" si="109"/>
        <v>5.2059748984204521</v>
      </c>
      <c r="BJ85" s="386">
        <f t="shared" si="110"/>
        <v>4.5034997896779707</v>
      </c>
      <c r="BK85" s="386">
        <f t="shared" si="111"/>
        <v>0.92544815321583596</v>
      </c>
      <c r="BL85" s="386">
        <f t="shared" si="112"/>
        <v>0.56565015682515751</v>
      </c>
      <c r="BR85" s="18"/>
      <c r="BS85" s="19"/>
    </row>
    <row r="86" spans="1:71" x14ac:dyDescent="0.2">
      <c r="G86">
        <v>77</v>
      </c>
      <c r="H86" s="610">
        <f t="shared" si="59"/>
        <v>24.015000000000001</v>
      </c>
      <c r="I86" s="4" t="str">
        <f t="shared" si="60"/>
        <v>BUCK</v>
      </c>
      <c r="J86">
        <f t="shared" si="99"/>
        <v>1</v>
      </c>
      <c r="K86">
        <f t="shared" si="61"/>
        <v>20</v>
      </c>
      <c r="L86" s="4">
        <f t="shared" si="62"/>
        <v>11.844449071182362</v>
      </c>
      <c r="M86" s="4">
        <f t="shared" si="63"/>
        <v>20</v>
      </c>
      <c r="N86" s="386">
        <f t="shared" si="64"/>
        <v>0.53764485981308419</v>
      </c>
      <c r="O86" s="386">
        <f t="shared" si="100"/>
        <v>0</v>
      </c>
      <c r="P86" s="4">
        <f t="shared" si="65"/>
        <v>11.969264927102806</v>
      </c>
      <c r="Q86" s="386">
        <f t="shared" si="66"/>
        <v>20.296270804623141</v>
      </c>
      <c r="R86" s="386">
        <f t="shared" si="101"/>
        <v>1.0203416966628807</v>
      </c>
      <c r="S86" s="386">
        <f t="shared" si="67"/>
        <v>4.2792796527491266</v>
      </c>
      <c r="T86" s="386">
        <f t="shared" si="102"/>
        <v>5.299621349412007</v>
      </c>
      <c r="U86" s="4">
        <f t="shared" si="68"/>
        <v>3.4552291638323758</v>
      </c>
      <c r="V86" s="386">
        <f t="shared" si="103"/>
        <v>2.3877217149195558E-2</v>
      </c>
      <c r="W86" s="386">
        <f t="shared" si="104"/>
        <v>2.3877217149195558E-2</v>
      </c>
      <c r="X86" s="386">
        <f t="shared" si="69"/>
        <v>10.119331960650024</v>
      </c>
      <c r="Y86" s="386">
        <f t="shared" si="105"/>
        <v>0.20480175865966613</v>
      </c>
      <c r="Z86" s="603">
        <f t="shared" si="106"/>
        <v>0.20480175865966613</v>
      </c>
      <c r="AA86" s="386">
        <f t="shared" si="70"/>
        <v>14.882092442216805</v>
      </c>
      <c r="AB86" s="386">
        <f t="shared" si="71"/>
        <v>0.42080568337150448</v>
      </c>
      <c r="AC86" s="386">
        <f t="shared" si="72"/>
        <v>1.6650863102441251</v>
      </c>
      <c r="AD86">
        <f t="shared" si="73"/>
        <v>0</v>
      </c>
      <c r="AE86" s="386">
        <f t="shared" si="74"/>
        <v>2.2775753215375674</v>
      </c>
      <c r="AF86" s="386">
        <f t="shared" si="75"/>
        <v>13.800794655233124</v>
      </c>
      <c r="AG86" s="386">
        <f t="shared" si="76"/>
        <v>0.36187767292023121</v>
      </c>
      <c r="AH86" s="386">
        <f t="shared" si="77"/>
        <v>0</v>
      </c>
      <c r="AI86" s="386">
        <f t="shared" si="78"/>
        <v>0.39011225599570892</v>
      </c>
      <c r="AJ86" s="386">
        <f t="shared" si="79"/>
        <v>0</v>
      </c>
      <c r="AK86" s="386">
        <f t="shared" si="80"/>
        <v>0</v>
      </c>
      <c r="AL86" s="386">
        <f t="shared" si="81"/>
        <v>0</v>
      </c>
      <c r="AM86">
        <f t="shared" si="82"/>
        <v>0</v>
      </c>
      <c r="AN86" s="386">
        <f t="shared" si="83"/>
        <v>0</v>
      </c>
      <c r="AO86" s="386">
        <f t="shared" si="84"/>
        <v>20.296270804623141</v>
      </c>
      <c r="AP86" s="386">
        <f t="shared" si="85"/>
        <v>0.20596930428729887</v>
      </c>
      <c r="AQ86" s="386">
        <f t="shared" si="86"/>
        <v>0</v>
      </c>
      <c r="AR86" s="386">
        <f t="shared" si="87"/>
        <v>0.21481850801612212</v>
      </c>
      <c r="AS86" s="386">
        <f t="shared" si="88"/>
        <v>0.20596930428729887</v>
      </c>
      <c r="AT86" s="386">
        <f t="shared" si="89"/>
        <v>0.27500000000000002</v>
      </c>
      <c r="AU86" s="386">
        <f t="shared" si="90"/>
        <v>1.64841875</v>
      </c>
      <c r="AV86" s="386">
        <f t="shared" si="91"/>
        <v>0.57138579934773348</v>
      </c>
      <c r="AW86" s="386" t="e">
        <f t="shared" si="92"/>
        <v>#VALUE!</v>
      </c>
      <c r="AX86" s="386">
        <f t="shared" si="93"/>
        <v>3.8400000000000004E-2</v>
      </c>
      <c r="AY86" s="386">
        <f t="shared" si="94"/>
        <v>0.61440000000000006</v>
      </c>
      <c r="AZ86" s="386">
        <f t="shared" si="95"/>
        <v>0.47314285714285709</v>
      </c>
      <c r="BA86" s="386">
        <f t="shared" si="113"/>
        <v>0.65280000000000005</v>
      </c>
      <c r="BB86" s="386" t="e">
        <f t="shared" si="114"/>
        <v>#VALUE!</v>
      </c>
      <c r="BC86">
        <f t="shared" si="96"/>
        <v>256</v>
      </c>
      <c r="BD86" s="604" t="e">
        <f t="shared" si="107"/>
        <v>#VALUE!</v>
      </c>
      <c r="BE86" s="614">
        <f t="shared" si="97"/>
        <v>196.29970357687836</v>
      </c>
      <c r="BF86" s="614">
        <f t="shared" si="98"/>
        <v>19.505612799785446</v>
      </c>
      <c r="BG86" s="9"/>
      <c r="BH86" s="4" t="e">
        <f t="shared" si="108"/>
        <v>#VALUE!</v>
      </c>
      <c r="BI86" s="386">
        <f t="shared" si="109"/>
        <v>5.299621349412007</v>
      </c>
      <c r="BJ86" s="386">
        <f t="shared" si="110"/>
        <v>4.5309248355493983</v>
      </c>
      <c r="BK86" s="386">
        <f t="shared" si="111"/>
        <v>0.93409044349570891</v>
      </c>
      <c r="BL86" s="386">
        <f t="shared" si="112"/>
        <v>0.57138579934773348</v>
      </c>
      <c r="BR86" s="18"/>
      <c r="BS86" s="19"/>
    </row>
    <row r="87" spans="1:71" x14ac:dyDescent="0.2">
      <c r="G87">
        <v>78</v>
      </c>
      <c r="H87" s="610">
        <f t="shared" si="59"/>
        <v>24.21</v>
      </c>
      <c r="I87" s="4" t="str">
        <f t="shared" si="60"/>
        <v>BUCK</v>
      </c>
      <c r="J87">
        <f t="shared" si="99"/>
        <v>1</v>
      </c>
      <c r="K87">
        <f t="shared" si="61"/>
        <v>20</v>
      </c>
      <c r="L87" s="4">
        <f t="shared" si="62"/>
        <v>11.749047684611501</v>
      </c>
      <c r="M87" s="4">
        <f t="shared" si="63"/>
        <v>20</v>
      </c>
      <c r="N87" s="386">
        <f t="shared" si="64"/>
        <v>0.53332509270704576</v>
      </c>
      <c r="O87" s="386">
        <f t="shared" si="100"/>
        <v>0</v>
      </c>
      <c r="P87" s="4">
        <f t="shared" si="65"/>
        <v>12.081093330037083</v>
      </c>
      <c r="Q87" s="386">
        <f t="shared" si="66"/>
        <v>20.301791415310017</v>
      </c>
      <c r="R87" s="386">
        <f t="shared" si="101"/>
        <v>1.0209421821370257</v>
      </c>
      <c r="S87" s="386">
        <f t="shared" si="67"/>
        <v>4.3719578975145534</v>
      </c>
      <c r="T87" s="386">
        <f t="shared" si="102"/>
        <v>5.3929000796515787</v>
      </c>
      <c r="U87" s="4">
        <f t="shared" si="68"/>
        <v>3.4875112431009514</v>
      </c>
      <c r="V87" s="386">
        <f t="shared" si="103"/>
        <v>2.4325469341511089E-2</v>
      </c>
      <c r="W87" s="386">
        <f t="shared" si="104"/>
        <v>2.4325469341511089E-2</v>
      </c>
      <c r="X87" s="386">
        <f t="shared" si="69"/>
        <v>10.128324218623675</v>
      </c>
      <c r="Y87" s="386">
        <f t="shared" si="105"/>
        <v>0.20516590295511777</v>
      </c>
      <c r="Z87" s="603">
        <f t="shared" si="106"/>
        <v>0.20516590295511777</v>
      </c>
      <c r="AA87" s="386">
        <f t="shared" si="70"/>
        <v>14.82621761200982</v>
      </c>
      <c r="AB87" s="386">
        <f t="shared" si="71"/>
        <v>0.41765178448947338</v>
      </c>
      <c r="AC87" s="386">
        <f t="shared" si="72"/>
        <v>1.6786066862798366</v>
      </c>
      <c r="AD87">
        <f t="shared" si="73"/>
        <v>0</v>
      </c>
      <c r="AE87" s="386">
        <f t="shared" si="74"/>
        <v>2.2873190471141034</v>
      </c>
      <c r="AF87" s="386">
        <f t="shared" si="75"/>
        <v>13.868886256368439</v>
      </c>
      <c r="AG87" s="386">
        <f t="shared" si="76"/>
        <v>0.36545741138496218</v>
      </c>
      <c r="AH87" s="386">
        <f t="shared" si="77"/>
        <v>0</v>
      </c>
      <c r="AI87" s="386">
        <f t="shared" si="78"/>
        <v>0.39427559936845197</v>
      </c>
      <c r="AJ87" s="386">
        <f t="shared" si="79"/>
        <v>0</v>
      </c>
      <c r="AK87" s="386">
        <f t="shared" si="80"/>
        <v>0</v>
      </c>
      <c r="AL87" s="386">
        <f t="shared" si="81"/>
        <v>0</v>
      </c>
      <c r="AM87">
        <f t="shared" si="82"/>
        <v>0</v>
      </c>
      <c r="AN87" s="386">
        <f t="shared" si="83"/>
        <v>0</v>
      </c>
      <c r="AO87" s="386">
        <f t="shared" si="84"/>
        <v>20.301791415310017</v>
      </c>
      <c r="AP87" s="386">
        <f t="shared" si="85"/>
        <v>0.20608136733537777</v>
      </c>
      <c r="AQ87" s="386">
        <f t="shared" si="86"/>
        <v>0</v>
      </c>
      <c r="AR87" s="386">
        <f t="shared" si="87"/>
        <v>0.2149404100553442</v>
      </c>
      <c r="AS87" s="386">
        <f t="shared" si="88"/>
        <v>0.20608136733537777</v>
      </c>
      <c r="AT87" s="386">
        <f t="shared" si="89"/>
        <v>0.27500000000000002</v>
      </c>
      <c r="AU87" s="386">
        <f t="shared" si="90"/>
        <v>1.6618250000000001</v>
      </c>
      <c r="AV87" s="386">
        <f t="shared" si="91"/>
        <v>0.57703801797625609</v>
      </c>
      <c r="AW87" s="386" t="e">
        <f t="shared" si="92"/>
        <v>#VALUE!</v>
      </c>
      <c r="AX87" s="386">
        <f t="shared" si="93"/>
        <v>3.8400000000000004E-2</v>
      </c>
      <c r="AY87" s="386">
        <f t="shared" si="94"/>
        <v>0.61440000000000006</v>
      </c>
      <c r="AZ87" s="386">
        <f t="shared" si="95"/>
        <v>0.47314285714285709</v>
      </c>
      <c r="BA87" s="386">
        <f t="shared" si="113"/>
        <v>0.65280000000000005</v>
      </c>
      <c r="BB87" s="386" t="e">
        <f t="shared" si="114"/>
        <v>#VALUE!</v>
      </c>
      <c r="BC87">
        <f t="shared" si="96"/>
        <v>256</v>
      </c>
      <c r="BD87" s="604" t="e">
        <f t="shared" si="107"/>
        <v>#VALUE!</v>
      </c>
      <c r="BE87" s="614">
        <f t="shared" si="97"/>
        <v>197.45720235570516</v>
      </c>
      <c r="BF87" s="614">
        <f t="shared" si="98"/>
        <v>19.7137799684226</v>
      </c>
      <c r="BG87" s="9"/>
      <c r="BH87" s="4" t="e">
        <f t="shared" si="108"/>
        <v>#VALUE!</v>
      </c>
      <c r="BI87" s="386">
        <f t="shared" si="109"/>
        <v>5.3929000796515787</v>
      </c>
      <c r="BJ87" s="386">
        <f t="shared" si="110"/>
        <v>4.5583600565379001</v>
      </c>
      <c r="BK87" s="386">
        <f t="shared" si="111"/>
        <v>0.942677849368452</v>
      </c>
      <c r="BL87" s="386">
        <f t="shared" si="112"/>
        <v>0.57703801797625609</v>
      </c>
      <c r="BR87" s="18"/>
      <c r="BS87" s="19"/>
    </row>
    <row r="88" spans="1:71" x14ac:dyDescent="0.2">
      <c r="G88">
        <v>79</v>
      </c>
      <c r="H88" s="610">
        <f t="shared" si="59"/>
        <v>24.405000000000001</v>
      </c>
      <c r="I88" s="4" t="str">
        <f t="shared" si="60"/>
        <v>BUCK</v>
      </c>
      <c r="J88">
        <f t="shared" si="99"/>
        <v>1</v>
      </c>
      <c r="K88">
        <f t="shared" si="61"/>
        <v>20</v>
      </c>
      <c r="L88" s="4">
        <f t="shared" si="62"/>
        <v>11.655170843861685</v>
      </c>
      <c r="M88" s="4">
        <f t="shared" si="63"/>
        <v>20</v>
      </c>
      <c r="N88" s="386">
        <f t="shared" si="64"/>
        <v>0.52907418761496017</v>
      </c>
      <c r="O88" s="386">
        <f t="shared" si="100"/>
        <v>0</v>
      </c>
      <c r="P88" s="4">
        <f t="shared" si="65"/>
        <v>12.191139060698958</v>
      </c>
      <c r="Q88" s="386">
        <f t="shared" si="66"/>
        <v>20.307272653734383</v>
      </c>
      <c r="R88" s="386">
        <f t="shared" si="101"/>
        <v>1.0215385993899595</v>
      </c>
      <c r="S88" s="386">
        <f t="shared" si="67"/>
        <v>4.4642574129132493</v>
      </c>
      <c r="T88" s="386">
        <f t="shared" si="102"/>
        <v>5.4857960123032088</v>
      </c>
      <c r="U88" s="4">
        <f t="shared" si="68"/>
        <v>3.5192787092113527</v>
      </c>
      <c r="V88" s="386">
        <f t="shared" si="103"/>
        <v>2.477064526621665E-2</v>
      </c>
      <c r="W88" s="386">
        <f t="shared" si="104"/>
        <v>2.477064526621665E-2</v>
      </c>
      <c r="X88" s="386">
        <f t="shared" si="69"/>
        <v>10.136455883937472</v>
      </c>
      <c r="Y88" s="386">
        <f t="shared" si="105"/>
        <v>0.20549547577402122</v>
      </c>
      <c r="Z88" s="603">
        <f t="shared" si="106"/>
        <v>0.20549547577402122</v>
      </c>
      <c r="AA88" s="386">
        <f t="shared" si="70"/>
        <v>14.77099961263438</v>
      </c>
      <c r="AB88" s="386">
        <f t="shared" si="71"/>
        <v>0.41454661615724553</v>
      </c>
      <c r="AC88" s="386">
        <f t="shared" si="72"/>
        <v>1.6921270623155475</v>
      </c>
      <c r="AD88">
        <f t="shared" si="73"/>
        <v>0</v>
      </c>
      <c r="AE88" s="386">
        <f t="shared" si="74"/>
        <v>2.297126916496242</v>
      </c>
      <c r="AF88" s="386">
        <f t="shared" si="75"/>
        <v>13.935669810836625</v>
      </c>
      <c r="AG88" s="386">
        <f t="shared" si="76"/>
        <v>0.36898549684566029</v>
      </c>
      <c r="AH88" s="386">
        <f t="shared" si="77"/>
        <v>0</v>
      </c>
      <c r="AI88" s="386">
        <f t="shared" si="78"/>
        <v>0.39838516657023193</v>
      </c>
      <c r="AJ88" s="386">
        <f t="shared" si="79"/>
        <v>0</v>
      </c>
      <c r="AK88" s="386">
        <f t="shared" si="80"/>
        <v>0</v>
      </c>
      <c r="AL88" s="386">
        <f t="shared" si="81"/>
        <v>0</v>
      </c>
      <c r="AM88">
        <f t="shared" si="82"/>
        <v>0</v>
      </c>
      <c r="AN88" s="386">
        <f t="shared" si="83"/>
        <v>0</v>
      </c>
      <c r="AO88" s="386">
        <f t="shared" si="84"/>
        <v>20.307272653734383</v>
      </c>
      <c r="AP88" s="386">
        <f t="shared" si="85"/>
        <v>0.20619266131655414</v>
      </c>
      <c r="AQ88" s="386">
        <f t="shared" si="86"/>
        <v>0</v>
      </c>
      <c r="AR88" s="386">
        <f t="shared" si="87"/>
        <v>0.21506148114536261</v>
      </c>
      <c r="AS88" s="386">
        <f t="shared" si="88"/>
        <v>0.20619266131655414</v>
      </c>
      <c r="AT88" s="386">
        <f t="shared" si="89"/>
        <v>0.27500000000000002</v>
      </c>
      <c r="AU88" s="386">
        <f t="shared" si="90"/>
        <v>1.6752312500000002</v>
      </c>
      <c r="AV88" s="386">
        <f t="shared" si="91"/>
        <v>0.58260867922998993</v>
      </c>
      <c r="AW88" s="386" t="e">
        <f t="shared" si="92"/>
        <v>#VALUE!</v>
      </c>
      <c r="AX88" s="386">
        <f t="shared" si="93"/>
        <v>3.8400000000000004E-2</v>
      </c>
      <c r="AY88" s="386">
        <f t="shared" si="94"/>
        <v>0.61440000000000006</v>
      </c>
      <c r="AZ88" s="386">
        <f t="shared" si="95"/>
        <v>0.47314285714285709</v>
      </c>
      <c r="BA88" s="386">
        <f t="shared" si="113"/>
        <v>0.65280000000000005</v>
      </c>
      <c r="BB88" s="386" t="e">
        <f t="shared" si="114"/>
        <v>#VALUE!</v>
      </c>
      <c r="BC88">
        <f t="shared" si="96"/>
        <v>256</v>
      </c>
      <c r="BD88" s="604" t="e">
        <f t="shared" si="107"/>
        <v>#VALUE!</v>
      </c>
      <c r="BE88" s="614">
        <f t="shared" si="97"/>
        <v>198.61790832481211</v>
      </c>
      <c r="BF88" s="614">
        <f t="shared" si="98"/>
        <v>19.919258328511596</v>
      </c>
      <c r="BG88" s="9"/>
      <c r="BH88" s="4" t="e">
        <f t="shared" si="108"/>
        <v>#VALUE!</v>
      </c>
      <c r="BI88" s="386">
        <f t="shared" si="109"/>
        <v>5.4857960123032088</v>
      </c>
      <c r="BJ88" s="386">
        <f t="shared" si="110"/>
        <v>4.5858048142118371</v>
      </c>
      <c r="BK88" s="386">
        <f t="shared" si="111"/>
        <v>0.95121147907023196</v>
      </c>
      <c r="BL88" s="386">
        <f t="shared" si="112"/>
        <v>0.58260867922998993</v>
      </c>
      <c r="BR88" s="18"/>
      <c r="BS88" s="19"/>
    </row>
    <row r="89" spans="1:71" x14ac:dyDescent="0.2">
      <c r="G89">
        <v>80</v>
      </c>
      <c r="H89" s="610">
        <f t="shared" si="59"/>
        <v>24.6</v>
      </c>
      <c r="I89" s="4" t="str">
        <f t="shared" si="60"/>
        <v>BUCK</v>
      </c>
      <c r="J89">
        <f t="shared" si="99"/>
        <v>1</v>
      </c>
      <c r="K89">
        <f t="shared" si="61"/>
        <v>20</v>
      </c>
      <c r="L89" s="4">
        <f t="shared" si="62"/>
        <v>11.562782294489612</v>
      </c>
      <c r="M89" s="4">
        <f t="shared" si="63"/>
        <v>20</v>
      </c>
      <c r="N89" s="386">
        <f t="shared" si="64"/>
        <v>0.52489051094890515</v>
      </c>
      <c r="O89" s="386">
        <f t="shared" si="100"/>
        <v>0</v>
      </c>
      <c r="P89" s="4">
        <f t="shared" si="65"/>
        <v>12.299444408759125</v>
      </c>
      <c r="Q89" s="386">
        <f t="shared" si="66"/>
        <v>20.312714271206584</v>
      </c>
      <c r="R89" s="386">
        <f t="shared" si="101"/>
        <v>1.0221309167933565</v>
      </c>
      <c r="S89" s="386">
        <f t="shared" si="67"/>
        <v>4.5561642641949813</v>
      </c>
      <c r="T89" s="386">
        <f t="shared" si="102"/>
        <v>5.5782951809883379</v>
      </c>
      <c r="U89" s="4">
        <f t="shared" si="68"/>
        <v>3.5505437701399596</v>
      </c>
      <c r="V89" s="386">
        <f t="shared" si="103"/>
        <v>2.5212722127359356E-2</v>
      </c>
      <c r="W89" s="386">
        <f t="shared" si="104"/>
        <v>2.5212722127359356E-2</v>
      </c>
      <c r="X89" s="386">
        <f t="shared" si="69"/>
        <v>10.143764840429732</v>
      </c>
      <c r="Y89" s="386">
        <f t="shared" si="105"/>
        <v>0.20579193027587686</v>
      </c>
      <c r="Z89" s="603">
        <f t="shared" si="106"/>
        <v>0.20579193027587686</v>
      </c>
      <c r="AA89" s="386">
        <f t="shared" si="70"/>
        <v>14.716424962588</v>
      </c>
      <c r="AB89" s="386">
        <f t="shared" si="71"/>
        <v>0.41148901099101814</v>
      </c>
      <c r="AC89" s="386">
        <f t="shared" si="72"/>
        <v>1.7056474383512588</v>
      </c>
      <c r="AD89">
        <f t="shared" si="73"/>
        <v>0</v>
      </c>
      <c r="AE89" s="386">
        <f t="shared" si="74"/>
        <v>2.3069972529362213</v>
      </c>
      <c r="AF89" s="386">
        <f t="shared" si="75"/>
        <v>14.00118557066495</v>
      </c>
      <c r="AG89" s="386">
        <f t="shared" si="76"/>
        <v>0.37246307502997317</v>
      </c>
      <c r="AH89" s="386">
        <f t="shared" si="77"/>
        <v>0</v>
      </c>
      <c r="AI89" s="386">
        <f t="shared" si="78"/>
        <v>0.40244203457370104</v>
      </c>
      <c r="AJ89" s="386">
        <f t="shared" si="79"/>
        <v>0</v>
      </c>
      <c r="AK89" s="386">
        <f t="shared" si="80"/>
        <v>0</v>
      </c>
      <c r="AL89" s="386">
        <f t="shared" si="81"/>
        <v>0</v>
      </c>
      <c r="AM89">
        <f t="shared" si="82"/>
        <v>0</v>
      </c>
      <c r="AN89" s="386">
        <f t="shared" si="83"/>
        <v>0</v>
      </c>
      <c r="AO89" s="386">
        <f t="shared" si="84"/>
        <v>20.312714271206584</v>
      </c>
      <c r="AP89" s="386">
        <f t="shared" si="85"/>
        <v>0.20630318053183982</v>
      </c>
      <c r="AQ89" s="386">
        <f t="shared" si="86"/>
        <v>0</v>
      </c>
      <c r="AR89" s="386">
        <f t="shared" si="87"/>
        <v>0.21518171496995953</v>
      </c>
      <c r="AS89" s="386">
        <f t="shared" si="88"/>
        <v>0.20630318053183982</v>
      </c>
      <c r="AT89" s="386">
        <f t="shared" si="89"/>
        <v>0.27500000000000002</v>
      </c>
      <c r="AU89" s="386">
        <f t="shared" si="90"/>
        <v>1.6886375000000002</v>
      </c>
      <c r="AV89" s="386">
        <f t="shared" si="91"/>
        <v>0.58809959215258922</v>
      </c>
      <c r="AW89" s="386" t="e">
        <f t="shared" si="92"/>
        <v>#VALUE!</v>
      </c>
      <c r="AX89" s="386">
        <f t="shared" si="93"/>
        <v>3.8400000000000004E-2</v>
      </c>
      <c r="AY89" s="386">
        <f t="shared" si="94"/>
        <v>0.61440000000000006</v>
      </c>
      <c r="AZ89" s="386">
        <f t="shared" si="95"/>
        <v>0.47314285714285709</v>
      </c>
      <c r="BA89" s="386">
        <f t="shared" si="113"/>
        <v>0.65280000000000005</v>
      </c>
      <c r="BB89" s="386" t="e">
        <f t="shared" si="114"/>
        <v>#VALUE!</v>
      </c>
      <c r="BC89">
        <f t="shared" si="96"/>
        <v>256</v>
      </c>
      <c r="BD89" s="604" t="e">
        <f t="shared" si="107"/>
        <v>#VALUE!</v>
      </c>
      <c r="BE89" s="614">
        <f t="shared" si="97"/>
        <v>199.78173764681108</v>
      </c>
      <c r="BF89" s="614">
        <f t="shared" si="98"/>
        <v>20.122101728685053</v>
      </c>
      <c r="BG89" s="9"/>
      <c r="BH89" s="4" t="e">
        <f t="shared" si="108"/>
        <v>#VALUE!</v>
      </c>
      <c r="BI89" s="386">
        <f t="shared" si="109"/>
        <v>5.5782951809883379</v>
      </c>
      <c r="BJ89" s="386">
        <f t="shared" si="110"/>
        <v>4.6132585024798818</v>
      </c>
      <c r="BK89" s="386">
        <f t="shared" si="111"/>
        <v>0.95969240957370117</v>
      </c>
      <c r="BL89" s="386">
        <f t="shared" si="112"/>
        <v>0.58809959215258922</v>
      </c>
      <c r="BR89" s="18"/>
      <c r="BS89" s="19"/>
    </row>
    <row r="90" spans="1:71" x14ac:dyDescent="0.2">
      <c r="G90">
        <v>81</v>
      </c>
      <c r="H90" s="610">
        <f t="shared" si="59"/>
        <v>24.795000000000002</v>
      </c>
      <c r="I90" s="4" t="str">
        <f t="shared" si="60"/>
        <v>BUCK</v>
      </c>
      <c r="J90">
        <f t="shared" si="99"/>
        <v>1</v>
      </c>
      <c r="K90">
        <f t="shared" si="61"/>
        <v>20</v>
      </c>
      <c r="L90" s="4">
        <f t="shared" si="62"/>
        <v>11.471846922542625</v>
      </c>
      <c r="M90" s="4">
        <f t="shared" si="63"/>
        <v>20</v>
      </c>
      <c r="N90" s="386">
        <f t="shared" si="64"/>
        <v>0.52077248038624024</v>
      </c>
      <c r="O90" s="386">
        <f t="shared" si="100"/>
        <v>0</v>
      </c>
      <c r="P90" s="4">
        <f t="shared" si="65"/>
        <v>12.40605033675317</v>
      </c>
      <c r="Q90" s="386">
        <f t="shared" si="66"/>
        <v>20.318116064565906</v>
      </c>
      <c r="R90" s="386">
        <f t="shared" si="101"/>
        <v>1.0227191076700703</v>
      </c>
      <c r="S90" s="386">
        <f t="shared" si="67"/>
        <v>4.6476655593465663</v>
      </c>
      <c r="T90" s="386">
        <f t="shared" si="102"/>
        <v>5.6703846670166369</v>
      </c>
      <c r="U90" s="4">
        <f t="shared" si="68"/>
        <v>3.5813182507522452</v>
      </c>
      <c r="V90" s="386">
        <f t="shared" si="103"/>
        <v>2.5651680826342244E-2</v>
      </c>
      <c r="W90" s="386">
        <f t="shared" si="104"/>
        <v>2.5651680826342244E-2</v>
      </c>
      <c r="X90" s="386">
        <f t="shared" si="69"/>
        <v>10.150287061391456</v>
      </c>
      <c r="Y90" s="386">
        <f t="shared" si="105"/>
        <v>0.2060566548573016</v>
      </c>
      <c r="Z90" s="603">
        <f t="shared" si="106"/>
        <v>0.2060566548573016</v>
      </c>
      <c r="AA90" s="386">
        <f t="shared" si="70"/>
        <v>14.662480584113363</v>
      </c>
      <c r="AB90" s="386">
        <f t="shared" si="71"/>
        <v>0.40847784007105253</v>
      </c>
      <c r="AC90" s="386">
        <f t="shared" si="72"/>
        <v>1.7191678143869702</v>
      </c>
      <c r="AD90">
        <f t="shared" si="73"/>
        <v>0</v>
      </c>
      <c r="AE90" s="386">
        <f t="shared" si="74"/>
        <v>2.3169284393598</v>
      </c>
      <c r="AF90" s="386">
        <f t="shared" si="75"/>
        <v>14.065472033802131</v>
      </c>
      <c r="AG90" s="386">
        <f t="shared" si="76"/>
        <v>0.37589125671397267</v>
      </c>
      <c r="AH90" s="386">
        <f t="shared" si="77"/>
        <v>0</v>
      </c>
      <c r="AI90" s="386">
        <f t="shared" si="78"/>
        <v>0.40644725025092437</v>
      </c>
      <c r="AJ90" s="386">
        <f t="shared" si="79"/>
        <v>0</v>
      </c>
      <c r="AK90" s="386">
        <f t="shared" si="80"/>
        <v>0</v>
      </c>
      <c r="AL90" s="386">
        <f t="shared" si="81"/>
        <v>0</v>
      </c>
      <c r="AM90">
        <f t="shared" si="82"/>
        <v>0</v>
      </c>
      <c r="AN90" s="386">
        <f t="shared" si="83"/>
        <v>0</v>
      </c>
      <c r="AO90" s="386">
        <f t="shared" si="84"/>
        <v>20.318116064565906</v>
      </c>
      <c r="AP90" s="386">
        <f t="shared" si="85"/>
        <v>0.20641292020658558</v>
      </c>
      <c r="AQ90" s="386">
        <f t="shared" si="86"/>
        <v>0</v>
      </c>
      <c r="AR90" s="386">
        <f t="shared" si="87"/>
        <v>0.21530110621822812</v>
      </c>
      <c r="AS90" s="386">
        <f t="shared" si="88"/>
        <v>0.20641292020658558</v>
      </c>
      <c r="AT90" s="386">
        <f t="shared" si="89"/>
        <v>0.27500000000000002</v>
      </c>
      <c r="AU90" s="386">
        <f t="shared" si="90"/>
        <v>1.7020437500000003</v>
      </c>
      <c r="AV90" s="386">
        <f t="shared" si="91"/>
        <v>0.59351251060100951</v>
      </c>
      <c r="AW90" s="386" t="e">
        <f t="shared" si="92"/>
        <v>#VALUE!</v>
      </c>
      <c r="AX90" s="386">
        <f t="shared" si="93"/>
        <v>3.8400000000000004E-2</v>
      </c>
      <c r="AY90" s="386">
        <f t="shared" si="94"/>
        <v>0.61440000000000006</v>
      </c>
      <c r="AZ90" s="386">
        <f t="shared" si="95"/>
        <v>0.47314285714285709</v>
      </c>
      <c r="BA90" s="386">
        <f t="shared" si="113"/>
        <v>0.65280000000000005</v>
      </c>
      <c r="BB90" s="386" t="e">
        <f t="shared" si="114"/>
        <v>#VALUE!</v>
      </c>
      <c r="BC90">
        <f t="shared" si="96"/>
        <v>256</v>
      </c>
      <c r="BD90" s="604" t="e">
        <f t="shared" si="107"/>
        <v>#VALUE!</v>
      </c>
      <c r="BE90" s="614">
        <f t="shared" si="97"/>
        <v>200.94860946799002</v>
      </c>
      <c r="BF90" s="614">
        <f t="shared" si="98"/>
        <v>20.322362512546217</v>
      </c>
      <c r="BG90" s="9"/>
      <c r="BH90" s="4" t="e">
        <f t="shared" si="108"/>
        <v>#VALUE!</v>
      </c>
      <c r="BI90" s="386">
        <f t="shared" si="109"/>
        <v>5.6703846670166369</v>
      </c>
      <c r="BJ90" s="386">
        <f t="shared" si="110"/>
        <v>4.6407205458289527</v>
      </c>
      <c r="BK90" s="386">
        <f t="shared" si="111"/>
        <v>0.96812168775092444</v>
      </c>
      <c r="BL90" s="386">
        <f t="shared" si="112"/>
        <v>0.59351251060100951</v>
      </c>
      <c r="BR90" s="18"/>
      <c r="BS90" s="19"/>
    </row>
    <row r="91" spans="1:71" x14ac:dyDescent="0.2">
      <c r="G91">
        <v>82</v>
      </c>
      <c r="H91" s="610">
        <f t="shared" si="59"/>
        <v>24.99</v>
      </c>
      <c r="I91" s="4" t="str">
        <f t="shared" si="60"/>
        <v>BUCK</v>
      </c>
      <c r="J91">
        <f t="shared" si="99"/>
        <v>1</v>
      </c>
      <c r="K91">
        <f t="shared" si="61"/>
        <v>20</v>
      </c>
      <c r="L91" s="4">
        <f t="shared" si="62"/>
        <v>11.382330710061803</v>
      </c>
      <c r="M91" s="4">
        <f t="shared" si="63"/>
        <v>20</v>
      </c>
      <c r="N91" s="386">
        <f t="shared" si="64"/>
        <v>0.51671856287425155</v>
      </c>
      <c r="O91" s="386">
        <f t="shared" si="100"/>
        <v>0</v>
      </c>
      <c r="P91" s="4">
        <f t="shared" si="65"/>
        <v>12.510996531736525</v>
      </c>
      <c r="Q91" s="386">
        <f t="shared" si="66"/>
        <v>20.323477872928812</v>
      </c>
      <c r="R91" s="386">
        <f t="shared" si="101"/>
        <v>1.0233031499492711</v>
      </c>
      <c r="S91" s="386">
        <f t="shared" si="67"/>
        <v>4.738749390175383</v>
      </c>
      <c r="T91" s="386">
        <f t="shared" si="102"/>
        <v>5.7620525401246541</v>
      </c>
      <c r="U91" s="4">
        <f t="shared" si="68"/>
        <v>3.6116136077142791</v>
      </c>
      <c r="V91" s="386">
        <f t="shared" si="103"/>
        <v>2.60875057028539E-2</v>
      </c>
      <c r="W91" s="386">
        <f t="shared" si="104"/>
        <v>2.60875057028539E-2</v>
      </c>
      <c r="X91" s="386">
        <f t="shared" si="69"/>
        <v>10.156056725480147</v>
      </c>
      <c r="Y91" s="386">
        <f t="shared" si="105"/>
        <v>0.20629097642234104</v>
      </c>
      <c r="Z91" s="603">
        <f t="shared" si="106"/>
        <v>0.20629097642234104</v>
      </c>
      <c r="AA91" s="386">
        <f t="shared" si="70"/>
        <v>14.609153787183462</v>
      </c>
      <c r="AB91" s="386">
        <f t="shared" si="71"/>
        <v>0.40551201131739611</v>
      </c>
      <c r="AC91" s="386">
        <f t="shared" si="72"/>
        <v>1.732688190422681</v>
      </c>
      <c r="AD91">
        <f t="shared" si="73"/>
        <v>0</v>
      </c>
      <c r="AE91" s="386">
        <f t="shared" si="74"/>
        <v>2.3269189156735304</v>
      </c>
      <c r="AF91" s="386">
        <f t="shared" si="75"/>
        <v>14.128566044501831</v>
      </c>
      <c r="AG91" s="386">
        <f t="shared" si="76"/>
        <v>0.37927111910031525</v>
      </c>
      <c r="AH91" s="386">
        <f t="shared" si="77"/>
        <v>0</v>
      </c>
      <c r="AI91" s="386">
        <f t="shared" si="78"/>
        <v>0.41040183148169124</v>
      </c>
      <c r="AJ91" s="386">
        <f t="shared" si="79"/>
        <v>0</v>
      </c>
      <c r="AK91" s="386">
        <f t="shared" si="80"/>
        <v>0</v>
      </c>
      <c r="AL91" s="386">
        <f t="shared" si="81"/>
        <v>0</v>
      </c>
      <c r="AM91">
        <f t="shared" si="82"/>
        <v>0</v>
      </c>
      <c r="AN91" s="386">
        <f t="shared" si="83"/>
        <v>0</v>
      </c>
      <c r="AO91" s="386">
        <f t="shared" si="84"/>
        <v>20.323477872928812</v>
      </c>
      <c r="AP91" s="386">
        <f t="shared" si="85"/>
        <v>0.20652187642571351</v>
      </c>
      <c r="AQ91" s="386">
        <f t="shared" si="86"/>
        <v>0</v>
      </c>
      <c r="AR91" s="386">
        <f t="shared" si="87"/>
        <v>0.21541965051435263</v>
      </c>
      <c r="AS91" s="386">
        <f t="shared" si="88"/>
        <v>0.20652187642571351</v>
      </c>
      <c r="AT91" s="386">
        <f t="shared" si="89"/>
        <v>0.27500000000000002</v>
      </c>
      <c r="AU91" s="386">
        <f t="shared" si="90"/>
        <v>1.7154499999999999</v>
      </c>
      <c r="AV91" s="386">
        <f t="shared" si="91"/>
        <v>0.59884913542155038</v>
      </c>
      <c r="AW91" s="386" t="e">
        <f t="shared" si="92"/>
        <v>#VALUE!</v>
      </c>
      <c r="AX91" s="386">
        <f t="shared" si="93"/>
        <v>3.8400000000000004E-2</v>
      </c>
      <c r="AY91" s="386">
        <f t="shared" si="94"/>
        <v>0.61440000000000006</v>
      </c>
      <c r="AZ91" s="386">
        <f t="shared" si="95"/>
        <v>0.47314285714285709</v>
      </c>
      <c r="BA91" s="386">
        <f t="shared" si="113"/>
        <v>0.65280000000000005</v>
      </c>
      <c r="BB91" s="386" t="e">
        <f t="shared" si="114"/>
        <v>#VALUE!</v>
      </c>
      <c r="BC91">
        <f t="shared" si="96"/>
        <v>256</v>
      </c>
      <c r="BD91" s="604" t="e">
        <f t="shared" si="107"/>
        <v>#VALUE!</v>
      </c>
      <c r="BE91" s="614">
        <f t="shared" si="97"/>
        <v>202.11844578367652</v>
      </c>
      <c r="BF91" s="614">
        <f t="shared" si="98"/>
        <v>20.52009157408456</v>
      </c>
      <c r="BG91" s="9"/>
      <c r="BH91" s="4" t="e">
        <f t="shared" si="108"/>
        <v>#VALUE!</v>
      </c>
      <c r="BI91" s="386">
        <f t="shared" si="109"/>
        <v>5.7620525401246541</v>
      </c>
      <c r="BJ91" s="386">
        <f t="shared" si="110"/>
        <v>4.6681903976695738</v>
      </c>
      <c r="BK91" s="386">
        <f t="shared" si="111"/>
        <v>0.97650033148169113</v>
      </c>
      <c r="BL91" s="386">
        <f t="shared" si="112"/>
        <v>0.59884913542155038</v>
      </c>
      <c r="BR91" s="18"/>
      <c r="BS91" s="19"/>
    </row>
    <row r="92" spans="1:71" x14ac:dyDescent="0.2">
      <c r="G92">
        <v>83</v>
      </c>
      <c r="H92" s="610">
        <f t="shared" si="59"/>
        <v>25.184999999999999</v>
      </c>
      <c r="I92" s="4" t="str">
        <f t="shared" si="60"/>
        <v>BUCK</v>
      </c>
      <c r="J92">
        <f t="shared" si="99"/>
        <v>1</v>
      </c>
      <c r="K92">
        <f t="shared" si="61"/>
        <v>20</v>
      </c>
      <c r="L92" s="4">
        <f t="shared" si="62"/>
        <v>11.294200692652153</v>
      </c>
      <c r="M92" s="4">
        <f t="shared" si="63"/>
        <v>20</v>
      </c>
      <c r="N92" s="386">
        <f t="shared" si="64"/>
        <v>0.51272727272727281</v>
      </c>
      <c r="O92" s="386">
        <f t="shared" si="100"/>
        <v>0</v>
      </c>
      <c r="P92" s="4">
        <f t="shared" si="65"/>
        <v>12.614321454545454</v>
      </c>
      <c r="Q92" s="386">
        <f t="shared" si="66"/>
        <v>20.328799574656408</v>
      </c>
      <c r="R92" s="386">
        <f t="shared" si="101"/>
        <v>1.0238830258445513</v>
      </c>
      <c r="S92" s="386">
        <f t="shared" si="67"/>
        <v>4.8294047766788113</v>
      </c>
      <c r="T92" s="386">
        <f t="shared" si="102"/>
        <v>5.8532878025233623</v>
      </c>
      <c r="U92" s="4">
        <f t="shared" si="68"/>
        <v>3.6414409437131448</v>
      </c>
      <c r="V92" s="386">
        <f t="shared" si="103"/>
        <v>2.6520184293100959E-2</v>
      </c>
      <c r="W92" s="386">
        <f t="shared" si="104"/>
        <v>2.6520184293100959E-2</v>
      </c>
      <c r="X92" s="386">
        <f t="shared" si="69"/>
        <v>10.161106324237299</v>
      </c>
      <c r="Y92" s="386">
        <f t="shared" si="105"/>
        <v>0.20649616346491045</v>
      </c>
      <c r="Z92" s="603">
        <f t="shared" si="106"/>
        <v>0.20649616346491045</v>
      </c>
      <c r="AA92" s="386">
        <f t="shared" si="70"/>
        <v>14.556432254275849</v>
      </c>
      <c r="AB92" s="386">
        <f t="shared" si="71"/>
        <v>0.40259046794931236</v>
      </c>
      <c r="AC92" s="386">
        <f t="shared" si="72"/>
        <v>1.7462085664583924</v>
      </c>
      <c r="AD92">
        <f t="shared" si="73"/>
        <v>0</v>
      </c>
      <c r="AE92" s="386">
        <f t="shared" si="74"/>
        <v>2.3369671762189377</v>
      </c>
      <c r="AF92" s="386">
        <f t="shared" si="75"/>
        <v>14.190502886551563</v>
      </c>
      <c r="AG92" s="386">
        <f t="shared" si="76"/>
        <v>0.38260370712913366</v>
      </c>
      <c r="AH92" s="386">
        <f t="shared" si="77"/>
        <v>0</v>
      </c>
      <c r="AI92" s="386">
        <f t="shared" si="78"/>
        <v>0.41430676821032597</v>
      </c>
      <c r="AJ92" s="386">
        <f t="shared" si="79"/>
        <v>0</v>
      </c>
      <c r="AK92" s="386">
        <f t="shared" si="80"/>
        <v>0</v>
      </c>
      <c r="AL92" s="386">
        <f t="shared" si="81"/>
        <v>0</v>
      </c>
      <c r="AM92">
        <f t="shared" si="82"/>
        <v>0</v>
      </c>
      <c r="AN92" s="386">
        <f t="shared" si="83"/>
        <v>0</v>
      </c>
      <c r="AO92" s="386">
        <f t="shared" si="84"/>
        <v>20.328799574656408</v>
      </c>
      <c r="AP92" s="386">
        <f t="shared" si="85"/>
        <v>0.20663004607327529</v>
      </c>
      <c r="AQ92" s="386">
        <f t="shared" si="86"/>
        <v>0</v>
      </c>
      <c r="AR92" s="386">
        <f t="shared" si="87"/>
        <v>0.21553734435207125</v>
      </c>
      <c r="AS92" s="386">
        <f t="shared" si="88"/>
        <v>0.20663004607327529</v>
      </c>
      <c r="AT92" s="386">
        <f t="shared" si="89"/>
        <v>0.27500000000000002</v>
      </c>
      <c r="AU92" s="386">
        <f t="shared" si="90"/>
        <v>1.72885625</v>
      </c>
      <c r="AV92" s="386">
        <f t="shared" si="91"/>
        <v>0.60411111651968474</v>
      </c>
      <c r="AW92" s="386" t="e">
        <f t="shared" si="92"/>
        <v>#VALUE!</v>
      </c>
      <c r="AX92" s="386">
        <f t="shared" si="93"/>
        <v>3.8400000000000004E-2</v>
      </c>
      <c r="AY92" s="386">
        <f t="shared" si="94"/>
        <v>0.61440000000000006</v>
      </c>
      <c r="AZ92" s="386">
        <f t="shared" si="95"/>
        <v>0.47314285714285709</v>
      </c>
      <c r="BA92" s="386">
        <f t="shared" si="113"/>
        <v>0.65280000000000005</v>
      </c>
      <c r="BB92" s="386" t="e">
        <f t="shared" si="114"/>
        <v>#VALUE!</v>
      </c>
      <c r="BC92">
        <f t="shared" si="96"/>
        <v>256</v>
      </c>
      <c r="BD92" s="604" t="e">
        <f t="shared" si="107"/>
        <v>#VALUE!</v>
      </c>
      <c r="BE92" s="614">
        <f t="shared" si="97"/>
        <v>203.29117131094688</v>
      </c>
      <c r="BF92" s="614">
        <f t="shared" si="98"/>
        <v>20.715338410516299</v>
      </c>
      <c r="BG92" s="9"/>
      <c r="BH92" s="4" t="e">
        <f t="shared" si="108"/>
        <v>#VALUE!</v>
      </c>
      <c r="BI92" s="386">
        <f t="shared" si="109"/>
        <v>5.8532878025233623</v>
      </c>
      <c r="BJ92" s="386">
        <f t="shared" si="110"/>
        <v>4.6956675387813345</v>
      </c>
      <c r="BK92" s="386">
        <f t="shared" si="111"/>
        <v>0.98482933071032597</v>
      </c>
      <c r="BL92" s="386">
        <f t="shared" si="112"/>
        <v>0.60411111651968474</v>
      </c>
      <c r="BR92" s="18"/>
      <c r="BS92" s="19"/>
    </row>
    <row r="93" spans="1:71" x14ac:dyDescent="0.2">
      <c r="G93">
        <v>84</v>
      </c>
      <c r="H93" s="610">
        <f t="shared" si="59"/>
        <v>25.38</v>
      </c>
      <c r="I93" s="4" t="str">
        <f t="shared" si="60"/>
        <v>BUCK</v>
      </c>
      <c r="J93">
        <f t="shared" si="99"/>
        <v>1</v>
      </c>
      <c r="K93">
        <f t="shared" si="61"/>
        <v>20</v>
      </c>
      <c r="L93" s="4">
        <f t="shared" si="62"/>
        <v>11.207424919008844</v>
      </c>
      <c r="M93" s="4">
        <f t="shared" si="63"/>
        <v>20</v>
      </c>
      <c r="N93" s="386">
        <f t="shared" si="64"/>
        <v>0.50879716981132084</v>
      </c>
      <c r="O93" s="386">
        <f t="shared" si="100"/>
        <v>0</v>
      </c>
      <c r="P93" s="4">
        <f t="shared" si="65"/>
        <v>12.716062386792453</v>
      </c>
      <c r="Q93" s="386">
        <f t="shared" si="66"/>
        <v>20.334081084525714</v>
      </c>
      <c r="R93" s="386">
        <f t="shared" si="101"/>
        <v>1.0244587215533951</v>
      </c>
      <c r="S93" s="386">
        <f t="shared" si="67"/>
        <v>4.9196216145130771</v>
      </c>
      <c r="T93" s="386">
        <f t="shared" si="102"/>
        <v>5.944080336066472</v>
      </c>
      <c r="U93" s="4">
        <f t="shared" si="68"/>
        <v>3.6708110210233493</v>
      </c>
      <c r="V93" s="386">
        <f t="shared" si="103"/>
        <v>2.6949707104132969E-2</v>
      </c>
      <c r="W93" s="386">
        <f t="shared" si="104"/>
        <v>2.6949707104132969E-2</v>
      </c>
      <c r="X93" s="386">
        <f t="shared" si="69"/>
        <v>10.165466761923634</v>
      </c>
      <c r="Y93" s="386">
        <f t="shared" si="105"/>
        <v>0.20667342897554836</v>
      </c>
      <c r="Z93" s="603">
        <f t="shared" si="106"/>
        <v>0.20667342897554836</v>
      </c>
      <c r="AA93" s="386">
        <f t="shared" si="70"/>
        <v>14.504304025889756</v>
      </c>
      <c r="AB93" s="386">
        <f t="shared" si="71"/>
        <v>0.39971218702333938</v>
      </c>
      <c r="AC93" s="386">
        <f t="shared" si="72"/>
        <v>1.7597289424941034</v>
      </c>
      <c r="AD93">
        <f t="shared" si="73"/>
        <v>0</v>
      </c>
      <c r="AE93" s="386">
        <f t="shared" si="74"/>
        <v>2.3470717673642203</v>
      </c>
      <c r="AF93" s="386">
        <f t="shared" si="75"/>
        <v>14.251316369957713</v>
      </c>
      <c r="AG93" s="386">
        <f t="shared" si="76"/>
        <v>0.38589003472558692</v>
      </c>
      <c r="AH93" s="386">
        <f t="shared" si="77"/>
        <v>0</v>
      </c>
      <c r="AI93" s="386">
        <f t="shared" si="78"/>
        <v>0.41816302345390355</v>
      </c>
      <c r="AJ93" s="386">
        <f t="shared" si="79"/>
        <v>0</v>
      </c>
      <c r="AK93" s="386">
        <f t="shared" si="80"/>
        <v>0</v>
      </c>
      <c r="AL93" s="386">
        <f t="shared" si="81"/>
        <v>0</v>
      </c>
      <c r="AM93">
        <f t="shared" si="82"/>
        <v>0</v>
      </c>
      <c r="AN93" s="386">
        <f t="shared" si="83"/>
        <v>0</v>
      </c>
      <c r="AO93" s="386">
        <f t="shared" si="84"/>
        <v>20.334081084525714</v>
      </c>
      <c r="AP93" s="386">
        <f t="shared" si="85"/>
        <v>0.20673742677603321</v>
      </c>
      <c r="AQ93" s="386">
        <f t="shared" si="86"/>
        <v>0</v>
      </c>
      <c r="AR93" s="386">
        <f t="shared" si="87"/>
        <v>0.21565418503349465</v>
      </c>
      <c r="AS93" s="386">
        <f t="shared" si="88"/>
        <v>0.20673742677603321</v>
      </c>
      <c r="AT93" s="386">
        <f t="shared" si="89"/>
        <v>0.27500000000000002</v>
      </c>
      <c r="AU93" s="386">
        <f t="shared" si="90"/>
        <v>1.7422625</v>
      </c>
      <c r="AV93" s="386">
        <f t="shared" si="91"/>
        <v>0.60930005482987415</v>
      </c>
      <c r="AW93" s="386" t="e">
        <f t="shared" si="92"/>
        <v>#VALUE!</v>
      </c>
      <c r="AX93" s="386">
        <f t="shared" si="93"/>
        <v>3.8400000000000004E-2</v>
      </c>
      <c r="AY93" s="386">
        <f t="shared" si="94"/>
        <v>0.61440000000000006</v>
      </c>
      <c r="AZ93" s="386">
        <f t="shared" si="95"/>
        <v>0.47314285714285709</v>
      </c>
      <c r="BA93" s="386">
        <f t="shared" si="113"/>
        <v>0.65280000000000005</v>
      </c>
      <c r="BB93" s="386" t="e">
        <f t="shared" si="114"/>
        <v>#VALUE!</v>
      </c>
      <c r="BC93">
        <f t="shared" si="96"/>
        <v>256</v>
      </c>
      <c r="BD93" s="604" t="e">
        <f t="shared" si="107"/>
        <v>#VALUE!</v>
      </c>
      <c r="BE93" s="614">
        <f t="shared" si="97"/>
        <v>204.46671336821103</v>
      </c>
      <c r="BF93" s="614">
        <f t="shared" si="98"/>
        <v>20.908151172695177</v>
      </c>
      <c r="BG93" s="9"/>
      <c r="BH93" s="4" t="e">
        <f t="shared" si="108"/>
        <v>#VALUE!</v>
      </c>
      <c r="BI93" s="386">
        <f t="shared" si="109"/>
        <v>5.944080336066472</v>
      </c>
      <c r="BJ93" s="386">
        <f t="shared" si="110"/>
        <v>4.7231514758516182</v>
      </c>
      <c r="BK93" s="386">
        <f t="shared" si="111"/>
        <v>0.99310964845390359</v>
      </c>
      <c r="BL93" s="386">
        <f t="shared" si="112"/>
        <v>0.60930005482987415</v>
      </c>
      <c r="BR93" s="18"/>
      <c r="BS93" s="19"/>
    </row>
    <row r="94" spans="1:71" x14ac:dyDescent="0.2">
      <c r="G94">
        <v>85</v>
      </c>
      <c r="H94" s="610">
        <f t="shared" si="59"/>
        <v>25.574999999999999</v>
      </c>
      <c r="I94" s="4" t="str">
        <f t="shared" si="60"/>
        <v>BUCK</v>
      </c>
      <c r="J94">
        <f t="shared" si="99"/>
        <v>1</v>
      </c>
      <c r="K94">
        <f t="shared" si="61"/>
        <v>20</v>
      </c>
      <c r="L94" s="4">
        <f t="shared" si="62"/>
        <v>11.121972412294994</v>
      </c>
      <c r="M94" s="4">
        <f t="shared" si="63"/>
        <v>20</v>
      </c>
      <c r="N94" s="386">
        <f t="shared" si="64"/>
        <v>0.50492685781158586</v>
      </c>
      <c r="O94" s="386">
        <f t="shared" si="100"/>
        <v>0</v>
      </c>
      <c r="P94" s="4">
        <f t="shared" si="65"/>
        <v>12.816255475716796</v>
      </c>
      <c r="Q94" s="386">
        <f t="shared" si="66"/>
        <v>20.339322351090512</v>
      </c>
      <c r="R94" s="386">
        <f t="shared" si="101"/>
        <v>1.0250302269765266</v>
      </c>
      <c r="S94" s="386">
        <f t="shared" si="67"/>
        <v>5.0093906253855938</v>
      </c>
      <c r="T94" s="386">
        <f t="shared" si="102"/>
        <v>6.0344208523621203</v>
      </c>
      <c r="U94" s="4">
        <f t="shared" si="68"/>
        <v>3.699734274454054</v>
      </c>
      <c r="V94" s="386">
        <f t="shared" si="103"/>
        <v>2.7376067403140129E-2</v>
      </c>
      <c r="W94" s="386">
        <f t="shared" si="104"/>
        <v>2.7376067403140129E-2</v>
      </c>
      <c r="X94" s="386">
        <f t="shared" si="69"/>
        <v>10.16916744831607</v>
      </c>
      <c r="Y94" s="386">
        <f t="shared" si="105"/>
        <v>0.20682393318378234</v>
      </c>
      <c r="Z94" s="603">
        <f t="shared" si="106"/>
        <v>0.20682393318378234</v>
      </c>
      <c r="AA94" s="386">
        <f t="shared" si="70"/>
        <v>14.452757486763113</v>
      </c>
      <c r="AB94" s="386">
        <f t="shared" si="71"/>
        <v>0.39687617804525571</v>
      </c>
      <c r="AC94" s="386">
        <f t="shared" si="72"/>
        <v>1.7732493185298148</v>
      </c>
      <c r="AD94">
        <f t="shared" si="73"/>
        <v>0</v>
      </c>
      <c r="AE94" s="386">
        <f t="shared" si="74"/>
        <v>2.3572312852248167</v>
      </c>
      <c r="AF94" s="386">
        <f t="shared" si="75"/>
        <v>14.311038911636809</v>
      </c>
      <c r="AG94" s="386">
        <f t="shared" si="76"/>
        <v>0.38913108598772744</v>
      </c>
      <c r="AH94" s="386">
        <f t="shared" si="77"/>
        <v>0</v>
      </c>
      <c r="AI94" s="386">
        <f t="shared" si="78"/>
        <v>0.4219715342645845</v>
      </c>
      <c r="AJ94" s="386">
        <f t="shared" si="79"/>
        <v>0</v>
      </c>
      <c r="AK94" s="386">
        <f t="shared" si="80"/>
        <v>0</v>
      </c>
      <c r="AL94" s="386">
        <f t="shared" si="81"/>
        <v>0</v>
      </c>
      <c r="AM94">
        <f t="shared" si="82"/>
        <v>0</v>
      </c>
      <c r="AN94" s="386">
        <f t="shared" si="83"/>
        <v>0</v>
      </c>
      <c r="AO94" s="386">
        <f t="shared" si="84"/>
        <v>20.339322351090512</v>
      </c>
      <c r="AP94" s="386">
        <f t="shared" si="85"/>
        <v>0.20684401685078505</v>
      </c>
      <c r="AQ94" s="386">
        <f t="shared" si="86"/>
        <v>0</v>
      </c>
      <c r="AR94" s="386">
        <f t="shared" si="87"/>
        <v>0.21577017061197717</v>
      </c>
      <c r="AS94" s="386">
        <f t="shared" si="88"/>
        <v>0.20684401685078505</v>
      </c>
      <c r="AT94" s="386">
        <f t="shared" si="89"/>
        <v>0.27500000000000002</v>
      </c>
      <c r="AU94" s="386">
        <f t="shared" si="90"/>
        <v>1.7556687500000001</v>
      </c>
      <c r="AV94" s="386">
        <f t="shared" si="91"/>
        <v>0.6144175041911486</v>
      </c>
      <c r="AW94" s="386" t="e">
        <f t="shared" si="92"/>
        <v>#VALUE!</v>
      </c>
      <c r="AX94" s="386">
        <f t="shared" si="93"/>
        <v>3.8400000000000004E-2</v>
      </c>
      <c r="AY94" s="386">
        <f t="shared" si="94"/>
        <v>0.61440000000000006</v>
      </c>
      <c r="AZ94" s="386">
        <f t="shared" si="95"/>
        <v>0.47314285714285709</v>
      </c>
      <c r="BA94" s="386">
        <f t="shared" si="113"/>
        <v>0.65280000000000005</v>
      </c>
      <c r="BB94" s="386" t="e">
        <f t="shared" si="114"/>
        <v>#VALUE!</v>
      </c>
      <c r="BC94">
        <f t="shared" si="96"/>
        <v>256</v>
      </c>
      <c r="BD94" s="604" t="e">
        <f t="shared" si="107"/>
        <v>#VALUE!</v>
      </c>
      <c r="BE94" s="614">
        <f t="shared" si="97"/>
        <v>205.64500176124082</v>
      </c>
      <c r="BF94" s="614">
        <f t="shared" si="98"/>
        <v>21.098576713229225</v>
      </c>
      <c r="BG94" s="9"/>
      <c r="BH94" s="4" t="e">
        <f t="shared" si="108"/>
        <v>#VALUE!</v>
      </c>
      <c r="BI94" s="386">
        <f t="shared" si="109"/>
        <v>6.0344208523621203</v>
      </c>
      <c r="BJ94" s="386">
        <f t="shared" si="110"/>
        <v>4.7506417401013783</v>
      </c>
      <c r="BK94" s="386">
        <f t="shared" si="111"/>
        <v>1.0013422217645847</v>
      </c>
      <c r="BL94" s="386">
        <f t="shared" si="112"/>
        <v>0.6144175041911486</v>
      </c>
      <c r="BR94" s="18"/>
      <c r="BS94" s="19"/>
    </row>
    <row r="95" spans="1:71" x14ac:dyDescent="0.2">
      <c r="G95">
        <v>86</v>
      </c>
      <c r="H95" s="610">
        <f t="shared" si="59"/>
        <v>25.77</v>
      </c>
      <c r="I95" s="4" t="str">
        <f t="shared" si="60"/>
        <v>BUCK</v>
      </c>
      <c r="J95">
        <f t="shared" si="99"/>
        <v>1</v>
      </c>
      <c r="K95">
        <f t="shared" si="61"/>
        <v>20</v>
      </c>
      <c r="L95" s="4">
        <f t="shared" si="62"/>
        <v>11.037813133272969</v>
      </c>
      <c r="M95" s="4">
        <f t="shared" si="63"/>
        <v>20</v>
      </c>
      <c r="N95" s="386">
        <f t="shared" si="64"/>
        <v>0.50111498257839726</v>
      </c>
      <c r="O95" s="386">
        <f t="shared" si="100"/>
        <v>0</v>
      </c>
      <c r="P95" s="4">
        <f t="shared" si="65"/>
        <v>12.914935777003484</v>
      </c>
      <c r="Q95" s="386">
        <f t="shared" si="66"/>
        <v>20.344523354218545</v>
      </c>
      <c r="R95" s="386">
        <f t="shared" si="101"/>
        <v>1.0255975354557574</v>
      </c>
      <c r="S95" s="386">
        <f t="shared" si="67"/>
        <v>5.0987033102046126</v>
      </c>
      <c r="T95" s="386">
        <f t="shared" si="102"/>
        <v>6.12430084566037</v>
      </c>
      <c r="U95" s="4">
        <f t="shared" si="68"/>
        <v>3.7282208237098451</v>
      </c>
      <c r="V95" s="386">
        <f t="shared" si="103"/>
        <v>2.7799261020687433E-2</v>
      </c>
      <c r="W95" s="386">
        <f t="shared" si="104"/>
        <v>2.7799261020687433E-2</v>
      </c>
      <c r="X95" s="386">
        <f t="shared" si="69"/>
        <v>10.172236385048164</v>
      </c>
      <c r="Y95" s="386">
        <f t="shared" si="105"/>
        <v>0.20694878614659548</v>
      </c>
      <c r="Z95" s="603">
        <f t="shared" si="106"/>
        <v>0.20694878614659548</v>
      </c>
      <c r="AA95" s="386">
        <f t="shared" si="70"/>
        <v>14.401781352749248</v>
      </c>
      <c r="AB95" s="386">
        <f t="shared" si="71"/>
        <v>0.39408148165155232</v>
      </c>
      <c r="AC95" s="386">
        <f t="shared" si="72"/>
        <v>1.786769694565526</v>
      </c>
      <c r="AD95">
        <f t="shared" si="73"/>
        <v>0</v>
      </c>
      <c r="AE95" s="386">
        <f t="shared" si="74"/>
        <v>2.3674443735047555</v>
      </c>
      <c r="AF95" s="386">
        <f t="shared" si="75"/>
        <v>14.369701610609312</v>
      </c>
      <c r="AG95" s="386">
        <f t="shared" si="76"/>
        <v>0.39232781631810087</v>
      </c>
      <c r="AH95" s="386">
        <f t="shared" si="77"/>
        <v>0</v>
      </c>
      <c r="AI95" s="386">
        <f t="shared" si="78"/>
        <v>0.4257332126486042</v>
      </c>
      <c r="AJ95" s="386">
        <f t="shared" si="79"/>
        <v>0</v>
      </c>
      <c r="AK95" s="386">
        <f t="shared" si="80"/>
        <v>0</v>
      </c>
      <c r="AL95" s="386">
        <f t="shared" si="81"/>
        <v>0</v>
      </c>
      <c r="AM95">
        <f t="shared" si="82"/>
        <v>0</v>
      </c>
      <c r="AN95" s="386">
        <f t="shared" si="83"/>
        <v>0</v>
      </c>
      <c r="AO95" s="386">
        <f t="shared" si="84"/>
        <v>20.344523354218545</v>
      </c>
      <c r="AP95" s="386">
        <f t="shared" si="85"/>
        <v>0.20694981525517189</v>
      </c>
      <c r="AQ95" s="386">
        <f t="shared" si="86"/>
        <v>0</v>
      </c>
      <c r="AR95" s="386">
        <f t="shared" si="87"/>
        <v>0.21588529983875962</v>
      </c>
      <c r="AS95" s="386">
        <f t="shared" si="88"/>
        <v>0.20694981525517189</v>
      </c>
      <c r="AT95" s="386">
        <f t="shared" si="89"/>
        <v>0.27500000000000002</v>
      </c>
      <c r="AU95" s="386">
        <f t="shared" si="90"/>
        <v>1.7690750000000002</v>
      </c>
      <c r="AV95" s="386">
        <f t="shared" si="91"/>
        <v>0.61946497313384352</v>
      </c>
      <c r="AW95" s="386" t="e">
        <f t="shared" si="92"/>
        <v>#VALUE!</v>
      </c>
      <c r="AX95" s="386">
        <f t="shared" si="93"/>
        <v>3.8400000000000004E-2</v>
      </c>
      <c r="AY95" s="386">
        <f t="shared" si="94"/>
        <v>0.61440000000000006</v>
      </c>
      <c r="AZ95" s="386">
        <f t="shared" si="95"/>
        <v>0.47314285714285709</v>
      </c>
      <c r="BA95" s="386">
        <f t="shared" si="113"/>
        <v>0.65280000000000005</v>
      </c>
      <c r="BB95" s="386" t="e">
        <f t="shared" si="114"/>
        <v>#VALUE!</v>
      </c>
      <c r="BC95">
        <f t="shared" si="96"/>
        <v>256</v>
      </c>
      <c r="BD95" s="604" t="e">
        <f t="shared" si="107"/>
        <v>#VALUE!</v>
      </c>
      <c r="BE95" s="614">
        <f t="shared" si="97"/>
        <v>206.82596867523779</v>
      </c>
      <c r="BF95" s="614">
        <f t="shared" si="98"/>
        <v>21.286660632430209</v>
      </c>
      <c r="BG95" s="9"/>
      <c r="BH95" s="4" t="e">
        <f t="shared" si="108"/>
        <v>#VALUE!</v>
      </c>
      <c r="BI95" s="386">
        <f t="shared" si="109"/>
        <v>6.12430084566037</v>
      </c>
      <c r="BJ95" s="386">
        <f t="shared" si="110"/>
        <v>4.7781378859921197</v>
      </c>
      <c r="BK95" s="386">
        <f t="shared" si="111"/>
        <v>1.0095279626486042</v>
      </c>
      <c r="BL95" s="386">
        <f t="shared" si="112"/>
        <v>0.61946497313384352</v>
      </c>
      <c r="BR95" s="18"/>
      <c r="BS95" s="19"/>
    </row>
    <row r="96" spans="1:71" x14ac:dyDescent="0.2">
      <c r="G96">
        <v>87</v>
      </c>
      <c r="H96" s="610">
        <f t="shared" si="59"/>
        <v>25.965</v>
      </c>
      <c r="I96" s="4" t="str">
        <f t="shared" si="60"/>
        <v>BUCK</v>
      </c>
      <c r="J96">
        <f t="shared" si="99"/>
        <v>1</v>
      </c>
      <c r="K96">
        <f t="shared" si="61"/>
        <v>20</v>
      </c>
      <c r="L96" s="4">
        <f t="shared" si="62"/>
        <v>10.954917945097032</v>
      </c>
      <c r="M96" s="4">
        <f t="shared" si="63"/>
        <v>20</v>
      </c>
      <c r="N96" s="386">
        <f t="shared" si="64"/>
        <v>0.49736023054755052</v>
      </c>
      <c r="O96" s="386">
        <f t="shared" si="100"/>
        <v>0</v>
      </c>
      <c r="P96" s="4">
        <f t="shared" si="65"/>
        <v>13.012137295677235</v>
      </c>
      <c r="Q96" s="386">
        <f t="shared" si="66"/>
        <v>20.349684102792921</v>
      </c>
      <c r="R96" s="386">
        <f t="shared" si="101"/>
        <v>1.0261606435290738</v>
      </c>
      <c r="S96" s="386">
        <f t="shared" si="67"/>
        <v>5.1875519048297258</v>
      </c>
      <c r="T96" s="386">
        <f t="shared" si="102"/>
        <v>6.2137125483587994</v>
      </c>
      <c r="U96" s="4">
        <f t="shared" si="68"/>
        <v>3.7562804851958105</v>
      </c>
      <c r="V96" s="386">
        <f t="shared" si="103"/>
        <v>2.8219286166925747E-2</v>
      </c>
      <c r="W96" s="386">
        <f t="shared" si="104"/>
        <v>2.8219286166925747E-2</v>
      </c>
      <c r="X96" s="386">
        <f t="shared" si="69"/>
        <v>10.174700246020382</v>
      </c>
      <c r="Y96" s="386">
        <f t="shared" si="105"/>
        <v>0.20704905019273445</v>
      </c>
      <c r="Z96" s="603">
        <f t="shared" si="106"/>
        <v>0.20704905019273445</v>
      </c>
      <c r="AA96" s="386">
        <f t="shared" si="70"/>
        <v>14.351364658315772</v>
      </c>
      <c r="AB96" s="386">
        <f t="shared" si="71"/>
        <v>0.39132716835631443</v>
      </c>
      <c r="AC96" s="386">
        <f t="shared" si="72"/>
        <v>1.800290070601237</v>
      </c>
      <c r="AD96">
        <f t="shared" si="73"/>
        <v>0</v>
      </c>
      <c r="AE96" s="386">
        <f t="shared" si="74"/>
        <v>2.3777097214513163</v>
      </c>
      <c r="AF96" s="386">
        <f t="shared" si="75"/>
        <v>14.427334318144426</v>
      </c>
      <c r="AG96" s="386">
        <f t="shared" si="76"/>
        <v>0.39548115350226498</v>
      </c>
      <c r="AH96" s="386">
        <f t="shared" si="77"/>
        <v>0</v>
      </c>
      <c r="AI96" s="386">
        <f t="shared" si="78"/>
        <v>0.42944894644428894</v>
      </c>
      <c r="AJ96" s="386">
        <f t="shared" si="79"/>
        <v>0</v>
      </c>
      <c r="AK96" s="386">
        <f t="shared" si="80"/>
        <v>0</v>
      </c>
      <c r="AL96" s="386">
        <f t="shared" si="81"/>
        <v>0</v>
      </c>
      <c r="AM96">
        <f t="shared" si="82"/>
        <v>0</v>
      </c>
      <c r="AN96" s="386">
        <f t="shared" si="83"/>
        <v>0</v>
      </c>
      <c r="AO96" s="386">
        <f t="shared" si="84"/>
        <v>20.349684102792921</v>
      </c>
      <c r="AP96" s="386">
        <f t="shared" si="85"/>
        <v>0.20705482154173147</v>
      </c>
      <c r="AQ96" s="386">
        <f t="shared" si="86"/>
        <v>0</v>
      </c>
      <c r="AR96" s="386">
        <f t="shared" si="87"/>
        <v>0.2159995721131262</v>
      </c>
      <c r="AS96" s="386">
        <f t="shared" si="88"/>
        <v>0.20705482154173147</v>
      </c>
      <c r="AT96" s="386">
        <f t="shared" si="89"/>
        <v>0.27500000000000002</v>
      </c>
      <c r="AU96" s="386">
        <f t="shared" si="90"/>
        <v>1.78248125</v>
      </c>
      <c r="AV96" s="386">
        <f t="shared" si="91"/>
        <v>0.62444392658252368</v>
      </c>
      <c r="AW96" s="386" t="e">
        <f t="shared" si="92"/>
        <v>#VALUE!</v>
      </c>
      <c r="AX96" s="386">
        <f t="shared" si="93"/>
        <v>3.8400000000000004E-2</v>
      </c>
      <c r="AY96" s="386">
        <f t="shared" si="94"/>
        <v>0.61440000000000006</v>
      </c>
      <c r="AZ96" s="386">
        <f t="shared" si="95"/>
        <v>0.47314285714285709</v>
      </c>
      <c r="BA96" s="386">
        <f t="shared" si="113"/>
        <v>0.65280000000000005</v>
      </c>
      <c r="BB96" s="386" t="e">
        <f t="shared" si="114"/>
        <v>#VALUE!</v>
      </c>
      <c r="BC96">
        <f t="shared" si="96"/>
        <v>256</v>
      </c>
      <c r="BD96" s="604" t="e">
        <f t="shared" si="107"/>
        <v>#VALUE!</v>
      </c>
      <c r="BE96" s="614">
        <f t="shared" si="97"/>
        <v>208.00954857256579</v>
      </c>
      <c r="BF96" s="614">
        <f t="shared" si="98"/>
        <v>21.472447322214446</v>
      </c>
      <c r="BG96" s="9"/>
      <c r="BH96" s="4" t="e">
        <f t="shared" si="108"/>
        <v>#VALUE!</v>
      </c>
      <c r="BI96" s="386">
        <f t="shared" si="109"/>
        <v>6.2137125483587994</v>
      </c>
      <c r="BJ96" s="386">
        <f t="shared" si="110"/>
        <v>4.8056394900087316</v>
      </c>
      <c r="BK96" s="386">
        <f t="shared" si="111"/>
        <v>1.0176677589442891</v>
      </c>
      <c r="BL96" s="386">
        <f t="shared" si="112"/>
        <v>0.62444392658252368</v>
      </c>
      <c r="BR96" s="18"/>
      <c r="BS96" s="19"/>
    </row>
    <row r="97" spans="7:71" x14ac:dyDescent="0.2">
      <c r="G97">
        <v>88</v>
      </c>
      <c r="H97" s="610">
        <f t="shared" si="59"/>
        <v>26.16</v>
      </c>
      <c r="I97" s="4" t="str">
        <f t="shared" si="60"/>
        <v>BUCK</v>
      </c>
      <c r="J97">
        <f t="shared" si="99"/>
        <v>1</v>
      </c>
      <c r="K97">
        <f t="shared" si="61"/>
        <v>20</v>
      </c>
      <c r="L97" s="4">
        <f t="shared" si="62"/>
        <v>10.873258579680599</v>
      </c>
      <c r="M97" s="4">
        <f t="shared" si="63"/>
        <v>20</v>
      </c>
      <c r="N97" s="386">
        <f t="shared" si="64"/>
        <v>0.49366132723112133</v>
      </c>
      <c r="O97" s="386">
        <f t="shared" si="100"/>
        <v>0</v>
      </c>
      <c r="P97" s="4">
        <f t="shared" si="65"/>
        <v>13.107893025171625</v>
      </c>
      <c r="Q97" s="386">
        <f t="shared" si="66"/>
        <v>20.354804632566367</v>
      </c>
      <c r="R97" s="386">
        <f t="shared" si="101"/>
        <v>1.0267195507017735</v>
      </c>
      <c r="S97" s="386">
        <f t="shared" si="67"/>
        <v>5.2759293382751826</v>
      </c>
      <c r="T97" s="386">
        <f t="shared" si="102"/>
        <v>6.3026488889769556</v>
      </c>
      <c r="U97" s="4">
        <f t="shared" si="68"/>
        <v>3.7839227832958282</v>
      </c>
      <c r="V97" s="386">
        <f t="shared" si="103"/>
        <v>2.8636143259890497E-2</v>
      </c>
      <c r="W97" s="386">
        <f t="shared" si="104"/>
        <v>2.8636143259890497E-2</v>
      </c>
      <c r="X97" s="386">
        <f t="shared" si="69"/>
        <v>10.176584452357073</v>
      </c>
      <c r="Y97" s="386">
        <f t="shared" si="105"/>
        <v>0.20712574223191141</v>
      </c>
      <c r="Z97" s="603">
        <f t="shared" si="106"/>
        <v>0.20712574223191141</v>
      </c>
      <c r="AA97" s="386">
        <f t="shared" si="70"/>
        <v>14.301496744630526</v>
      </c>
      <c r="AB97" s="386">
        <f t="shared" si="71"/>
        <v>0.38861233735968731</v>
      </c>
      <c r="AC97" s="386">
        <f t="shared" si="72"/>
        <v>1.8138104466369485</v>
      </c>
      <c r="AD97">
        <f t="shared" si="73"/>
        <v>0</v>
      </c>
      <c r="AE97" s="386">
        <f t="shared" si="74"/>
        <v>2.3880260619160447</v>
      </c>
      <c r="AF97" s="386">
        <f t="shared" si="75"/>
        <v>14.483965703261923</v>
      </c>
      <c r="AG97" s="386">
        <f t="shared" si="76"/>
        <v>0.39859199873720852</v>
      </c>
      <c r="AH97" s="386">
        <f t="shared" si="77"/>
        <v>0</v>
      </c>
      <c r="AI97" s="386">
        <f t="shared" si="78"/>
        <v>0.43311960016132078</v>
      </c>
      <c r="AJ97" s="386">
        <f t="shared" si="79"/>
        <v>0</v>
      </c>
      <c r="AK97" s="386">
        <f t="shared" si="80"/>
        <v>0</v>
      </c>
      <c r="AL97" s="386">
        <f t="shared" si="81"/>
        <v>0</v>
      </c>
      <c r="AM97">
        <f t="shared" si="82"/>
        <v>0</v>
      </c>
      <c r="AN97" s="386">
        <f t="shared" si="83"/>
        <v>0</v>
      </c>
      <c r="AO97" s="386">
        <f t="shared" si="84"/>
        <v>20.354804632566367</v>
      </c>
      <c r="AP97" s="386">
        <f t="shared" si="85"/>
        <v>0.20715903581497261</v>
      </c>
      <c r="AQ97" s="386">
        <f t="shared" si="86"/>
        <v>0</v>
      </c>
      <c r="AR97" s="386">
        <f t="shared" si="87"/>
        <v>0.21611298743583268</v>
      </c>
      <c r="AS97" s="386">
        <f t="shared" si="88"/>
        <v>0.20715903581497261</v>
      </c>
      <c r="AT97" s="386">
        <f t="shared" si="89"/>
        <v>0.27500000000000002</v>
      </c>
      <c r="AU97" s="386">
        <f t="shared" si="90"/>
        <v>1.7958875000000001</v>
      </c>
      <c r="AV97" s="386">
        <f t="shared" si="91"/>
        <v>0.62935578747980292</v>
      </c>
      <c r="AW97" s="386" t="e">
        <f t="shared" si="92"/>
        <v>#VALUE!</v>
      </c>
      <c r="AX97" s="386">
        <f t="shared" si="93"/>
        <v>3.8400000000000004E-2</v>
      </c>
      <c r="AY97" s="386">
        <f t="shared" si="94"/>
        <v>0.61440000000000006</v>
      </c>
      <c r="AZ97" s="386">
        <f t="shared" si="95"/>
        <v>0.47314285714285709</v>
      </c>
      <c r="BA97" s="386">
        <f t="shared" si="113"/>
        <v>0.65280000000000005</v>
      </c>
      <c r="BB97" s="386" t="e">
        <f t="shared" si="114"/>
        <v>#VALUE!</v>
      </c>
      <c r="BC97">
        <f t="shared" si="96"/>
        <v>256</v>
      </c>
      <c r="BD97" s="604" t="e">
        <f t="shared" si="107"/>
        <v>#VALUE!</v>
      </c>
      <c r="BE97" s="614">
        <f t="shared" si="97"/>
        <v>209.19567809580224</v>
      </c>
      <c r="BF97" s="614">
        <f t="shared" si="98"/>
        <v>21.655980008066038</v>
      </c>
      <c r="BG97" s="9"/>
      <c r="BH97" s="4" t="e">
        <f t="shared" si="108"/>
        <v>#VALUE!</v>
      </c>
      <c r="BI97" s="386">
        <f t="shared" si="109"/>
        <v>6.3026488889769556</v>
      </c>
      <c r="BJ97" s="386">
        <f t="shared" si="110"/>
        <v>4.8331461495131975</v>
      </c>
      <c r="BK97" s="386">
        <f t="shared" si="111"/>
        <v>1.0257624751613208</v>
      </c>
      <c r="BL97" s="386">
        <f t="shared" si="112"/>
        <v>0.62935578747980292</v>
      </c>
      <c r="BR97" s="18"/>
      <c r="BS97" s="19"/>
    </row>
    <row r="98" spans="7:71" x14ac:dyDescent="0.2">
      <c r="G98">
        <v>89</v>
      </c>
      <c r="H98" s="610">
        <f t="shared" si="59"/>
        <v>26.355</v>
      </c>
      <c r="I98" s="4" t="str">
        <f t="shared" si="60"/>
        <v>BUCK</v>
      </c>
      <c r="J98">
        <f t="shared" si="99"/>
        <v>1</v>
      </c>
      <c r="K98">
        <f t="shared" si="61"/>
        <v>20</v>
      </c>
      <c r="L98" s="4">
        <f t="shared" si="62"/>
        <v>10.792807605556609</v>
      </c>
      <c r="M98" s="4">
        <f t="shared" si="63"/>
        <v>20</v>
      </c>
      <c r="N98" s="386">
        <f t="shared" si="64"/>
        <v>0.49001703577512784</v>
      </c>
      <c r="O98" s="386">
        <f t="shared" si="100"/>
        <v>0</v>
      </c>
      <c r="P98" s="4">
        <f t="shared" si="65"/>
        <v>13.202234984667804</v>
      </c>
      <c r="Q98" s="386">
        <f t="shared" si="66"/>
        <v>20.359885004157864</v>
      </c>
      <c r="R98" s="386">
        <f t="shared" si="101"/>
        <v>1.0272742592325634</v>
      </c>
      <c r="S98" s="386">
        <f t="shared" si="67"/>
        <v>5.3638291932270876</v>
      </c>
      <c r="T98" s="386">
        <f t="shared" si="102"/>
        <v>6.3911034524596513</v>
      </c>
      <c r="U98" s="4">
        <f t="shared" si="68"/>
        <v>3.8111569611513261</v>
      </c>
      <c r="V98" s="386">
        <f t="shared" si="103"/>
        <v>2.9049834765064422E-2</v>
      </c>
      <c r="W98" s="386">
        <f t="shared" si="104"/>
        <v>2.9049834765064422E-2</v>
      </c>
      <c r="X98" s="386">
        <f t="shared" si="69"/>
        <v>10.177913242342848</v>
      </c>
      <c r="Y98" s="386">
        <f t="shared" si="105"/>
        <v>0.20717983593731584</v>
      </c>
      <c r="Z98" s="603">
        <f t="shared" si="106"/>
        <v>0.20717983593731584</v>
      </c>
      <c r="AA98" s="386">
        <f t="shared" si="70"/>
        <v>14.252167248201875</v>
      </c>
      <c r="AB98" s="386">
        <f t="shared" si="71"/>
        <v>0.38593611541436457</v>
      </c>
      <c r="AC98" s="386">
        <f t="shared" si="72"/>
        <v>1.8273308226726594</v>
      </c>
      <c r="AD98">
        <f t="shared" si="73"/>
        <v>0</v>
      </c>
      <c r="AE98" s="386">
        <f t="shared" si="74"/>
        <v>2.3983921695156436</v>
      </c>
      <c r="AF98" s="386">
        <f t="shared" si="75"/>
        <v>14.539623313958792</v>
      </c>
      <c r="AG98" s="386">
        <f t="shared" si="76"/>
        <v>0.40166122761244666</v>
      </c>
      <c r="AH98" s="386">
        <f t="shared" si="77"/>
        <v>0</v>
      </c>
      <c r="AI98" s="386">
        <f t="shared" si="78"/>
        <v>0.4367460157833214</v>
      </c>
      <c r="AJ98" s="386">
        <f t="shared" si="79"/>
        <v>0</v>
      </c>
      <c r="AK98" s="386">
        <f t="shared" si="80"/>
        <v>0</v>
      </c>
      <c r="AL98" s="386">
        <f t="shared" si="81"/>
        <v>0</v>
      </c>
      <c r="AM98">
        <f t="shared" si="82"/>
        <v>0</v>
      </c>
      <c r="AN98" s="386">
        <f t="shared" si="83"/>
        <v>0</v>
      </c>
      <c r="AO98" s="386">
        <f t="shared" si="84"/>
        <v>20.359885004157864</v>
      </c>
      <c r="AP98" s="386">
        <f t="shared" si="85"/>
        <v>0.20726245869126611</v>
      </c>
      <c r="AQ98" s="386">
        <f t="shared" si="86"/>
        <v>0</v>
      </c>
      <c r="AR98" s="386">
        <f t="shared" si="87"/>
        <v>0.2162255463655848</v>
      </c>
      <c r="AS98" s="386">
        <f t="shared" si="88"/>
        <v>0.20726245869126611</v>
      </c>
      <c r="AT98" s="386">
        <f t="shared" si="89"/>
        <v>0.27500000000000002</v>
      </c>
      <c r="AU98" s="386">
        <f t="shared" si="90"/>
        <v>1.8092937500000001</v>
      </c>
      <c r="AV98" s="386">
        <f t="shared" si="91"/>
        <v>0.63420193833544214</v>
      </c>
      <c r="AW98" s="386" t="e">
        <f t="shared" si="92"/>
        <v>#VALUE!</v>
      </c>
      <c r="AX98" s="386">
        <f t="shared" si="93"/>
        <v>3.8400000000000004E-2</v>
      </c>
      <c r="AY98" s="386">
        <f t="shared" si="94"/>
        <v>0.61440000000000006</v>
      </c>
      <c r="AZ98" s="386">
        <f t="shared" si="95"/>
        <v>0.47314285714285709</v>
      </c>
      <c r="BA98" s="386">
        <f t="shared" si="113"/>
        <v>0.65280000000000005</v>
      </c>
      <c r="BB98" s="386" t="e">
        <f t="shared" si="114"/>
        <v>#VALUE!</v>
      </c>
      <c r="BC98">
        <f t="shared" si="96"/>
        <v>256</v>
      </c>
      <c r="BD98" s="604" t="e">
        <f t="shared" si="107"/>
        <v>#VALUE!</v>
      </c>
      <c r="BE98" s="614">
        <f t="shared" si="97"/>
        <v>210.38429597578218</v>
      </c>
      <c r="BF98" s="614">
        <f t="shared" si="98"/>
        <v>21.837300789166068</v>
      </c>
      <c r="BG98" s="9"/>
      <c r="BH98" s="4" t="e">
        <f t="shared" si="108"/>
        <v>#VALUE!</v>
      </c>
      <c r="BI98" s="386">
        <f t="shared" si="109"/>
        <v>6.3911034524596513</v>
      </c>
      <c r="BJ98" s="386">
        <f t="shared" si="110"/>
        <v>4.8606574816645498</v>
      </c>
      <c r="BK98" s="386">
        <f t="shared" si="111"/>
        <v>1.0338129532833213</v>
      </c>
      <c r="BL98" s="386">
        <f t="shared" si="112"/>
        <v>0.63420193833544214</v>
      </c>
      <c r="BR98" s="18"/>
      <c r="BS98" s="19"/>
    </row>
    <row r="99" spans="7:71" x14ac:dyDescent="0.2">
      <c r="G99">
        <v>90</v>
      </c>
      <c r="H99" s="610">
        <f t="shared" si="59"/>
        <v>26.55</v>
      </c>
      <c r="I99" s="4" t="str">
        <f t="shared" si="60"/>
        <v>BUCK</v>
      </c>
      <c r="J99">
        <f t="shared" si="99"/>
        <v>1</v>
      </c>
      <c r="K99">
        <f t="shared" si="61"/>
        <v>20</v>
      </c>
      <c r="L99" s="4">
        <f t="shared" si="62"/>
        <v>10.713538397154217</v>
      </c>
      <c r="M99" s="4">
        <f t="shared" si="63"/>
        <v>20</v>
      </c>
      <c r="N99" s="386">
        <f t="shared" si="64"/>
        <v>0.48642615558060887</v>
      </c>
      <c r="O99" s="386">
        <f t="shared" si="100"/>
        <v>0</v>
      </c>
      <c r="P99" s="4">
        <f t="shared" si="65"/>
        <v>13.295194254791433</v>
      </c>
      <c r="Q99" s="386">
        <f t="shared" si="66"/>
        <v>20.36492530118193</v>
      </c>
      <c r="R99" s="386">
        <f t="shared" si="101"/>
        <v>1.0278247739336066</v>
      </c>
      <c r="S99" s="386">
        <f t="shared" si="67"/>
        <v>5.4512456687429074</v>
      </c>
      <c r="T99" s="386">
        <f t="shared" si="102"/>
        <v>6.4790704426765142</v>
      </c>
      <c r="U99" s="4">
        <f t="shared" si="68"/>
        <v>3.8379919909661</v>
      </c>
      <c r="V99" s="386">
        <f t="shared" si="103"/>
        <v>2.9460365045439859E-2</v>
      </c>
      <c r="W99" s="386">
        <f t="shared" si="104"/>
        <v>2.9460365045439859E-2</v>
      </c>
      <c r="X99" s="386">
        <f t="shared" si="69"/>
        <v>10.17870973673161</v>
      </c>
      <c r="Y99" s="386">
        <f t="shared" si="105"/>
        <v>0.2072122638092698</v>
      </c>
      <c r="Z99" s="603">
        <f t="shared" si="106"/>
        <v>0.2072122638092698</v>
      </c>
      <c r="AA99" s="386">
        <f t="shared" si="70"/>
        <v>14.203366090042561</v>
      </c>
      <c r="AB99" s="386">
        <f t="shared" si="71"/>
        <v>0.38329765574676472</v>
      </c>
      <c r="AC99" s="386">
        <f t="shared" si="72"/>
        <v>1.8408511987083707</v>
      </c>
      <c r="AD99">
        <f t="shared" si="73"/>
        <v>0</v>
      </c>
      <c r="AE99" s="386">
        <f t="shared" si="74"/>
        <v>2.4088068588867384</v>
      </c>
      <c r="AF99" s="386">
        <f t="shared" si="75"/>
        <v>14.594333634494898</v>
      </c>
      <c r="AG99" s="386">
        <f t="shared" si="76"/>
        <v>0.40468969104640323</v>
      </c>
      <c r="AH99" s="386">
        <f t="shared" si="77"/>
        <v>0</v>
      </c>
      <c r="AI99" s="386">
        <f t="shared" si="78"/>
        <v>0.44032901353571002</v>
      </c>
      <c r="AJ99" s="386">
        <f t="shared" si="79"/>
        <v>0</v>
      </c>
      <c r="AK99" s="386">
        <f t="shared" si="80"/>
        <v>0</v>
      </c>
      <c r="AL99" s="386">
        <f t="shared" si="81"/>
        <v>0</v>
      </c>
      <c r="AM99">
        <f t="shared" si="82"/>
        <v>0</v>
      </c>
      <c r="AN99" s="386">
        <f t="shared" si="83"/>
        <v>0</v>
      </c>
      <c r="AO99" s="386">
        <f t="shared" si="84"/>
        <v>20.36492530118193</v>
      </c>
      <c r="AP99" s="386">
        <f t="shared" si="85"/>
        <v>0.20736509126135996</v>
      </c>
      <c r="AQ99" s="386">
        <f t="shared" si="86"/>
        <v>0</v>
      </c>
      <c r="AR99" s="386">
        <f t="shared" si="87"/>
        <v>0.21633724997835876</v>
      </c>
      <c r="AS99" s="386">
        <f t="shared" si="88"/>
        <v>0.20736509126135996</v>
      </c>
      <c r="AT99" s="386">
        <f t="shared" si="89"/>
        <v>0.27500000000000002</v>
      </c>
      <c r="AU99" s="386">
        <f t="shared" si="90"/>
        <v>1.8227000000000002</v>
      </c>
      <c r="AV99" s="386">
        <f t="shared" si="91"/>
        <v>0.63898372270484716</v>
      </c>
      <c r="AW99" s="386" t="e">
        <f t="shared" si="92"/>
        <v>#VALUE!</v>
      </c>
      <c r="AX99" s="386">
        <f t="shared" si="93"/>
        <v>3.8400000000000004E-2</v>
      </c>
      <c r="AY99" s="386">
        <f t="shared" si="94"/>
        <v>0.61440000000000006</v>
      </c>
      <c r="AZ99" s="386">
        <f t="shared" si="95"/>
        <v>0.47314285714285709</v>
      </c>
      <c r="BA99" s="386">
        <f t="shared" si="113"/>
        <v>0.65280000000000005</v>
      </c>
      <c r="BB99" s="386" t="e">
        <f t="shared" si="114"/>
        <v>#VALUE!</v>
      </c>
      <c r="BC99">
        <f t="shared" si="96"/>
        <v>256</v>
      </c>
      <c r="BD99" s="604" t="e">
        <f t="shared" si="107"/>
        <v>#VALUE!</v>
      </c>
      <c r="BE99" s="614">
        <f t="shared" si="97"/>
        <v>211.57534294433697</v>
      </c>
      <c r="BF99" s="614">
        <f t="shared" si="98"/>
        <v>22.016450676785499</v>
      </c>
      <c r="BG99" s="9"/>
      <c r="BH99" s="4" t="e">
        <f t="shared" si="108"/>
        <v>#VALUE!</v>
      </c>
      <c r="BI99" s="386">
        <f t="shared" si="109"/>
        <v>6.4790704426765142</v>
      </c>
      <c r="BJ99" s="386">
        <f t="shared" si="110"/>
        <v>4.8881731224008078</v>
      </c>
      <c r="BK99" s="386">
        <f t="shared" si="111"/>
        <v>1.0418200135357101</v>
      </c>
      <c r="BL99" s="386">
        <f t="shared" si="112"/>
        <v>0.63898372270484716</v>
      </c>
      <c r="BR99" s="18"/>
      <c r="BS99" s="19"/>
    </row>
    <row r="100" spans="7:71" x14ac:dyDescent="0.2">
      <c r="G100">
        <v>91</v>
      </c>
      <c r="H100" s="610">
        <f t="shared" si="59"/>
        <v>26.745000000000001</v>
      </c>
      <c r="I100" s="4" t="str">
        <f t="shared" si="60"/>
        <v>BUCK</v>
      </c>
      <c r="J100">
        <f t="shared" si="99"/>
        <v>1</v>
      </c>
      <c r="K100">
        <f t="shared" si="61"/>
        <v>20</v>
      </c>
      <c r="L100" s="4">
        <f t="shared" si="62"/>
        <v>10.635425105419495</v>
      </c>
      <c r="M100" s="4">
        <f t="shared" si="63"/>
        <v>20</v>
      </c>
      <c r="N100" s="386">
        <f t="shared" si="64"/>
        <v>0.48288752098489091</v>
      </c>
      <c r="O100" s="386">
        <f t="shared" si="100"/>
        <v>0</v>
      </c>
      <c r="P100" s="4">
        <f t="shared" si="65"/>
        <v>13.38680101175154</v>
      </c>
      <c r="Q100" s="386">
        <f t="shared" si="66"/>
        <v>20.369925628501594</v>
      </c>
      <c r="R100" s="386">
        <f t="shared" si="101"/>
        <v>1.0283711019835771</v>
      </c>
      <c r="S100" s="386">
        <f t="shared" si="67"/>
        <v>5.5381735450097995</v>
      </c>
      <c r="T100" s="386">
        <f t="shared" si="102"/>
        <v>6.5665446469933766</v>
      </c>
      <c r="U100" s="4">
        <f t="shared" si="68"/>
        <v>3.8644365838613535</v>
      </c>
      <c r="V100" s="386">
        <f t="shared" si="103"/>
        <v>2.9867740221372015E-2</v>
      </c>
      <c r="W100" s="386">
        <f t="shared" si="104"/>
        <v>2.9867740221372015E-2</v>
      </c>
      <c r="X100" s="386">
        <f t="shared" si="69"/>
        <v>10.17899599978594</v>
      </c>
      <c r="Y100" s="386">
        <f t="shared" si="105"/>
        <v>0.20722391912731633</v>
      </c>
      <c r="Z100" s="603">
        <f t="shared" si="106"/>
        <v>0.20722391912731633</v>
      </c>
      <c r="AA100" s="386">
        <f t="shared" si="70"/>
        <v>14.155083465328488</v>
      </c>
      <c r="AB100" s="386">
        <f t="shared" si="71"/>
        <v>0.38069613702979033</v>
      </c>
      <c r="AC100" s="386">
        <f t="shared" si="72"/>
        <v>1.8543715747440819</v>
      </c>
      <c r="AD100">
        <f t="shared" si="73"/>
        <v>0</v>
      </c>
      <c r="AE100" s="386">
        <f t="shared" si="74"/>
        <v>2.4192689830288896</v>
      </c>
      <c r="AF100" s="386">
        <f t="shared" si="75"/>
        <v>14.648122139041241</v>
      </c>
      <c r="AG100" s="386">
        <f t="shared" si="76"/>
        <v>0.40767821618051331</v>
      </c>
      <c r="AH100" s="386">
        <f t="shared" si="77"/>
        <v>0</v>
      </c>
      <c r="AI100" s="386">
        <f t="shared" si="78"/>
        <v>0.44386939262065672</v>
      </c>
      <c r="AJ100" s="386">
        <f t="shared" si="79"/>
        <v>0</v>
      </c>
      <c r="AK100" s="386">
        <f t="shared" si="80"/>
        <v>0</v>
      </c>
      <c r="AL100" s="386">
        <f t="shared" si="81"/>
        <v>0</v>
      </c>
      <c r="AM100">
        <f t="shared" si="82"/>
        <v>0</v>
      </c>
      <c r="AN100" s="386">
        <f t="shared" si="83"/>
        <v>0</v>
      </c>
      <c r="AO100" s="386">
        <f t="shared" si="84"/>
        <v>20.369925628501594</v>
      </c>
      <c r="AP100" s="386">
        <f t="shared" si="85"/>
        <v>0.20746693505534305</v>
      </c>
      <c r="AQ100" s="386">
        <f t="shared" si="86"/>
        <v>0</v>
      </c>
      <c r="AR100" s="386">
        <f t="shared" si="87"/>
        <v>0.21644809982937369</v>
      </c>
      <c r="AS100" s="386">
        <f t="shared" si="88"/>
        <v>0.20746693505534305</v>
      </c>
      <c r="AT100" s="386">
        <f t="shared" si="89"/>
        <v>0.27500000000000002</v>
      </c>
      <c r="AU100" s="386">
        <f t="shared" si="90"/>
        <v>1.8361062500000003</v>
      </c>
      <c r="AV100" s="386">
        <f t="shared" si="91"/>
        <v>0.64370244660081044</v>
      </c>
      <c r="AW100" s="386" t="e">
        <f t="shared" si="92"/>
        <v>#VALUE!</v>
      </c>
      <c r="AX100" s="386">
        <f t="shared" si="93"/>
        <v>3.8400000000000004E-2</v>
      </c>
      <c r="AY100" s="386">
        <f t="shared" si="94"/>
        <v>0.61440000000000006</v>
      </c>
      <c r="AZ100" s="386">
        <f t="shared" si="95"/>
        <v>0.47314285714285709</v>
      </c>
      <c r="BA100" s="386">
        <f t="shared" si="113"/>
        <v>0.65280000000000005</v>
      </c>
      <c r="BB100" s="386" t="e">
        <f t="shared" si="114"/>
        <v>#VALUE!</v>
      </c>
      <c r="BC100">
        <f t="shared" si="96"/>
        <v>256</v>
      </c>
      <c r="BD100" s="604" t="e">
        <f t="shared" si="107"/>
        <v>#VALUE!</v>
      </c>
      <c r="BE100" s="614">
        <f t="shared" si="97"/>
        <v>212.76876165144446</v>
      </c>
      <c r="BF100" s="614">
        <f t="shared" si="98"/>
        <v>22.193469631032837</v>
      </c>
      <c r="BG100" s="9"/>
      <c r="BH100" s="4" t="e">
        <f t="shared" si="108"/>
        <v>#VALUE!</v>
      </c>
      <c r="BI100" s="386">
        <f t="shared" si="109"/>
        <v>6.5665446469933766</v>
      </c>
      <c r="BJ100" s="386">
        <f t="shared" si="110"/>
        <v>4.9156927254789204</v>
      </c>
      <c r="BK100" s="386">
        <f t="shared" si="111"/>
        <v>1.049784455120657</v>
      </c>
      <c r="BL100" s="386">
        <f t="shared" si="112"/>
        <v>0.64370244660081044</v>
      </c>
      <c r="BR100" s="18"/>
      <c r="BS100" s="19"/>
    </row>
    <row r="101" spans="7:71" x14ac:dyDescent="0.2">
      <c r="G101">
        <v>92</v>
      </c>
      <c r="H101" s="610">
        <f t="shared" si="59"/>
        <v>26.94</v>
      </c>
      <c r="I101" s="4" t="str">
        <f t="shared" si="60"/>
        <v>BUCK</v>
      </c>
      <c r="J101">
        <f t="shared" si="99"/>
        <v>1</v>
      </c>
      <c r="K101">
        <f t="shared" si="61"/>
        <v>20</v>
      </c>
      <c r="L101" s="4">
        <f t="shared" si="62"/>
        <v>10.558442629712117</v>
      </c>
      <c r="M101" s="4">
        <f t="shared" si="63"/>
        <v>20</v>
      </c>
      <c r="N101" s="386">
        <f t="shared" si="64"/>
        <v>0.47940000000000005</v>
      </c>
      <c r="O101" s="386">
        <f t="shared" si="100"/>
        <v>0</v>
      </c>
      <c r="P101" s="4">
        <f t="shared" si="65"/>
        <v>13.477084560000002</v>
      </c>
      <c r="Q101" s="386">
        <f t="shared" si="66"/>
        <v>20.374886110596606</v>
      </c>
      <c r="R101" s="386">
        <f t="shared" si="101"/>
        <v>1.0289132527528488</v>
      </c>
      <c r="S101" s="386">
        <f t="shared" si="67"/>
        <v>5.6246081500450682</v>
      </c>
      <c r="T101" s="386">
        <f t="shared" si="102"/>
        <v>6.6535214027979173</v>
      </c>
      <c r="U101" s="4">
        <f t="shared" si="68"/>
        <v>3.890499199303675</v>
      </c>
      <c r="V101" s="386">
        <f t="shared" si="103"/>
        <v>3.0271968039565073E-2</v>
      </c>
      <c r="W101" s="386">
        <f t="shared" si="104"/>
        <v>3.0271968039565073E-2</v>
      </c>
      <c r="X101" s="386">
        <f t="shared" si="69"/>
        <v>10.17879309637282</v>
      </c>
      <c r="Y101" s="386">
        <f t="shared" si="105"/>
        <v>0.20721565779753395</v>
      </c>
      <c r="Z101" s="603">
        <f t="shared" si="106"/>
        <v>0.20721565779753395</v>
      </c>
      <c r="AA101" s="386">
        <f t="shared" si="70"/>
        <v>14.107309833525447</v>
      </c>
      <c r="AB101" s="386">
        <f t="shared" si="71"/>
        <v>0.37813076240425919</v>
      </c>
      <c r="AC101" s="386">
        <f t="shared" si="72"/>
        <v>1.8678919507797935</v>
      </c>
      <c r="AD101">
        <f t="shared" si="73"/>
        <v>0</v>
      </c>
      <c r="AE101" s="386">
        <f t="shared" si="74"/>
        <v>2.4297774317306469</v>
      </c>
      <c r="AF101" s="386">
        <f t="shared" si="75"/>
        <v>14.701013341967238</v>
      </c>
      <c r="AG101" s="386">
        <f t="shared" si="76"/>
        <v>0.41062760723332764</v>
      </c>
      <c r="AH101" s="386">
        <f t="shared" si="77"/>
        <v>0</v>
      </c>
      <c r="AI101" s="386">
        <f t="shared" si="78"/>
        <v>0.44736793192084323</v>
      </c>
      <c r="AJ101" s="386">
        <f t="shared" si="79"/>
        <v>0</v>
      </c>
      <c r="AK101" s="386">
        <f t="shared" si="80"/>
        <v>0</v>
      </c>
      <c r="AL101" s="386">
        <f t="shared" si="81"/>
        <v>0</v>
      </c>
      <c r="AM101">
        <f t="shared" si="82"/>
        <v>0</v>
      </c>
      <c r="AN101" s="386">
        <f t="shared" si="83"/>
        <v>0</v>
      </c>
      <c r="AO101" s="386">
        <f t="shared" si="84"/>
        <v>20.374886110596606</v>
      </c>
      <c r="AP101" s="386">
        <f t="shared" si="85"/>
        <v>0.20756799200989123</v>
      </c>
      <c r="AQ101" s="386">
        <f t="shared" si="86"/>
        <v>0</v>
      </c>
      <c r="AR101" s="386">
        <f t="shared" si="87"/>
        <v>0.21655809791753611</v>
      </c>
      <c r="AS101" s="386">
        <f t="shared" si="88"/>
        <v>0.20756799200989123</v>
      </c>
      <c r="AT101" s="386">
        <f t="shared" si="89"/>
        <v>0.27500000000000002</v>
      </c>
      <c r="AU101" s="386">
        <f t="shared" si="90"/>
        <v>1.8495125000000001</v>
      </c>
      <c r="AV101" s="386">
        <f t="shared" si="91"/>
        <v>0.64835937984209624</v>
      </c>
      <c r="AW101" s="386" t="e">
        <f t="shared" si="92"/>
        <v>#VALUE!</v>
      </c>
      <c r="AX101" s="386">
        <f t="shared" si="93"/>
        <v>3.8400000000000004E-2</v>
      </c>
      <c r="AY101" s="386">
        <f t="shared" si="94"/>
        <v>0.61440000000000006</v>
      </c>
      <c r="AZ101" s="386">
        <f t="shared" si="95"/>
        <v>0.47314285714285709</v>
      </c>
      <c r="BA101" s="386">
        <f t="shared" si="113"/>
        <v>0.65280000000000005</v>
      </c>
      <c r="BB101" s="386" t="e">
        <f t="shared" si="114"/>
        <v>#VALUE!</v>
      </c>
      <c r="BC101">
        <f t="shared" si="96"/>
        <v>256</v>
      </c>
      <c r="BD101" s="604" t="e">
        <f t="shared" si="107"/>
        <v>#VALUE!</v>
      </c>
      <c r="BE101" s="614">
        <f t="shared" si="97"/>
        <v>213.96449658653233</v>
      </c>
      <c r="BF101" s="614">
        <f t="shared" si="98"/>
        <v>22.36839659604216</v>
      </c>
      <c r="BG101" s="9"/>
      <c r="BH101" s="4" t="e">
        <f t="shared" si="108"/>
        <v>#VALUE!</v>
      </c>
      <c r="BI101" s="386">
        <f t="shared" si="109"/>
        <v>6.6535214027979173</v>
      </c>
      <c r="BJ101" s="386">
        <f t="shared" si="110"/>
        <v>4.9432159615690265</v>
      </c>
      <c r="BK101" s="386">
        <f t="shared" si="111"/>
        <v>1.0577070569208433</v>
      </c>
      <c r="BL101" s="386">
        <f t="shared" si="112"/>
        <v>0.64835937984209624</v>
      </c>
      <c r="BR101" s="18"/>
      <c r="BS101" s="19"/>
    </row>
    <row r="102" spans="7:71" x14ac:dyDescent="0.2">
      <c r="G102">
        <v>93</v>
      </c>
      <c r="H102" s="610">
        <f t="shared" si="59"/>
        <v>27.135000000000002</v>
      </c>
      <c r="I102" s="4" t="str">
        <f t="shared" si="60"/>
        <v>BUCK</v>
      </c>
      <c r="J102">
        <f t="shared" si="99"/>
        <v>1</v>
      </c>
      <c r="K102">
        <f t="shared" si="61"/>
        <v>20</v>
      </c>
      <c r="L102" s="4">
        <f t="shared" si="62"/>
        <v>10.482566590913743</v>
      </c>
      <c r="M102" s="4">
        <f t="shared" si="63"/>
        <v>20</v>
      </c>
      <c r="N102" s="386">
        <f t="shared" si="64"/>
        <v>0.47596249310535027</v>
      </c>
      <c r="O102" s="386">
        <f t="shared" si="100"/>
        <v>0</v>
      </c>
      <c r="P102" s="4">
        <f t="shared" si="65"/>
        <v>13.566073363485936</v>
      </c>
      <c r="Q102" s="386">
        <f t="shared" si="66"/>
        <v>20.379806890039223</v>
      </c>
      <c r="R102" s="386">
        <f t="shared" si="101"/>
        <v>1.0294512376400149</v>
      </c>
      <c r="S102" s="386">
        <f t="shared" si="67"/>
        <v>5.7105453282289567</v>
      </c>
      <c r="T102" s="386">
        <f t="shared" si="102"/>
        <v>6.7399965658689718</v>
      </c>
      <c r="U102" s="4">
        <f t="shared" si="68"/>
        <v>3.9161880541274088</v>
      </c>
      <c r="V102" s="386">
        <f t="shared" si="103"/>
        <v>3.0673057750580442E-2</v>
      </c>
      <c r="W102" s="386">
        <f t="shared" si="104"/>
        <v>3.0673057750580442E-2</v>
      </c>
      <c r="X102" s="386">
        <f t="shared" si="69"/>
        <v>10.178121145413028</v>
      </c>
      <c r="Y102" s="386">
        <f t="shared" si="105"/>
        <v>0.20718830010140765</v>
      </c>
      <c r="Z102" s="603">
        <f t="shared" si="106"/>
        <v>0.20718830010140765</v>
      </c>
      <c r="AA102" s="386">
        <f t="shared" si="70"/>
        <v>14.060035908958605</v>
      </c>
      <c r="AB102" s="386">
        <f t="shared" si="71"/>
        <v>0.37560075854629033</v>
      </c>
      <c r="AC102" s="386">
        <f t="shared" si="72"/>
        <v>1.8814123268155043</v>
      </c>
      <c r="AD102">
        <f t="shared" si="73"/>
        <v>0</v>
      </c>
      <c r="AE102" s="386">
        <f t="shared" si="74"/>
        <v>2.4403311300737611</v>
      </c>
      <c r="AF102" s="386">
        <f t="shared" si="75"/>
        <v>14.753030845019092</v>
      </c>
      <c r="AG102" s="386">
        <f t="shared" si="76"/>
        <v>0.41353864631676102</v>
      </c>
      <c r="AH102" s="386">
        <f t="shared" si="77"/>
        <v>0</v>
      </c>
      <c r="AI102" s="386">
        <f t="shared" si="78"/>
        <v>0.45082539067364158</v>
      </c>
      <c r="AJ102" s="386">
        <f t="shared" si="79"/>
        <v>0</v>
      </c>
      <c r="AK102" s="386">
        <f t="shared" si="80"/>
        <v>0</v>
      </c>
      <c r="AL102" s="386">
        <f t="shared" si="81"/>
        <v>0</v>
      </c>
      <c r="AM102">
        <f t="shared" si="82"/>
        <v>0</v>
      </c>
      <c r="AN102" s="386">
        <f t="shared" si="83"/>
        <v>0</v>
      </c>
      <c r="AO102" s="386">
        <f t="shared" si="84"/>
        <v>20.379806890039223</v>
      </c>
      <c r="AP102" s="386">
        <f t="shared" si="85"/>
        <v>0.20766826443764511</v>
      </c>
      <c r="AQ102" s="386">
        <f t="shared" si="86"/>
        <v>0</v>
      </c>
      <c r="AR102" s="386">
        <f t="shared" si="87"/>
        <v>0.21666724665219395</v>
      </c>
      <c r="AS102" s="386">
        <f t="shared" si="88"/>
        <v>0.20766826443764511</v>
      </c>
      <c r="AT102" s="386">
        <f t="shared" si="89"/>
        <v>0.27500000000000002</v>
      </c>
      <c r="AU102" s="386">
        <f t="shared" si="90"/>
        <v>1.8629187500000002</v>
      </c>
      <c r="AV102" s="386">
        <f t="shared" si="91"/>
        <v>0.65295575734225419</v>
      </c>
      <c r="AW102" s="386" t="e">
        <f t="shared" si="92"/>
        <v>#VALUE!</v>
      </c>
      <c r="AX102" s="386">
        <f t="shared" si="93"/>
        <v>3.8400000000000004E-2</v>
      </c>
      <c r="AY102" s="386">
        <f t="shared" si="94"/>
        <v>0.61440000000000006</v>
      </c>
      <c r="AZ102" s="386">
        <f t="shared" si="95"/>
        <v>0.47314285714285709</v>
      </c>
      <c r="BA102" s="386">
        <f t="shared" si="113"/>
        <v>0.65280000000000005</v>
      </c>
      <c r="BB102" s="386" t="e">
        <f t="shared" si="114"/>
        <v>#VALUE!</v>
      </c>
      <c r="BC102">
        <f t="shared" si="96"/>
        <v>256</v>
      </c>
      <c r="BD102" s="604" t="e">
        <f t="shared" si="107"/>
        <v>#VALUE!</v>
      </c>
      <c r="BE102" s="614">
        <f t="shared" si="97"/>
        <v>215.16249400368807</v>
      </c>
      <c r="BF102" s="614">
        <f t="shared" si="98"/>
        <v>22.54126953368208</v>
      </c>
      <c r="BG102" s="9"/>
      <c r="BH102" s="4" t="e">
        <f t="shared" si="108"/>
        <v>#VALUE!</v>
      </c>
      <c r="BI102" s="386">
        <f t="shared" si="109"/>
        <v>6.7399965658689718</v>
      </c>
      <c r="BJ102" s="386">
        <f t="shared" si="110"/>
        <v>4.9707425173995965</v>
      </c>
      <c r="BK102" s="386">
        <f t="shared" si="111"/>
        <v>1.0655885781736418</v>
      </c>
      <c r="BL102" s="386">
        <f t="shared" si="112"/>
        <v>0.65295575734225419</v>
      </c>
      <c r="BR102" s="18"/>
      <c r="BS102" s="19"/>
    </row>
    <row r="103" spans="7:71" x14ac:dyDescent="0.2">
      <c r="G103">
        <v>94</v>
      </c>
      <c r="H103" s="610">
        <f t="shared" si="59"/>
        <v>27.33</v>
      </c>
      <c r="I103" s="4" t="str">
        <f t="shared" si="60"/>
        <v>BUCK</v>
      </c>
      <c r="J103">
        <f t="shared" si="99"/>
        <v>1</v>
      </c>
      <c r="K103">
        <f t="shared" si="61"/>
        <v>20</v>
      </c>
      <c r="L103" s="4">
        <f t="shared" si="62"/>
        <v>10.407773305687687</v>
      </c>
      <c r="M103" s="4">
        <f t="shared" si="63"/>
        <v>20</v>
      </c>
      <c r="N103" s="386">
        <f t="shared" si="64"/>
        <v>0.47257393209200449</v>
      </c>
      <c r="O103" s="386">
        <f t="shared" si="100"/>
        <v>0</v>
      </c>
      <c r="P103" s="4">
        <f t="shared" si="65"/>
        <v>13.653795075575028</v>
      </c>
      <c r="Q103" s="386">
        <f t="shared" si="66"/>
        <v>20.384688126070259</v>
      </c>
      <c r="R103" s="386">
        <f t="shared" si="101"/>
        <v>1.0299850699189728</v>
      </c>
      <c r="S103" s="386">
        <f t="shared" si="67"/>
        <v>5.7959814105663687</v>
      </c>
      <c r="T103" s="386">
        <f t="shared" si="102"/>
        <v>6.8259664804853415</v>
      </c>
      <c r="U103" s="4">
        <f t="shared" si="68"/>
        <v>3.9415111311716147</v>
      </c>
      <c r="V103" s="386">
        <f t="shared" si="103"/>
        <v>3.1071019994299485E-2</v>
      </c>
      <c r="W103" s="386">
        <f t="shared" si="104"/>
        <v>3.1071019994299485E-2</v>
      </c>
      <c r="X103" s="386">
        <f t="shared" si="69"/>
        <v>10.176999369955745</v>
      </c>
      <c r="Y103" s="386">
        <f t="shared" si="105"/>
        <v>0.20714263235215924</v>
      </c>
      <c r="Z103" s="603">
        <f t="shared" si="106"/>
        <v>0.20714263235215924</v>
      </c>
      <c r="AA103" s="386">
        <f t="shared" si="70"/>
        <v>14.013252651801064</v>
      </c>
      <c r="AB103" s="386">
        <f t="shared" si="71"/>
        <v>0.37310537477809819</v>
      </c>
      <c r="AC103" s="386">
        <f t="shared" si="72"/>
        <v>1.8949327028512151</v>
      </c>
      <c r="AD103">
        <f t="shared" si="73"/>
        <v>0</v>
      </c>
      <c r="AE103" s="386">
        <f t="shared" si="74"/>
        <v>2.4509290370110173</v>
      </c>
      <c r="AF103" s="386">
        <f t="shared" si="75"/>
        <v>14.804197381619183</v>
      </c>
      <c r="AG103" s="386">
        <f t="shared" si="76"/>
        <v>0.41641209421648651</v>
      </c>
      <c r="AH103" s="386">
        <f t="shared" si="77"/>
        <v>0</v>
      </c>
      <c r="AI103" s="386">
        <f t="shared" si="78"/>
        <v>0.45424250911721686</v>
      </c>
      <c r="AJ103" s="386">
        <f t="shared" si="79"/>
        <v>0</v>
      </c>
      <c r="AK103" s="386">
        <f t="shared" si="80"/>
        <v>0</v>
      </c>
      <c r="AL103" s="386">
        <f t="shared" si="81"/>
        <v>0</v>
      </c>
      <c r="AM103">
        <f t="shared" si="82"/>
        <v>0</v>
      </c>
      <c r="AN103" s="386">
        <f t="shared" si="83"/>
        <v>0</v>
      </c>
      <c r="AO103" s="386">
        <f t="shared" si="84"/>
        <v>20.384688126070259</v>
      </c>
      <c r="AP103" s="386">
        <f t="shared" si="85"/>
        <v>0.20776775499857492</v>
      </c>
      <c r="AQ103" s="386">
        <f t="shared" si="86"/>
        <v>0</v>
      </c>
      <c r="AR103" s="386">
        <f t="shared" si="87"/>
        <v>0.21677554882204289</v>
      </c>
      <c r="AS103" s="386">
        <f t="shared" si="88"/>
        <v>0.20776775499857492</v>
      </c>
      <c r="AT103" s="386">
        <f t="shared" si="89"/>
        <v>0.27500000000000002</v>
      </c>
      <c r="AU103" s="386">
        <f t="shared" si="90"/>
        <v>1.876325</v>
      </c>
      <c r="AV103" s="386">
        <f t="shared" si="91"/>
        <v>0.65749278034182079</v>
      </c>
      <c r="AW103" s="386" t="e">
        <f t="shared" si="92"/>
        <v>#VALUE!</v>
      </c>
      <c r="AX103" s="386">
        <f t="shared" si="93"/>
        <v>3.8400000000000004E-2</v>
      </c>
      <c r="AY103" s="386">
        <f t="shared" si="94"/>
        <v>0.61440000000000006</v>
      </c>
      <c r="AZ103" s="386">
        <f t="shared" si="95"/>
        <v>0.47314285714285709</v>
      </c>
      <c r="BA103" s="386">
        <f t="shared" si="113"/>
        <v>0.65280000000000005</v>
      </c>
      <c r="BB103" s="386" t="e">
        <f t="shared" si="114"/>
        <v>#VALUE!</v>
      </c>
      <c r="BC103">
        <f t="shared" si="96"/>
        <v>256</v>
      </c>
      <c r="BD103" s="604" t="e">
        <f t="shared" si="107"/>
        <v>#VALUE!</v>
      </c>
      <c r="BE103" s="614">
        <f t="shared" si="97"/>
        <v>216.36270185055088</v>
      </c>
      <c r="BF103" s="614">
        <f t="shared" si="98"/>
        <v>22.712125455860843</v>
      </c>
      <c r="BG103" s="9"/>
      <c r="BH103" s="4" t="e">
        <f t="shared" si="108"/>
        <v>#VALUE!</v>
      </c>
      <c r="BI103" s="386">
        <f t="shared" si="109"/>
        <v>6.8259664804853415</v>
      </c>
      <c r="BJ103" s="386">
        <f t="shared" si="110"/>
        <v>4.998272094950277</v>
      </c>
      <c r="BK103" s="386">
        <f t="shared" si="111"/>
        <v>1.0734297591172171</v>
      </c>
      <c r="BL103" s="386">
        <f t="shared" si="112"/>
        <v>0.65749278034182079</v>
      </c>
      <c r="BR103" s="18"/>
      <c r="BS103" s="19"/>
    </row>
    <row r="104" spans="7:71" x14ac:dyDescent="0.2">
      <c r="G104">
        <v>95</v>
      </c>
      <c r="H104" s="610">
        <f t="shared" si="59"/>
        <v>27.524999999999999</v>
      </c>
      <c r="I104" s="4" t="str">
        <f t="shared" si="60"/>
        <v>BUCK</v>
      </c>
      <c r="J104">
        <f t="shared" si="99"/>
        <v>1</v>
      </c>
      <c r="K104">
        <f t="shared" si="61"/>
        <v>20</v>
      </c>
      <c r="L104" s="4">
        <f t="shared" si="62"/>
        <v>10.334039761832678</v>
      </c>
      <c r="M104" s="4">
        <f t="shared" si="63"/>
        <v>20</v>
      </c>
      <c r="N104" s="386">
        <f t="shared" si="64"/>
        <v>0.4692332789559544</v>
      </c>
      <c r="O104" s="386">
        <f t="shared" si="100"/>
        <v>0</v>
      </c>
      <c r="P104" s="4">
        <f t="shared" si="65"/>
        <v>13.740276567699837</v>
      </c>
      <c r="Q104" s="386">
        <f t="shared" si="66"/>
        <v>20.38952999326877</v>
      </c>
      <c r="R104" s="386">
        <f t="shared" si="101"/>
        <v>1.0305147645958881</v>
      </c>
      <c r="S104" s="386">
        <f t="shared" si="67"/>
        <v>5.880913186579976</v>
      </c>
      <c r="T104" s="386">
        <f t="shared" si="102"/>
        <v>6.9114279511758641</v>
      </c>
      <c r="U104" s="4">
        <f t="shared" si="68"/>
        <v>3.9664761875507044</v>
      </c>
      <c r="V104" s="386">
        <f t="shared" si="103"/>
        <v>3.1465866692813545E-2</v>
      </c>
      <c r="W104" s="386">
        <f t="shared" si="104"/>
        <v>3.1465866692813545E-2</v>
      </c>
      <c r="X104" s="386">
        <f t="shared" si="69"/>
        <v>10.175446144126742</v>
      </c>
      <c r="Y104" s="386">
        <f t="shared" si="105"/>
        <v>0.20707940846404757</v>
      </c>
      <c r="Z104" s="603">
        <f t="shared" si="106"/>
        <v>0.20707940846404757</v>
      </c>
      <c r="AA104" s="386">
        <f t="shared" si="70"/>
        <v>13.966951259459298</v>
      </c>
      <c r="AB104" s="386">
        <f t="shared" si="71"/>
        <v>0.3706438822198122</v>
      </c>
      <c r="AC104" s="386">
        <f t="shared" si="72"/>
        <v>1.9084530788869267</v>
      </c>
      <c r="AD104">
        <f t="shared" si="73"/>
        <v>0</v>
      </c>
      <c r="AE104" s="386">
        <f t="shared" si="74"/>
        <v>2.4615701440134439</v>
      </c>
      <c r="AF104" s="386">
        <f t="shared" si="75"/>
        <v>14.85453485849675</v>
      </c>
      <c r="AG104" s="386">
        <f t="shared" si="76"/>
        <v>0.41924869113836061</v>
      </c>
      <c r="AH104" s="386">
        <f t="shared" si="77"/>
        <v>0</v>
      </c>
      <c r="AI104" s="386">
        <f t="shared" si="78"/>
        <v>0.45762000910997713</v>
      </c>
      <c r="AJ104" s="386">
        <f t="shared" si="79"/>
        <v>0</v>
      </c>
      <c r="AK104" s="386">
        <f t="shared" si="80"/>
        <v>0</v>
      </c>
      <c r="AL104" s="386">
        <f t="shared" si="81"/>
        <v>0</v>
      </c>
      <c r="AM104">
        <f t="shared" si="82"/>
        <v>0</v>
      </c>
      <c r="AN104" s="386">
        <f t="shared" si="83"/>
        <v>0</v>
      </c>
      <c r="AO104" s="386">
        <f t="shared" si="84"/>
        <v>20.38952999326877</v>
      </c>
      <c r="AP104" s="386">
        <f t="shared" si="85"/>
        <v>0.20786646667320338</v>
      </c>
      <c r="AQ104" s="386">
        <f t="shared" si="86"/>
        <v>0</v>
      </c>
      <c r="AR104" s="386">
        <f t="shared" si="87"/>
        <v>0.2168830075660457</v>
      </c>
      <c r="AS104" s="386">
        <f t="shared" si="88"/>
        <v>0.20786646667320338</v>
      </c>
      <c r="AT104" s="386">
        <f t="shared" si="89"/>
        <v>0.27500000000000002</v>
      </c>
      <c r="AU104" s="386">
        <f t="shared" si="90"/>
        <v>1.8897312500000001</v>
      </c>
      <c r="AV104" s="386">
        <f t="shared" si="91"/>
        <v>0.66197161758688516</v>
      </c>
      <c r="AW104" s="386" t="e">
        <f t="shared" si="92"/>
        <v>#VALUE!</v>
      </c>
      <c r="AX104" s="386">
        <f t="shared" si="93"/>
        <v>3.8400000000000004E-2</v>
      </c>
      <c r="AY104" s="386">
        <f t="shared" si="94"/>
        <v>0.61440000000000006</v>
      </c>
      <c r="AZ104" s="386">
        <f t="shared" si="95"/>
        <v>0.47314285714285709</v>
      </c>
      <c r="BA104" s="386">
        <f t="shared" si="113"/>
        <v>0.65280000000000005</v>
      </c>
      <c r="BB104" s="386" t="e">
        <f t="shared" si="114"/>
        <v>#VALUE!</v>
      </c>
      <c r="BC104">
        <f t="shared" si="96"/>
        <v>256</v>
      </c>
      <c r="BD104" s="604" t="e">
        <f t="shared" si="107"/>
        <v>#VALUE!</v>
      </c>
      <c r="BE104" s="614">
        <f t="shared" si="97"/>
        <v>217.56506970067218</v>
      </c>
      <c r="BF104" s="614">
        <f t="shared" si="98"/>
        <v>22.881000455498857</v>
      </c>
      <c r="BG104" s="9"/>
      <c r="BH104" s="4" t="e">
        <f t="shared" si="108"/>
        <v>#VALUE!</v>
      </c>
      <c r="BI104" s="386">
        <f t="shared" si="109"/>
        <v>6.9114279511758641</v>
      </c>
      <c r="BJ104" s="386">
        <f t="shared" si="110"/>
        <v>5.0258044106894673</v>
      </c>
      <c r="BK104" s="386">
        <f t="shared" si="111"/>
        <v>1.0812313216099771</v>
      </c>
      <c r="BL104" s="386">
        <f t="shared" si="112"/>
        <v>0.66197161758688516</v>
      </c>
      <c r="BR104" s="18"/>
      <c r="BS104" s="19"/>
    </row>
    <row r="105" spans="7:71" x14ac:dyDescent="0.2">
      <c r="G105">
        <v>96</v>
      </c>
      <c r="H105" s="610">
        <f t="shared" si="59"/>
        <v>27.72</v>
      </c>
      <c r="I105" s="4" t="str">
        <f t="shared" si="60"/>
        <v>BUCK</v>
      </c>
      <c r="J105">
        <f t="shared" si="99"/>
        <v>1</v>
      </c>
      <c r="K105">
        <f t="shared" si="61"/>
        <v>20</v>
      </c>
      <c r="L105" s="4">
        <f t="shared" si="62"/>
        <v>10.261343594676928</v>
      </c>
      <c r="M105" s="4">
        <f t="shared" si="63"/>
        <v>20</v>
      </c>
      <c r="N105" s="386">
        <f t="shared" si="64"/>
        <v>0.46593952483801304</v>
      </c>
      <c r="O105" s="386">
        <f t="shared" si="100"/>
        <v>0</v>
      </c>
      <c r="P105" s="4">
        <f t="shared" si="65"/>
        <v>13.825543956803456</v>
      </c>
      <c r="Q105" s="386">
        <f t="shared" si="66"/>
        <v>20.394332680309141</v>
      </c>
      <c r="R105" s="386">
        <f t="shared" si="101"/>
        <v>1.0310403382753819</v>
      </c>
      <c r="S105" s="386">
        <f t="shared" si="67"/>
        <v>5.9653378777429822</v>
      </c>
      <c r="T105" s="386">
        <f t="shared" si="102"/>
        <v>6.9963782160183641</v>
      </c>
      <c r="U105" s="4">
        <f t="shared" si="68"/>
        <v>3.9910907625767398</v>
      </c>
      <c r="V105" s="386">
        <f t="shared" si="103"/>
        <v>3.1857610950250768E-2</v>
      </c>
      <c r="W105" s="386">
        <f t="shared" si="104"/>
        <v>3.1857610950250768E-2</v>
      </c>
      <c r="X105" s="386">
        <f t="shared" si="69"/>
        <v>10.173479037177509</v>
      </c>
      <c r="Y105" s="386">
        <f t="shared" si="105"/>
        <v>0.20699935143978043</v>
      </c>
      <c r="Z105" s="603">
        <f t="shared" si="106"/>
        <v>0.20699935143978043</v>
      </c>
      <c r="AA105" s="386">
        <f t="shared" si="70"/>
        <v>13.921123158334685</v>
      </c>
      <c r="AB105" s="386">
        <f t="shared" si="71"/>
        <v>0.36821557298009233</v>
      </c>
      <c r="AC105" s="386">
        <f t="shared" si="72"/>
        <v>1.9219734549226379</v>
      </c>
      <c r="AD105">
        <f t="shared" si="73"/>
        <v>0</v>
      </c>
      <c r="AE105" s="386">
        <f t="shared" si="74"/>
        <v>2.4722534737829314</v>
      </c>
      <c r="AF105" s="386">
        <f t="shared" si="75"/>
        <v>14.904064394842203</v>
      </c>
      <c r="AG105" s="386">
        <f t="shared" si="76"/>
        <v>0.42204915742264587</v>
      </c>
      <c r="AH105" s="386">
        <f t="shared" si="77"/>
        <v>0</v>
      </c>
      <c r="AI105" s="386">
        <f t="shared" si="78"/>
        <v>0.46095859472470346</v>
      </c>
      <c r="AJ105" s="386">
        <f t="shared" si="79"/>
        <v>0</v>
      </c>
      <c r="AK105" s="386">
        <f t="shared" si="80"/>
        <v>0</v>
      </c>
      <c r="AL105" s="386">
        <f t="shared" si="81"/>
        <v>0</v>
      </c>
      <c r="AM105">
        <f t="shared" si="82"/>
        <v>0</v>
      </c>
      <c r="AN105" s="386">
        <f t="shared" si="83"/>
        <v>0</v>
      </c>
      <c r="AO105" s="386">
        <f t="shared" si="84"/>
        <v>20.394332680309141</v>
      </c>
      <c r="AP105" s="386">
        <f t="shared" si="85"/>
        <v>0.20796440273756273</v>
      </c>
      <c r="AQ105" s="386">
        <f t="shared" si="86"/>
        <v>0</v>
      </c>
      <c r="AR105" s="386">
        <f t="shared" si="87"/>
        <v>0.2169896263462309</v>
      </c>
      <c r="AS105" s="386">
        <f t="shared" si="88"/>
        <v>0.20796440273756273</v>
      </c>
      <c r="AT105" s="386">
        <f t="shared" si="89"/>
        <v>0.27500000000000002</v>
      </c>
      <c r="AU105" s="386">
        <f t="shared" si="90"/>
        <v>1.9031375000000001</v>
      </c>
      <c r="AV105" s="386">
        <f t="shared" si="91"/>
        <v>0.66639340645680933</v>
      </c>
      <c r="AW105" s="386" t="e">
        <f t="shared" si="92"/>
        <v>#VALUE!</v>
      </c>
      <c r="AX105" s="386">
        <f t="shared" si="93"/>
        <v>3.8400000000000004E-2</v>
      </c>
      <c r="AY105" s="386">
        <f t="shared" si="94"/>
        <v>0.61440000000000006</v>
      </c>
      <c r="AZ105" s="386">
        <f t="shared" si="95"/>
        <v>0.47314285714285709</v>
      </c>
      <c r="BA105" s="386">
        <f t="shared" si="113"/>
        <v>0.65280000000000005</v>
      </c>
      <c r="BB105" s="386" t="e">
        <f t="shared" si="114"/>
        <v>#VALUE!</v>
      </c>
      <c r="BC105">
        <f t="shared" si="96"/>
        <v>256</v>
      </c>
      <c r="BD105" s="604" t="e">
        <f t="shared" si="107"/>
        <v>#VALUE!</v>
      </c>
      <c r="BE105" s="614">
        <f t="shared" si="97"/>
        <v>218.76954868914655</v>
      </c>
      <c r="BF105" s="614">
        <f t="shared" si="98"/>
        <v>23.047929736235172</v>
      </c>
      <c r="BG105" s="9"/>
      <c r="BH105" s="4" t="e">
        <f t="shared" si="108"/>
        <v>#VALUE!</v>
      </c>
      <c r="BI105" s="386">
        <f t="shared" si="109"/>
        <v>6.9963782160183641</v>
      </c>
      <c r="BJ105" s="386">
        <f t="shared" si="110"/>
        <v>5.0533391948538657</v>
      </c>
      <c r="BK105" s="386">
        <f t="shared" si="111"/>
        <v>1.0889939697247035</v>
      </c>
      <c r="BL105" s="386">
        <f t="shared" si="112"/>
        <v>0.66639340645680933</v>
      </c>
      <c r="BR105" s="18"/>
      <c r="BS105" s="19"/>
    </row>
    <row r="106" spans="7:71" x14ac:dyDescent="0.2">
      <c r="G106">
        <v>97</v>
      </c>
      <c r="H106" s="610">
        <f t="shared" si="59"/>
        <v>27.914999999999999</v>
      </c>
      <c r="I106" s="4" t="str">
        <f t="shared" si="60"/>
        <v>BUCK</v>
      </c>
      <c r="J106">
        <f t="shared" si="99"/>
        <v>1</v>
      </c>
      <c r="K106">
        <f t="shared" si="61"/>
        <v>20</v>
      </c>
      <c r="L106" s="4">
        <f t="shared" si="62"/>
        <v>10.189663064461559</v>
      </c>
      <c r="M106" s="4">
        <f t="shared" si="63"/>
        <v>20</v>
      </c>
      <c r="N106" s="386">
        <f t="shared" si="64"/>
        <v>0.46269168900804297</v>
      </c>
      <c r="O106" s="386">
        <f t="shared" ref="O106:O137" si="115">CHOOSE(J106,0,(Vout+(Rdson3+Rdcr)*L106-H106)/(Vout+(Rdson3-Rdson4-Rs)*L106),IF(H106&gt;Vout,D_min_boost_exitBB_to_buck, (Vout-H106*D_max_buck_BB)/Vout))</f>
        <v>0</v>
      </c>
      <c r="P106" s="4">
        <f t="shared" si="65"/>
        <v>13.90962263163539</v>
      </c>
      <c r="Q106" s="386">
        <f t="shared" si="66"/>
        <v>20.399096388799723</v>
      </c>
      <c r="R106" s="386">
        <f t="shared" si="101"/>
        <v>1.0315618090353318</v>
      </c>
      <c r="S106" s="386">
        <f t="shared" si="67"/>
        <v>6.0492531123649878</v>
      </c>
      <c r="T106" s="386">
        <f t="shared" si="102"/>
        <v>7.0808149214003198</v>
      </c>
      <c r="U106" s="4">
        <f t="shared" si="68"/>
        <v>4.0153621853504013</v>
      </c>
      <c r="V106" s="386">
        <f t="shared" si="103"/>
        <v>3.2246266959083905E-2</v>
      </c>
      <c r="W106" s="386">
        <f t="shared" si="104"/>
        <v>3.2246266959083905E-2</v>
      </c>
      <c r="X106" s="386">
        <f t="shared" si="69"/>
        <v>10.171114854843655</v>
      </c>
      <c r="Y106" s="386">
        <f t="shared" si="105"/>
        <v>0.20690315478084254</v>
      </c>
      <c r="Z106" s="603">
        <f t="shared" si="106"/>
        <v>0.20690315478084254</v>
      </c>
      <c r="AA106" s="386">
        <f t="shared" si="70"/>
        <v>13.875759995941431</v>
      </c>
      <c r="AB106" s="386">
        <f t="shared" si="71"/>
        <v>0.36581975938344025</v>
      </c>
      <c r="AC106" s="386">
        <f t="shared" si="72"/>
        <v>1.9354938309583491</v>
      </c>
      <c r="AD106">
        <f t="shared" si="73"/>
        <v>0</v>
      </c>
      <c r="AE106" s="386">
        <f t="shared" si="74"/>
        <v>2.4829780790265596</v>
      </c>
      <c r="AF106" s="386">
        <f t="shared" si="75"/>
        <v>14.952806359161256</v>
      </c>
      <c r="AG106" s="386">
        <f t="shared" si="76"/>
        <v>0.42481419422768929</v>
      </c>
      <c r="AH106" s="386">
        <f t="shared" si="77"/>
        <v>0</v>
      </c>
      <c r="AI106" s="386">
        <f t="shared" si="78"/>
        <v>0.46425895281861551</v>
      </c>
      <c r="AJ106" s="386">
        <f t="shared" si="79"/>
        <v>0</v>
      </c>
      <c r="AK106" s="386">
        <f t="shared" si="80"/>
        <v>0</v>
      </c>
      <c r="AL106" s="386">
        <f t="shared" si="81"/>
        <v>0</v>
      </c>
      <c r="AM106">
        <f t="shared" si="82"/>
        <v>0</v>
      </c>
      <c r="AN106" s="386">
        <f t="shared" si="83"/>
        <v>0</v>
      </c>
      <c r="AO106" s="386">
        <f t="shared" si="84"/>
        <v>20.399096388799723</v>
      </c>
      <c r="AP106" s="386">
        <f t="shared" si="85"/>
        <v>0.20806156673977097</v>
      </c>
      <c r="AQ106" s="386">
        <f t="shared" si="86"/>
        <v>0</v>
      </c>
      <c r="AR106" s="386">
        <f t="shared" si="87"/>
        <v>0.21709540892224571</v>
      </c>
      <c r="AS106" s="386">
        <f t="shared" si="88"/>
        <v>0.20806156673977097</v>
      </c>
      <c r="AT106" s="386">
        <f t="shared" si="89"/>
        <v>0.27500000000000002</v>
      </c>
      <c r="AU106" s="386">
        <f t="shared" si="90"/>
        <v>1.91654375</v>
      </c>
      <c r="AV106" s="386">
        <f t="shared" si="91"/>
        <v>0.67075925404371994</v>
      </c>
      <c r="AW106" s="386" t="e">
        <f t="shared" si="92"/>
        <v>#VALUE!</v>
      </c>
      <c r="AX106" s="386">
        <f t="shared" si="93"/>
        <v>3.8400000000000004E-2</v>
      </c>
      <c r="AY106" s="386">
        <f t="shared" si="94"/>
        <v>0.61440000000000006</v>
      </c>
      <c r="AZ106" s="386">
        <f t="shared" si="95"/>
        <v>0.47314285714285709</v>
      </c>
      <c r="BA106" s="386">
        <f t="shared" si="113"/>
        <v>0.65280000000000005</v>
      </c>
      <c r="BB106" s="386" t="e">
        <f t="shared" si="114"/>
        <v>#VALUE!</v>
      </c>
      <c r="BC106">
        <f t="shared" si="96"/>
        <v>256</v>
      </c>
      <c r="BD106" s="604" t="e">
        <f t="shared" si="107"/>
        <v>#VALUE!</v>
      </c>
      <c r="BE106" s="614">
        <f t="shared" si="97"/>
        <v>219.97609145132796</v>
      </c>
      <c r="BF106" s="614">
        <f t="shared" si="98"/>
        <v>23.212947640930775</v>
      </c>
      <c r="BG106" s="9"/>
      <c r="BH106" s="4" t="e">
        <f t="shared" si="108"/>
        <v>#VALUE!</v>
      </c>
      <c r="BI106" s="386">
        <f t="shared" si="109"/>
        <v>7.0808149214003198</v>
      </c>
      <c r="BJ106" s="386">
        <f t="shared" si="110"/>
        <v>5.0808761907674214</v>
      </c>
      <c r="BK106" s="386">
        <f t="shared" si="111"/>
        <v>1.0967183903186155</v>
      </c>
      <c r="BL106" s="386">
        <f t="shared" si="112"/>
        <v>0.67075925404371994</v>
      </c>
      <c r="BR106" s="18"/>
      <c r="BS106" s="19"/>
    </row>
    <row r="107" spans="7:71" x14ac:dyDescent="0.2">
      <c r="G107">
        <v>98</v>
      </c>
      <c r="H107" s="610">
        <f t="shared" si="59"/>
        <v>28.11</v>
      </c>
      <c r="I107" s="4" t="str">
        <f t="shared" si="60"/>
        <v>BUCK</v>
      </c>
      <c r="J107">
        <f t="shared" si="99"/>
        <v>1</v>
      </c>
      <c r="K107">
        <f t="shared" si="61"/>
        <v>20</v>
      </c>
      <c r="L107" s="4">
        <f t="shared" si="62"/>
        <v>10.118977034665402</v>
      </c>
      <c r="M107" s="4">
        <f t="shared" si="63"/>
        <v>20</v>
      </c>
      <c r="N107" s="386">
        <f t="shared" si="64"/>
        <v>0.45948881789137386</v>
      </c>
      <c r="O107" s="386">
        <f t="shared" si="115"/>
        <v>0</v>
      </c>
      <c r="P107" s="4">
        <f t="shared" si="65"/>
        <v>13.992537277955272</v>
      </c>
      <c r="Q107" s="386">
        <f t="shared" si="66"/>
        <v>20.403821332197733</v>
      </c>
      <c r="R107" s="386">
        <f t="shared" si="101"/>
        <v>1.0320791963097353</v>
      </c>
      <c r="S107" s="386">
        <f t="shared" si="67"/>
        <v>6.1326569018495531</v>
      </c>
      <c r="T107" s="386">
        <f t="shared" si="102"/>
        <v>7.1647360981592882</v>
      </c>
      <c r="U107" s="4">
        <f t="shared" si="68"/>
        <v>4.0392975820366752</v>
      </c>
      <c r="V107" s="386">
        <f t="shared" si="103"/>
        <v>3.2631849912494661E-2</v>
      </c>
      <c r="W107" s="386">
        <f t="shared" si="104"/>
        <v>3.2631849912494661E-2</v>
      </c>
      <c r="X107" s="386">
        <f t="shared" si="69"/>
        <v>10.168369678203819</v>
      </c>
      <c r="Y107" s="386">
        <f t="shared" si="105"/>
        <v>0.20679148382522966</v>
      </c>
      <c r="Z107" s="603">
        <f t="shared" si="106"/>
        <v>0.20679148382522966</v>
      </c>
      <c r="AA107" s="386">
        <f t="shared" si="70"/>
        <v>13.830853633362619</v>
      </c>
      <c r="AB107" s="386">
        <f t="shared" si="71"/>
        <v>0.36345577323224987</v>
      </c>
      <c r="AC107" s="386">
        <f t="shared" si="72"/>
        <v>1.9490142069940604</v>
      </c>
      <c r="AD107">
        <f t="shared" si="73"/>
        <v>0</v>
      </c>
      <c r="AE107" s="386">
        <f t="shared" si="74"/>
        <v>2.4937430412891692</v>
      </c>
      <c r="AF107" s="386">
        <f t="shared" si="75"/>
        <v>15.000780403990564</v>
      </c>
      <c r="AG107" s="386">
        <f t="shared" si="76"/>
        <v>0.42754448418461993</v>
      </c>
      <c r="AH107" s="386">
        <f t="shared" si="77"/>
        <v>0</v>
      </c>
      <c r="AI107" s="386">
        <f t="shared" si="78"/>
        <v>0.46752175358055764</v>
      </c>
      <c r="AJ107" s="386">
        <f t="shared" si="79"/>
        <v>0</v>
      </c>
      <c r="AK107" s="386">
        <f t="shared" si="80"/>
        <v>0</v>
      </c>
      <c r="AL107" s="386">
        <f t="shared" si="81"/>
        <v>0</v>
      </c>
      <c r="AM107">
        <f t="shared" si="82"/>
        <v>0</v>
      </c>
      <c r="AN107" s="386">
        <f t="shared" si="83"/>
        <v>0</v>
      </c>
      <c r="AO107" s="386">
        <f t="shared" si="84"/>
        <v>20.403821332197733</v>
      </c>
      <c r="AP107" s="386">
        <f t="shared" si="85"/>
        <v>0.20815796247812365</v>
      </c>
      <c r="AQ107" s="386">
        <f t="shared" si="86"/>
        <v>0</v>
      </c>
      <c r="AR107" s="386">
        <f t="shared" si="87"/>
        <v>0.21720035932755155</v>
      </c>
      <c r="AS107" s="386">
        <f t="shared" si="88"/>
        <v>0.20815796247812365</v>
      </c>
      <c r="AT107" s="386">
        <f t="shared" si="89"/>
        <v>0.27500000000000002</v>
      </c>
      <c r="AU107" s="386">
        <f t="shared" si="90"/>
        <v>1.9299500000000001</v>
      </c>
      <c r="AV107" s="386">
        <f t="shared" si="91"/>
        <v>0.67507023818624201</v>
      </c>
      <c r="AW107" s="386" t="e">
        <f t="shared" si="92"/>
        <v>#VALUE!</v>
      </c>
      <c r="AX107" s="386">
        <f t="shared" si="93"/>
        <v>3.8400000000000004E-2</v>
      </c>
      <c r="AY107" s="386">
        <f t="shared" si="94"/>
        <v>0.61440000000000006</v>
      </c>
      <c r="AZ107" s="386">
        <f t="shared" si="95"/>
        <v>0.47314285714285709</v>
      </c>
      <c r="BA107" s="386">
        <f t="shared" si="113"/>
        <v>0.65280000000000005</v>
      </c>
      <c r="BB107" s="386" t="e">
        <f t="shared" si="114"/>
        <v>#VALUE!</v>
      </c>
      <c r="BC107">
        <f t="shared" si="96"/>
        <v>256</v>
      </c>
      <c r="BD107" s="604" t="e">
        <f t="shared" si="107"/>
        <v>#VALUE!</v>
      </c>
      <c r="BE107" s="614">
        <f t="shared" si="97"/>
        <v>221.18465206445848</v>
      </c>
      <c r="BF107" s="614">
        <f t="shared" si="98"/>
        <v>23.376087679027883</v>
      </c>
      <c r="BG107" s="9"/>
      <c r="BH107" s="4" t="e">
        <f t="shared" si="108"/>
        <v>#VALUE!</v>
      </c>
      <c r="BI107" s="386">
        <f t="shared" si="109"/>
        <v>7.1647360981592882</v>
      </c>
      <c r="BJ107" s="386">
        <f t="shared" si="110"/>
        <v>5.108415154197278</v>
      </c>
      <c r="BK107" s="386">
        <f t="shared" si="111"/>
        <v>1.1044052535805577</v>
      </c>
      <c r="BL107" s="386">
        <f t="shared" si="112"/>
        <v>0.67507023818624201</v>
      </c>
      <c r="BR107" s="18"/>
      <c r="BS107" s="19"/>
    </row>
    <row r="108" spans="7:71" x14ac:dyDescent="0.2">
      <c r="G108">
        <v>99</v>
      </c>
      <c r="H108" s="610">
        <f t="shared" si="59"/>
        <v>28.305</v>
      </c>
      <c r="I108" s="4" t="str">
        <f t="shared" si="60"/>
        <v>BUCK</v>
      </c>
      <c r="J108">
        <f t="shared" si="99"/>
        <v>1</v>
      </c>
      <c r="K108">
        <f t="shared" si="61"/>
        <v>20</v>
      </c>
      <c r="L108" s="4">
        <f t="shared" si="62"/>
        <v>10.049264951225735</v>
      </c>
      <c r="M108" s="4">
        <f t="shared" si="63"/>
        <v>20</v>
      </c>
      <c r="N108" s="386">
        <f t="shared" si="64"/>
        <v>0.45632998413537817</v>
      </c>
      <c r="O108" s="386">
        <f t="shared" si="115"/>
        <v>0</v>
      </c>
      <c r="P108" s="4">
        <f t="shared" si="65"/>
        <v>14.074311902696987</v>
      </c>
      <c r="Q108" s="386">
        <f t="shared" si="66"/>
        <v>20.408507734795307</v>
      </c>
      <c r="R108" s="386">
        <f t="shared" si="101"/>
        <v>1.0325925207790985</v>
      </c>
      <c r="S108" s="386">
        <f t="shared" si="67"/>
        <v>6.215547618246668</v>
      </c>
      <c r="T108" s="386">
        <f t="shared" si="102"/>
        <v>7.2481401390257663</v>
      </c>
      <c r="U108" s="4">
        <f t="shared" si="68"/>
        <v>4.0629038828404296</v>
      </c>
      <c r="V108" s="386">
        <f t="shared" si="103"/>
        <v>3.3014375922399683E-2</v>
      </c>
      <c r="W108" s="386">
        <f t="shared" si="104"/>
        <v>3.3014375922399683E-2</v>
      </c>
      <c r="X108" s="386">
        <f t="shared" si="69"/>
        <v>10.16525890021467</v>
      </c>
      <c r="Y108" s="386">
        <f t="shared" si="105"/>
        <v>0.20666497701678713</v>
      </c>
      <c r="Z108" s="603">
        <f t="shared" si="106"/>
        <v>0.20666497701678713</v>
      </c>
      <c r="AA108" s="386">
        <f t="shared" si="70"/>
        <v>13.786396138026983</v>
      </c>
      <c r="AB108" s="386">
        <f t="shared" si="71"/>
        <v>0.36112296510175007</v>
      </c>
      <c r="AC108" s="386">
        <f t="shared" si="72"/>
        <v>1.9625345830297716</v>
      </c>
      <c r="AD108">
        <f t="shared" si="73"/>
        <v>0</v>
      </c>
      <c r="AE108" s="386">
        <f t="shared" si="74"/>
        <v>2.5045474698409302</v>
      </c>
      <c r="AF108" s="386">
        <f t="shared" si="75"/>
        <v>15.048005498623215</v>
      </c>
      <c r="AG108" s="386">
        <f t="shared" si="76"/>
        <v>0.43024069202452958</v>
      </c>
      <c r="AH108" s="386">
        <f t="shared" si="77"/>
        <v>0</v>
      </c>
      <c r="AI108" s="386">
        <f t="shared" si="78"/>
        <v>0.47074765105641642</v>
      </c>
      <c r="AJ108" s="386">
        <f t="shared" si="79"/>
        <v>0</v>
      </c>
      <c r="AK108" s="386">
        <f t="shared" si="80"/>
        <v>0</v>
      </c>
      <c r="AL108" s="386">
        <f t="shared" si="81"/>
        <v>0</v>
      </c>
      <c r="AM108">
        <f t="shared" si="82"/>
        <v>0</v>
      </c>
      <c r="AN108" s="386">
        <f t="shared" si="83"/>
        <v>0</v>
      </c>
      <c r="AO108" s="386">
        <f t="shared" si="84"/>
        <v>20.408507734795307</v>
      </c>
      <c r="AP108" s="386">
        <f t="shared" si="85"/>
        <v>0.20825359398059998</v>
      </c>
      <c r="AQ108" s="386">
        <f t="shared" si="86"/>
        <v>0</v>
      </c>
      <c r="AR108" s="386">
        <f t="shared" si="87"/>
        <v>0.21730448184715229</v>
      </c>
      <c r="AS108" s="386">
        <f t="shared" si="88"/>
        <v>0.20825359398059998</v>
      </c>
      <c r="AT108" s="386">
        <f t="shared" si="89"/>
        <v>0.27500000000000002</v>
      </c>
      <c r="AU108" s="386">
        <f t="shared" si="90"/>
        <v>1.9433562500000001</v>
      </c>
      <c r="AV108" s="386">
        <f t="shared" si="91"/>
        <v>0.67932740845978357</v>
      </c>
      <c r="AW108" s="386" t="e">
        <f t="shared" si="92"/>
        <v>#VALUE!</v>
      </c>
      <c r="AX108" s="386">
        <f t="shared" si="93"/>
        <v>3.8400000000000004E-2</v>
      </c>
      <c r="AY108" s="386">
        <f t="shared" si="94"/>
        <v>0.61440000000000006</v>
      </c>
      <c r="AZ108" s="386">
        <f t="shared" si="95"/>
        <v>0.47314285714285709</v>
      </c>
      <c r="BA108" s="386">
        <f t="shared" si="113"/>
        <v>0.65280000000000005</v>
      </c>
      <c r="BB108" s="386" t="e">
        <f t="shared" si="114"/>
        <v>#VALUE!</v>
      </c>
      <c r="BC108">
        <f t="shared" si="96"/>
        <v>256</v>
      </c>
      <c r="BD108" s="604" t="e">
        <f t="shared" si="107"/>
        <v>#VALUE!</v>
      </c>
      <c r="BE108" s="614">
        <f t="shared" si="97"/>
        <v>222.39518599204649</v>
      </c>
      <c r="BF108" s="614">
        <f t="shared" si="98"/>
        <v>23.537382552820819</v>
      </c>
      <c r="BG108" s="9"/>
      <c r="BH108" s="4" t="e">
        <f t="shared" si="108"/>
        <v>#VALUE!</v>
      </c>
      <c r="BI108" s="386">
        <f t="shared" si="109"/>
        <v>7.2481401390257663</v>
      </c>
      <c r="BJ108" s="386">
        <f t="shared" si="110"/>
        <v>5.1359558527444991</v>
      </c>
      <c r="BK108" s="386">
        <f t="shared" si="111"/>
        <v>1.1120552135564166</v>
      </c>
      <c r="BL108" s="386">
        <f t="shared" si="112"/>
        <v>0.67932740845978357</v>
      </c>
      <c r="BR108" s="18"/>
      <c r="BS108" s="19"/>
    </row>
    <row r="109" spans="7:71" x14ac:dyDescent="0.2">
      <c r="G109">
        <v>100</v>
      </c>
      <c r="H109" s="610">
        <f t="shared" si="59"/>
        <v>28.5</v>
      </c>
      <c r="I109" s="4" t="str">
        <f t="shared" si="60"/>
        <v>BUCK</v>
      </c>
      <c r="J109">
        <f t="shared" si="99"/>
        <v>1</v>
      </c>
      <c r="K109">
        <f t="shared" si="61"/>
        <v>20</v>
      </c>
      <c r="L109" s="4">
        <f t="shared" si="62"/>
        <v>9.9805068226120852</v>
      </c>
      <c r="M109" s="4">
        <f t="shared" si="63"/>
        <v>20</v>
      </c>
      <c r="N109" s="386">
        <f t="shared" si="64"/>
        <v>0.45321428571428579</v>
      </c>
      <c r="O109" s="386">
        <f t="shared" si="115"/>
        <v>0</v>
      </c>
      <c r="P109" s="4">
        <f t="shared" si="65"/>
        <v>14.154969857142859</v>
      </c>
      <c r="Q109" s="386">
        <f t="shared" si="66"/>
        <v>20.413155830772105</v>
      </c>
      <c r="R109" s="386">
        <f t="shared" si="101"/>
        <v>1.0331018042678701</v>
      </c>
      <c r="S109" s="386">
        <f t="shared" si="67"/>
        <v>6.2979239730278191</v>
      </c>
      <c r="T109" s="386">
        <f t="shared" si="102"/>
        <v>7.3310257772956895</v>
      </c>
      <c r="U109" s="4">
        <f t="shared" si="68"/>
        <v>4.0861878286962341</v>
      </c>
      <c r="V109" s="386">
        <f t="shared" si="103"/>
        <v>3.3393861942770484E-2</v>
      </c>
      <c r="W109" s="386">
        <f t="shared" si="104"/>
        <v>3.3393861942770484E-2</v>
      </c>
      <c r="X109" s="386">
        <f t="shared" si="69"/>
        <v>10.161797260083484</v>
      </c>
      <c r="Y109" s="386">
        <f t="shared" si="105"/>
        <v>0.20652424711008038</v>
      </c>
      <c r="Z109" s="603">
        <f t="shared" si="106"/>
        <v>0.20652424711008038</v>
      </c>
      <c r="AA109" s="386">
        <f t="shared" si="70"/>
        <v>13.74237977679017</v>
      </c>
      <c r="AB109" s="386">
        <f t="shared" si="71"/>
        <v>0.35882070366610974</v>
      </c>
      <c r="AC109" s="386">
        <f t="shared" si="72"/>
        <v>1.9760549590654828</v>
      </c>
      <c r="AD109">
        <f t="shared" si="73"/>
        <v>0</v>
      </c>
      <c r="AE109" s="386">
        <f t="shared" si="74"/>
        <v>2.5153905006168711</v>
      </c>
      <c r="AF109" s="386">
        <f t="shared" si="75"/>
        <v>15.094499959980581</v>
      </c>
      <c r="AG109" s="386">
        <f t="shared" si="76"/>
        <v>0.43290346517952211</v>
      </c>
      <c r="AH109" s="386">
        <f t="shared" si="77"/>
        <v>0</v>
      </c>
      <c r="AI109" s="386">
        <f t="shared" si="78"/>
        <v>0.4739372836538242</v>
      </c>
      <c r="AJ109" s="386">
        <f t="shared" si="79"/>
        <v>0</v>
      </c>
      <c r="AK109" s="386">
        <f t="shared" si="80"/>
        <v>0</v>
      </c>
      <c r="AL109" s="386">
        <f t="shared" si="81"/>
        <v>0</v>
      </c>
      <c r="AM109">
        <f t="shared" si="82"/>
        <v>0</v>
      </c>
      <c r="AN109" s="386">
        <f t="shared" si="83"/>
        <v>0</v>
      </c>
      <c r="AO109" s="386">
        <f t="shared" si="84"/>
        <v>20.413155830772105</v>
      </c>
      <c r="AP109" s="386">
        <f t="shared" si="85"/>
        <v>0.20834846548569261</v>
      </c>
      <c r="AQ109" s="386">
        <f t="shared" si="86"/>
        <v>0</v>
      </c>
      <c r="AR109" s="386">
        <f t="shared" si="87"/>
        <v>0.21740778099675739</v>
      </c>
      <c r="AS109" s="386">
        <f t="shared" si="88"/>
        <v>0.20834846548569261</v>
      </c>
      <c r="AT109" s="386">
        <f t="shared" si="89"/>
        <v>0.27500000000000002</v>
      </c>
      <c r="AU109" s="386">
        <f t="shared" si="90"/>
        <v>1.9567625000000002</v>
      </c>
      <c r="AV109" s="386">
        <f t="shared" si="91"/>
        <v>0.68353178712556129</v>
      </c>
      <c r="AW109" s="386" t="e">
        <f t="shared" si="92"/>
        <v>#VALUE!</v>
      </c>
      <c r="AX109" s="386">
        <f t="shared" si="93"/>
        <v>3.8400000000000004E-2</v>
      </c>
      <c r="AY109" s="386">
        <f t="shared" si="94"/>
        <v>0.61440000000000006</v>
      </c>
      <c r="AZ109" s="386">
        <f t="shared" si="95"/>
        <v>0.47314285714285709</v>
      </c>
      <c r="BA109" s="386">
        <f t="shared" si="113"/>
        <v>0.65280000000000005</v>
      </c>
      <c r="BB109" s="386" t="e">
        <f t="shared" si="114"/>
        <v>#VALUE!</v>
      </c>
      <c r="BC109">
        <f t="shared" si="96"/>
        <v>256</v>
      </c>
      <c r="BD109" s="604" t="e">
        <f t="shared" si="107"/>
        <v>#VALUE!</v>
      </c>
      <c r="BE109" s="614">
        <f t="shared" si="97"/>
        <v>223.60765003084359</v>
      </c>
      <c r="BF109" s="614">
        <f t="shared" si="98"/>
        <v>23.696864182691211</v>
      </c>
      <c r="BG109" s="9"/>
      <c r="BH109" s="4" t="e">
        <f t="shared" si="108"/>
        <v>#VALUE!</v>
      </c>
      <c r="BI109" s="386">
        <f t="shared" si="109"/>
        <v>7.3310257772956895</v>
      </c>
      <c r="BJ109" s="386">
        <f t="shared" si="110"/>
        <v>5.1634980652674525</v>
      </c>
      <c r="BK109" s="386">
        <f t="shared" si="111"/>
        <v>1.1196689086538243</v>
      </c>
      <c r="BL109" s="386">
        <f t="shared" si="112"/>
        <v>0.68353178712556129</v>
      </c>
      <c r="BR109" s="18"/>
      <c r="BS109" s="19"/>
    </row>
    <row r="110" spans="7:71" x14ac:dyDescent="0.2">
      <c r="G110">
        <v>101</v>
      </c>
      <c r="H110" s="610">
        <f t="shared" si="59"/>
        <v>28.695</v>
      </c>
      <c r="I110" s="4" t="str">
        <f t="shared" si="60"/>
        <v>BUCK</v>
      </c>
      <c r="J110">
        <f t="shared" si="99"/>
        <v>1</v>
      </c>
      <c r="K110">
        <f t="shared" si="61"/>
        <v>20</v>
      </c>
      <c r="L110" s="4">
        <f t="shared" si="62"/>
        <v>9.9126832007124737</v>
      </c>
      <c r="M110" s="4">
        <f t="shared" si="63"/>
        <v>20</v>
      </c>
      <c r="N110" s="386">
        <f t="shared" si="64"/>
        <v>0.45014084507042262</v>
      </c>
      <c r="O110" s="386">
        <f t="shared" si="115"/>
        <v>0</v>
      </c>
      <c r="P110" s="4">
        <f t="shared" si="65"/>
        <v>14.234533859154931</v>
      </c>
      <c r="Q110" s="386">
        <f t="shared" si="66"/>
        <v>20.417765863310127</v>
      </c>
      <c r="R110" s="386">
        <f t="shared" ref="R110:R173" si="116">(Q110^2*Rdcr*(1+Ltc*Ta-Ltc*25))/(1-Q110^2*Rdcr*Ltc*ThetaCa)</f>
        <v>1.0336070696484696</v>
      </c>
      <c r="S110" s="386">
        <f t="shared" ref="S110:S173" si="117">7.759*10^-3*Fsw^0.9458*(0.00787*P110)^2.304</f>
        <v>6.3797849970155944</v>
      </c>
      <c r="T110" s="386">
        <f t="shared" ref="T110:T173" si="118">R110+S110</f>
        <v>7.4133920666640645</v>
      </c>
      <c r="U110" s="4">
        <f t="shared" si="68"/>
        <v>4.1091559776859716</v>
      </c>
      <c r="V110" s="386">
        <f t="shared" ref="V110:V173" si="119">RCoutEsr*U110^2</f>
        <v>3.377032569790471E-2</v>
      </c>
      <c r="W110" s="386">
        <f t="shared" ref="W110:W173" si="120">V110</f>
        <v>3.377032569790471E-2</v>
      </c>
      <c r="X110" s="386">
        <f t="shared" si="69"/>
        <v>10.157998875626907</v>
      </c>
      <c r="Y110" s="386">
        <f t="shared" ref="Y110:Y173" si="121">RCinEsr*X110^2</f>
        <v>0.20636988231447501</v>
      </c>
      <c r="Z110" s="603">
        <f t="shared" ref="Z110:Z173" si="122">Y110</f>
        <v>0.20636988231447501</v>
      </c>
      <c r="AA110" s="386">
        <f t="shared" si="70"/>
        <v>13.698797009305165</v>
      </c>
      <c r="AB110" s="386">
        <f t="shared" si="71"/>
        <v>0.35654837505408143</v>
      </c>
      <c r="AC110" s="386">
        <f t="shared" si="72"/>
        <v>1.989575335101194</v>
      </c>
      <c r="AD110">
        <f t="shared" si="73"/>
        <v>0</v>
      </c>
      <c r="AE110" s="386">
        <f t="shared" si="74"/>
        <v>2.5262712952055364</v>
      </c>
      <c r="AF110" s="386">
        <f t="shared" si="75"/>
        <v>15.140281481756016</v>
      </c>
      <c r="AG110" s="386">
        <f t="shared" si="76"/>
        <v>0.43553343435892788</v>
      </c>
      <c r="AH110" s="386">
        <f t="shared" si="77"/>
        <v>0</v>
      </c>
      <c r="AI110" s="386">
        <f t="shared" si="78"/>
        <v>0.4770912746271348</v>
      </c>
      <c r="AJ110" s="386">
        <f t="shared" si="79"/>
        <v>0</v>
      </c>
      <c r="AK110" s="386">
        <f t="shared" si="80"/>
        <v>0</v>
      </c>
      <c r="AL110" s="386">
        <f t="shared" si="81"/>
        <v>0</v>
      </c>
      <c r="AM110">
        <f t="shared" si="82"/>
        <v>0</v>
      </c>
      <c r="AN110" s="386">
        <f t="shared" si="83"/>
        <v>0</v>
      </c>
      <c r="AO110" s="386">
        <f t="shared" si="84"/>
        <v>20.417765863310127</v>
      </c>
      <c r="AP110" s="386">
        <f t="shared" si="85"/>
        <v>0.20844258142447619</v>
      </c>
      <c r="AQ110" s="386">
        <f t="shared" si="86"/>
        <v>0</v>
      </c>
      <c r="AR110" s="386">
        <f t="shared" si="87"/>
        <v>0.21751026150328784</v>
      </c>
      <c r="AS110" s="386">
        <f t="shared" si="88"/>
        <v>0.20844258142447619</v>
      </c>
      <c r="AT110" s="386">
        <f t="shared" si="89"/>
        <v>0.27500000000000002</v>
      </c>
      <c r="AU110" s="386">
        <f t="shared" si="90"/>
        <v>1.9701687500000002</v>
      </c>
      <c r="AV110" s="386">
        <f t="shared" si="91"/>
        <v>0.6876843700404125</v>
      </c>
      <c r="AW110" s="386" t="e">
        <f t="shared" si="92"/>
        <v>#VALUE!</v>
      </c>
      <c r="AX110" s="386">
        <f t="shared" si="93"/>
        <v>3.8400000000000004E-2</v>
      </c>
      <c r="AY110" s="386">
        <f t="shared" si="94"/>
        <v>0.61440000000000006</v>
      </c>
      <c r="AZ110" s="386">
        <f t="shared" si="95"/>
        <v>0.47314285714285709</v>
      </c>
      <c r="BA110" s="386">
        <f t="shared" ref="BA110:BA173" si="123">SUM(AX110:AY110)</f>
        <v>0.65280000000000005</v>
      </c>
      <c r="BB110" s="386" t="e">
        <f t="shared" ref="BB110:BB173" si="124">SUM(T110,W110,Z110,AE110,AI110,AN110,AR110, AT110,AU110,BA110,AV110,AW110)</f>
        <v>#VALUE!</v>
      </c>
      <c r="BC110">
        <f t="shared" si="96"/>
        <v>256</v>
      </c>
      <c r="BD110" s="604" t="e">
        <f t="shared" ref="BD110:BD173" si="125">BC110/(BC110+BB110)</f>
        <v>#VALUE!</v>
      </c>
      <c r="BE110" s="614">
        <f t="shared" si="97"/>
        <v>224.82200226027683</v>
      </c>
      <c r="BF110" s="614">
        <f t="shared" si="98"/>
        <v>23.854563731356741</v>
      </c>
      <c r="BG110" s="9"/>
      <c r="BH110" s="4" t="e">
        <f t="shared" ref="BH110:BH173" si="126">BD110*100</f>
        <v>#VALUE!</v>
      </c>
      <c r="BI110" s="386">
        <f t="shared" ref="BI110:BI173" si="127">T110</f>
        <v>7.4133920666640645</v>
      </c>
      <c r="BJ110" s="386">
        <f t="shared" ref="BJ110:BJ173" si="128">AE110+AI110+AN110+AR110+AU110</f>
        <v>5.1910415813359592</v>
      </c>
      <c r="BK110" s="386">
        <f t="shared" ref="BK110:BK173" si="129">AI110+AU110*0.33</f>
        <v>1.1272469621271348</v>
      </c>
      <c r="BL110" s="386">
        <f t="shared" ref="BL110:BL173" si="130">AV110</f>
        <v>0.6876843700404125</v>
      </c>
    </row>
    <row r="111" spans="7:71" x14ac:dyDescent="0.2">
      <c r="G111">
        <v>102</v>
      </c>
      <c r="H111" s="610">
        <f t="shared" si="59"/>
        <v>28.89</v>
      </c>
      <c r="I111" s="4" t="str">
        <f t="shared" si="60"/>
        <v>BUCK</v>
      </c>
      <c r="J111">
        <f t="shared" si="99"/>
        <v>1</v>
      </c>
      <c r="K111">
        <f t="shared" si="61"/>
        <v>20</v>
      </c>
      <c r="L111" s="4">
        <f t="shared" si="62"/>
        <v>9.8457751624937497</v>
      </c>
      <c r="M111" s="4">
        <f t="shared" si="63"/>
        <v>20</v>
      </c>
      <c r="N111" s="386">
        <f t="shared" si="64"/>
        <v>0.44710880829015548</v>
      </c>
      <c r="O111" s="386">
        <f t="shared" si="115"/>
        <v>0</v>
      </c>
      <c r="P111" s="4">
        <f t="shared" si="65"/>
        <v>14.313026014507773</v>
      </c>
      <c r="Q111" s="386">
        <f t="shared" si="66"/>
        <v>20.422338083766626</v>
      </c>
      <c r="R111" s="386">
        <f t="shared" si="116"/>
        <v>1.0341083407514711</v>
      </c>
      <c r="S111" s="386">
        <f t="shared" si="117"/>
        <v>6.4611300214035907</v>
      </c>
      <c r="T111" s="386">
        <f t="shared" si="118"/>
        <v>7.495238362155062</v>
      </c>
      <c r="U111" s="4">
        <f t="shared" si="68"/>
        <v>4.13181471119709</v>
      </c>
      <c r="V111" s="386">
        <f t="shared" si="119"/>
        <v>3.4143785615329388E-2</v>
      </c>
      <c r="W111" s="386">
        <f t="shared" si="120"/>
        <v>3.4143785615329388E-2</v>
      </c>
      <c r="X111" s="386">
        <f t="shared" si="69"/>
        <v>10.153877273752796</v>
      </c>
      <c r="Y111" s="386">
        <f t="shared" si="121"/>
        <v>0.20620244738086704</v>
      </c>
      <c r="Z111" s="603">
        <f t="shared" si="122"/>
        <v>0.20620244738086704</v>
      </c>
      <c r="AA111" s="386">
        <f t="shared" si="70"/>
        <v>13.655640481667435</v>
      </c>
      <c r="AB111" s="386">
        <f t="shared" si="71"/>
        <v>0.3543053822326534</v>
      </c>
      <c r="AC111" s="386">
        <f t="shared" si="72"/>
        <v>2.003095711136905</v>
      </c>
      <c r="AD111">
        <f t="shared" si="73"/>
        <v>0</v>
      </c>
      <c r="AE111" s="386">
        <f t="shared" si="74"/>
        <v>2.5371890398840846</v>
      </c>
      <c r="AF111" s="386">
        <f t="shared" si="75"/>
        <v>15.185367161946075</v>
      </c>
      <c r="AG111" s="386">
        <f t="shared" si="76"/>
        <v>0.43813121410190942</v>
      </c>
      <c r="AH111" s="386">
        <f t="shared" si="77"/>
        <v>0</v>
      </c>
      <c r="AI111" s="386">
        <f t="shared" si="78"/>
        <v>0.48021023254360762</v>
      </c>
      <c r="AJ111" s="386">
        <f t="shared" si="79"/>
        <v>0</v>
      </c>
      <c r="AK111" s="386">
        <f t="shared" si="80"/>
        <v>0</v>
      </c>
      <c r="AL111" s="386">
        <f t="shared" si="81"/>
        <v>0</v>
      </c>
      <c r="AM111">
        <f t="shared" si="82"/>
        <v>0</v>
      </c>
      <c r="AN111" s="386">
        <f t="shared" si="83"/>
        <v>0</v>
      </c>
      <c r="AO111" s="386">
        <f t="shared" si="84"/>
        <v>20.422338083766626</v>
      </c>
      <c r="AP111" s="386">
        <f t="shared" si="85"/>
        <v>0.20853594640383236</v>
      </c>
      <c r="AQ111" s="386">
        <f t="shared" si="86"/>
        <v>0</v>
      </c>
      <c r="AR111" s="386">
        <f t="shared" si="87"/>
        <v>0.21761192828663564</v>
      </c>
      <c r="AS111" s="386">
        <f t="shared" si="88"/>
        <v>0.20853594640383236</v>
      </c>
      <c r="AT111" s="386">
        <f t="shared" si="89"/>
        <v>0.27500000000000002</v>
      </c>
      <c r="AU111" s="386">
        <f t="shared" si="90"/>
        <v>1.9835750000000001</v>
      </c>
      <c r="AV111" s="386">
        <f t="shared" si="91"/>
        <v>0.69178612752933066</v>
      </c>
      <c r="AW111" s="386" t="e">
        <f t="shared" si="92"/>
        <v>#VALUE!</v>
      </c>
      <c r="AX111" s="386">
        <f t="shared" si="93"/>
        <v>3.8400000000000004E-2</v>
      </c>
      <c r="AY111" s="386">
        <f t="shared" si="94"/>
        <v>0.61440000000000006</v>
      </c>
      <c r="AZ111" s="386">
        <f t="shared" si="95"/>
        <v>0.47314285714285709</v>
      </c>
      <c r="BA111" s="386">
        <f t="shared" si="123"/>
        <v>0.65280000000000005</v>
      </c>
      <c r="BB111" s="386" t="e">
        <f t="shared" si="124"/>
        <v>#VALUE!</v>
      </c>
      <c r="BC111">
        <f t="shared" si="96"/>
        <v>256</v>
      </c>
      <c r="BD111" s="604" t="e">
        <f t="shared" si="125"/>
        <v>#VALUE!</v>
      </c>
      <c r="BE111" s="614">
        <f t="shared" si="97"/>
        <v>226.03820199420426</v>
      </c>
      <c r="BF111" s="614">
        <f t="shared" si="98"/>
        <v>24.010511627180382</v>
      </c>
      <c r="BG111" s="9"/>
      <c r="BH111" s="4" t="e">
        <f t="shared" si="126"/>
        <v>#VALUE!</v>
      </c>
      <c r="BI111" s="386">
        <f t="shared" si="127"/>
        <v>7.495238362155062</v>
      </c>
      <c r="BJ111" s="386">
        <f t="shared" si="128"/>
        <v>5.218586200714328</v>
      </c>
      <c r="BK111" s="386">
        <f t="shared" si="129"/>
        <v>1.1347899825436076</v>
      </c>
      <c r="BL111" s="386">
        <f t="shared" si="130"/>
        <v>0.69178612752933066</v>
      </c>
    </row>
    <row r="112" spans="7:71" x14ac:dyDescent="0.2">
      <c r="G112">
        <v>103</v>
      </c>
      <c r="H112" s="610">
        <f t="shared" si="59"/>
        <v>29.085000000000001</v>
      </c>
      <c r="I112" s="4" t="str">
        <f t="shared" si="60"/>
        <v>BUCK</v>
      </c>
      <c r="J112">
        <f t="shared" si="99"/>
        <v>1</v>
      </c>
      <c r="K112">
        <f t="shared" si="61"/>
        <v>20</v>
      </c>
      <c r="L112" s="4">
        <f t="shared" si="62"/>
        <v>9.7797642923996708</v>
      </c>
      <c r="M112" s="4">
        <f t="shared" si="63"/>
        <v>20</v>
      </c>
      <c r="N112" s="386">
        <f t="shared" si="64"/>
        <v>0.44411734431291822</v>
      </c>
      <c r="O112" s="386">
        <f t="shared" si="115"/>
        <v>0</v>
      </c>
      <c r="P112" s="4">
        <f t="shared" si="65"/>
        <v>14.390467837364902</v>
      </c>
      <c r="Q112" s="386">
        <f t="shared" si="66"/>
        <v>20.426872750901431</v>
      </c>
      <c r="R112" s="386">
        <f t="shared" si="116"/>
        <v>1.0346056422815675</v>
      </c>
      <c r="S112" s="386">
        <f t="shared" si="117"/>
        <v>6.5419586598060828</v>
      </c>
      <c r="T112" s="386">
        <f t="shared" si="118"/>
        <v>7.5765643020876503</v>
      </c>
      <c r="U112" s="4">
        <f t="shared" si="68"/>
        <v>4.1541702398336389</v>
      </c>
      <c r="V112" s="386">
        <f t="shared" si="119"/>
        <v>3.4514260763038949E-2</v>
      </c>
      <c r="W112" s="386">
        <f t="shared" si="120"/>
        <v>3.4514260763038949E-2</v>
      </c>
      <c r="X112" s="386">
        <f t="shared" si="69"/>
        <v>10.149445419191425</v>
      </c>
      <c r="Y112" s="386">
        <f t="shared" si="121"/>
        <v>0.2060224846342916</v>
      </c>
      <c r="Z112" s="603">
        <f t="shared" si="122"/>
        <v>0.2060224846342916</v>
      </c>
      <c r="AA112" s="386">
        <f t="shared" si="70"/>
        <v>13.612903020321179</v>
      </c>
      <c r="AB112" s="386">
        <f t="shared" si="71"/>
        <v>0.35209114441727196</v>
      </c>
      <c r="AC112" s="386">
        <f t="shared" si="72"/>
        <v>2.0166160871726162</v>
      </c>
      <c r="AD112">
        <f t="shared" si="73"/>
        <v>0</v>
      </c>
      <c r="AE112" s="386">
        <f t="shared" si="74"/>
        <v>2.5481429446973456</v>
      </c>
      <c r="AF112" s="386">
        <f t="shared" si="75"/>
        <v>15.229773528875928</v>
      </c>
      <c r="AG112" s="386">
        <f t="shared" si="76"/>
        <v>0.44069740330761487</v>
      </c>
      <c r="AH112" s="386">
        <f t="shared" si="77"/>
        <v>0</v>
      </c>
      <c r="AI112" s="386">
        <f t="shared" si="78"/>
        <v>0.48329475173168529</v>
      </c>
      <c r="AJ112" s="386">
        <f t="shared" si="79"/>
        <v>0</v>
      </c>
      <c r="AK112" s="386">
        <f t="shared" si="80"/>
        <v>0</v>
      </c>
      <c r="AL112" s="386">
        <f t="shared" si="81"/>
        <v>0</v>
      </c>
      <c r="AM112">
        <f t="shared" si="82"/>
        <v>0</v>
      </c>
      <c r="AN112" s="386">
        <f t="shared" si="83"/>
        <v>0</v>
      </c>
      <c r="AO112" s="386">
        <f t="shared" si="84"/>
        <v>20.426872750901431</v>
      </c>
      <c r="AP112" s="386">
        <f t="shared" si="85"/>
        <v>0.2086285651907597</v>
      </c>
      <c r="AQ112" s="386">
        <f t="shared" si="86"/>
        <v>0</v>
      </c>
      <c r="AR112" s="386">
        <f t="shared" si="87"/>
        <v>0.21771278644260009</v>
      </c>
      <c r="AS112" s="386">
        <f t="shared" si="88"/>
        <v>0.2086285651907597</v>
      </c>
      <c r="AT112" s="386">
        <f t="shared" si="89"/>
        <v>0.27500000000000002</v>
      </c>
      <c r="AU112" s="386">
        <f t="shared" si="90"/>
        <v>1.9969812500000002</v>
      </c>
      <c r="AV112" s="386">
        <f t="shared" si="91"/>
        <v>0.69583800522254979</v>
      </c>
      <c r="AW112" s="386" t="e">
        <f t="shared" si="92"/>
        <v>#VALUE!</v>
      </c>
      <c r="AX112" s="386">
        <f t="shared" si="93"/>
        <v>3.8400000000000004E-2</v>
      </c>
      <c r="AY112" s="386">
        <f t="shared" si="94"/>
        <v>0.61440000000000006</v>
      </c>
      <c r="AZ112" s="386">
        <f t="shared" si="95"/>
        <v>0.47314285714285709</v>
      </c>
      <c r="BA112" s="386">
        <f t="shared" si="123"/>
        <v>0.65280000000000005</v>
      </c>
      <c r="BB112" s="386" t="e">
        <f t="shared" si="124"/>
        <v>#VALUE!</v>
      </c>
      <c r="BC112">
        <f t="shared" si="96"/>
        <v>256</v>
      </c>
      <c r="BD112" s="604" t="e">
        <f t="shared" si="125"/>
        <v>#VALUE!</v>
      </c>
      <c r="BE112" s="614">
        <f t="shared" si="97"/>
        <v>227.2562097348673</v>
      </c>
      <c r="BF112" s="614">
        <f t="shared" si="98"/>
        <v>24.164737586584266</v>
      </c>
      <c r="BG112" s="9"/>
      <c r="BH112" s="4" t="e">
        <f t="shared" si="126"/>
        <v>#VALUE!</v>
      </c>
      <c r="BI112" s="386">
        <f t="shared" si="127"/>
        <v>7.5765643020876503</v>
      </c>
      <c r="BJ112" s="386">
        <f t="shared" si="128"/>
        <v>5.246131732871631</v>
      </c>
      <c r="BK112" s="386">
        <f t="shared" si="129"/>
        <v>1.1422985642316854</v>
      </c>
      <c r="BL112" s="386">
        <f t="shared" si="130"/>
        <v>0.69583800522254979</v>
      </c>
    </row>
    <row r="113" spans="7:64" x14ac:dyDescent="0.2">
      <c r="G113">
        <v>104</v>
      </c>
      <c r="H113" s="610">
        <f t="shared" si="59"/>
        <v>29.28</v>
      </c>
      <c r="I113" s="4" t="str">
        <f t="shared" si="60"/>
        <v>BUCK</v>
      </c>
      <c r="J113">
        <f t="shared" si="99"/>
        <v>1</v>
      </c>
      <c r="K113">
        <f t="shared" si="61"/>
        <v>20</v>
      </c>
      <c r="L113" s="4">
        <f t="shared" si="62"/>
        <v>9.7146326654523367</v>
      </c>
      <c r="M113" s="4">
        <f t="shared" si="63"/>
        <v>20</v>
      </c>
      <c r="N113" s="386">
        <f t="shared" si="64"/>
        <v>0.44116564417177917</v>
      </c>
      <c r="O113" s="386">
        <f t="shared" si="115"/>
        <v>0</v>
      </c>
      <c r="P113" s="4">
        <f t="shared" si="65"/>
        <v>14.466880269938651</v>
      </c>
      <c r="Q113" s="386">
        <f t="shared" si="66"/>
        <v>20.431370130155123</v>
      </c>
      <c r="R113" s="386">
        <f t="shared" si="116"/>
        <v>1.035098999738931</v>
      </c>
      <c r="S113" s="386">
        <f t="shared" si="117"/>
        <v>6.6222707912806591</v>
      </c>
      <c r="T113" s="386">
        <f t="shared" si="118"/>
        <v>7.6573697910195904</v>
      </c>
      <c r="U113" s="4">
        <f t="shared" si="68"/>
        <v>4.1762286090915834</v>
      </c>
      <c r="V113" s="386">
        <f t="shared" si="119"/>
        <v>3.4881770790790044E-2</v>
      </c>
      <c r="W113" s="386">
        <f t="shared" si="120"/>
        <v>3.4881770790790044E-2</v>
      </c>
      <c r="X113" s="386">
        <f t="shared" si="69"/>
        <v>10.144715741592554</v>
      </c>
      <c r="Y113" s="386">
        <f t="shared" si="121"/>
        <v>0.20583051495543153</v>
      </c>
      <c r="Z113" s="603">
        <f t="shared" si="122"/>
        <v>0.20583051495543153</v>
      </c>
      <c r="AA113" s="386">
        <f t="shared" si="70"/>
        <v>13.570577626213899</v>
      </c>
      <c r="AB113" s="386">
        <f t="shared" si="71"/>
        <v>0.3499050965072848</v>
      </c>
      <c r="AC113" s="386">
        <f t="shared" si="72"/>
        <v>2.0301364632083274</v>
      </c>
      <c r="AD113">
        <f t="shared" si="73"/>
        <v>0</v>
      </c>
      <c r="AE113" s="386">
        <f t="shared" si="74"/>
        <v>2.5591322425784777</v>
      </c>
      <c r="AF113" s="386">
        <f t="shared" si="75"/>
        <v>15.273516565817372</v>
      </c>
      <c r="AG113" s="386">
        <f t="shared" si="76"/>
        <v>0.44323258574396562</v>
      </c>
      <c r="AH113" s="386">
        <f t="shared" si="77"/>
        <v>0</v>
      </c>
      <c r="AI113" s="386">
        <f t="shared" si="78"/>
        <v>0.486345412712194</v>
      </c>
      <c r="AJ113" s="386">
        <f t="shared" si="79"/>
        <v>0</v>
      </c>
      <c r="AK113" s="386">
        <f t="shared" si="80"/>
        <v>0</v>
      </c>
      <c r="AL113" s="386">
        <f t="shared" si="81"/>
        <v>0</v>
      </c>
      <c r="AM113">
        <f t="shared" si="82"/>
        <v>0</v>
      </c>
      <c r="AN113" s="386">
        <f t="shared" si="83"/>
        <v>0</v>
      </c>
      <c r="AO113" s="386">
        <f t="shared" si="84"/>
        <v>20.431370130155123</v>
      </c>
      <c r="AP113" s="386">
        <f t="shared" si="85"/>
        <v>0.20872044269769749</v>
      </c>
      <c r="AQ113" s="386">
        <f t="shared" si="86"/>
        <v>0</v>
      </c>
      <c r="AR113" s="386">
        <f t="shared" si="87"/>
        <v>0.21781284122692282</v>
      </c>
      <c r="AS113" s="386">
        <f t="shared" si="88"/>
        <v>0.20872044269769749</v>
      </c>
      <c r="AT113" s="386">
        <f t="shared" si="89"/>
        <v>0.27500000000000002</v>
      </c>
      <c r="AU113" s="386">
        <f t="shared" si="90"/>
        <v>2.0103875000000002</v>
      </c>
      <c r="AV113" s="386">
        <f t="shared" si="91"/>
        <v>0.69984092485889315</v>
      </c>
      <c r="AW113" s="386" t="e">
        <f t="shared" si="92"/>
        <v>#VALUE!</v>
      </c>
      <c r="AX113" s="386">
        <f t="shared" si="93"/>
        <v>3.8400000000000004E-2</v>
      </c>
      <c r="AY113" s="386">
        <f t="shared" si="94"/>
        <v>0.61440000000000006</v>
      </c>
      <c r="AZ113" s="386">
        <f t="shared" si="95"/>
        <v>0.47314285714285709</v>
      </c>
      <c r="BA113" s="386">
        <f t="shared" si="123"/>
        <v>0.65280000000000005</v>
      </c>
      <c r="BB113" s="386" t="e">
        <f t="shared" si="124"/>
        <v>#VALUE!</v>
      </c>
      <c r="BC113">
        <f t="shared" si="96"/>
        <v>256</v>
      </c>
      <c r="BD113" s="604" t="e">
        <f t="shared" si="125"/>
        <v>#VALUE!</v>
      </c>
      <c r="BE113" s="614">
        <f t="shared" si="97"/>
        <v>228.47598712892392</v>
      </c>
      <c r="BF113" s="614">
        <f t="shared" si="98"/>
        <v>24.317270635609699</v>
      </c>
      <c r="BG113" s="9"/>
      <c r="BH113" s="4" t="e">
        <f t="shared" si="126"/>
        <v>#VALUE!</v>
      </c>
      <c r="BI113" s="386">
        <f t="shared" si="127"/>
        <v>7.6573697910195904</v>
      </c>
      <c r="BJ113" s="386">
        <f t="shared" si="128"/>
        <v>5.2736779965175948</v>
      </c>
      <c r="BK113" s="386">
        <f t="shared" si="129"/>
        <v>1.1497732877121942</v>
      </c>
      <c r="BL113" s="386">
        <f t="shared" si="130"/>
        <v>0.69984092485889315</v>
      </c>
    </row>
    <row r="114" spans="7:64" x14ac:dyDescent="0.2">
      <c r="G114">
        <v>105</v>
      </c>
      <c r="H114" s="610">
        <f t="shared" si="59"/>
        <v>29.475000000000001</v>
      </c>
      <c r="I114" s="4" t="str">
        <f t="shared" si="60"/>
        <v>BUCK</v>
      </c>
      <c r="J114">
        <f t="shared" si="99"/>
        <v>1</v>
      </c>
      <c r="K114">
        <f t="shared" si="61"/>
        <v>20</v>
      </c>
      <c r="L114" s="4">
        <f t="shared" si="62"/>
        <v>9.6503628310244078</v>
      </c>
      <c r="M114" s="4">
        <f t="shared" si="63"/>
        <v>20</v>
      </c>
      <c r="N114" s="386">
        <f t="shared" si="64"/>
        <v>0.43825292026409352</v>
      </c>
      <c r="O114" s="386">
        <f t="shared" si="115"/>
        <v>0</v>
      </c>
      <c r="P114" s="4">
        <f t="shared" si="65"/>
        <v>14.542283701371257</v>
      </c>
      <c r="Q114" s="386">
        <f t="shared" si="66"/>
        <v>20.43583049297477</v>
      </c>
      <c r="R114" s="386">
        <f t="shared" si="116"/>
        <v>1.0355884393456327</v>
      </c>
      <c r="S114" s="386">
        <f t="shared" si="117"/>
        <v>6.7020665442698855</v>
      </c>
      <c r="T114" s="386">
        <f t="shared" si="118"/>
        <v>7.737654983615518</v>
      </c>
      <c r="U114" s="4">
        <f t="shared" si="68"/>
        <v>4.1979957048093013</v>
      </c>
      <c r="V114" s="386">
        <f t="shared" si="119"/>
        <v>3.5246335875194684E-2</v>
      </c>
      <c r="W114" s="386">
        <f t="shared" si="120"/>
        <v>3.5246335875194684E-2</v>
      </c>
      <c r="X114" s="386">
        <f t="shared" si="69"/>
        <v>10.139700161096071</v>
      </c>
      <c r="Y114" s="386">
        <f t="shared" si="121"/>
        <v>0.2056270387138634</v>
      </c>
      <c r="Z114" s="603">
        <f t="shared" si="122"/>
        <v>0.2056270387138634</v>
      </c>
      <c r="AA114" s="386">
        <f t="shared" si="70"/>
        <v>13.528657469187177</v>
      </c>
      <c r="AB114" s="386">
        <f t="shared" si="71"/>
        <v>0.34774668854532859</v>
      </c>
      <c r="AC114" s="386">
        <f t="shared" si="72"/>
        <v>2.0436568392440386</v>
      </c>
      <c r="AD114">
        <f t="shared" si="73"/>
        <v>0</v>
      </c>
      <c r="AE114" s="386">
        <f t="shared" si="74"/>
        <v>2.5701561885090265</v>
      </c>
      <c r="AF114" s="386">
        <f t="shared" si="75"/>
        <v>15.316611734290435</v>
      </c>
      <c r="AG114" s="386">
        <f t="shared" si="76"/>
        <v>0.44573733053610654</v>
      </c>
      <c r="AH114" s="386">
        <f t="shared" si="77"/>
        <v>0</v>
      </c>
      <c r="AI114" s="386">
        <f t="shared" si="78"/>
        <v>0.48936278261325744</v>
      </c>
      <c r="AJ114" s="386">
        <f t="shared" si="79"/>
        <v>0</v>
      </c>
      <c r="AK114" s="386">
        <f t="shared" si="80"/>
        <v>0</v>
      </c>
      <c r="AL114" s="386">
        <f t="shared" si="81"/>
        <v>0</v>
      </c>
      <c r="AM114">
        <f t="shared" si="82"/>
        <v>0</v>
      </c>
      <c r="AN114" s="386">
        <f t="shared" si="83"/>
        <v>0</v>
      </c>
      <c r="AO114" s="386">
        <f t="shared" si="84"/>
        <v>20.43583049297477</v>
      </c>
      <c r="AP114" s="386">
        <f t="shared" si="85"/>
        <v>0.20881158396879873</v>
      </c>
      <c r="AQ114" s="386">
        <f t="shared" si="86"/>
        <v>0</v>
      </c>
      <c r="AR114" s="386">
        <f t="shared" si="87"/>
        <v>0.21791209804035278</v>
      </c>
      <c r="AS114" s="386">
        <f t="shared" si="88"/>
        <v>0.20881158396879873</v>
      </c>
      <c r="AT114" s="386">
        <f t="shared" si="89"/>
        <v>0.27500000000000002</v>
      </c>
      <c r="AU114" s="386">
        <f t="shared" si="90"/>
        <v>2.0237937500000003</v>
      </c>
      <c r="AV114" s="386">
        <f t="shared" si="91"/>
        <v>0.70379578505701024</v>
      </c>
      <c r="AW114" s="386" t="e">
        <f t="shared" si="92"/>
        <v>#VALUE!</v>
      </c>
      <c r="AX114" s="386">
        <f t="shared" si="93"/>
        <v>3.8400000000000004E-2</v>
      </c>
      <c r="AY114" s="386">
        <f t="shared" si="94"/>
        <v>0.61440000000000006</v>
      </c>
      <c r="AZ114" s="386">
        <f t="shared" si="95"/>
        <v>0.47314285714285709</v>
      </c>
      <c r="BA114" s="386">
        <f t="shared" si="123"/>
        <v>0.65280000000000005</v>
      </c>
      <c r="BB114" s="386" t="e">
        <f t="shared" si="124"/>
        <v>#VALUE!</v>
      </c>
      <c r="BC114">
        <f t="shared" si="96"/>
        <v>256</v>
      </c>
      <c r="BD114" s="604" t="e">
        <f t="shared" si="125"/>
        <v>#VALUE!</v>
      </c>
      <c r="BE114" s="614">
        <f t="shared" si="97"/>
        <v>229.69749692545136</v>
      </c>
      <c r="BF114" s="614">
        <f t="shared" si="98"/>
        <v>24.468139130662873</v>
      </c>
      <c r="BG114" s="9"/>
      <c r="BH114" s="4" t="e">
        <f t="shared" si="126"/>
        <v>#VALUE!</v>
      </c>
      <c r="BI114" s="386">
        <f t="shared" si="127"/>
        <v>7.737654983615518</v>
      </c>
      <c r="BJ114" s="386">
        <f t="shared" si="128"/>
        <v>5.3012248191626377</v>
      </c>
      <c r="BK114" s="386">
        <f t="shared" si="129"/>
        <v>1.1572147201132577</v>
      </c>
      <c r="BL114" s="386">
        <f t="shared" si="130"/>
        <v>0.70379578505701024</v>
      </c>
    </row>
    <row r="115" spans="7:64" x14ac:dyDescent="0.2">
      <c r="G115">
        <v>106</v>
      </c>
      <c r="H115" s="610">
        <f t="shared" si="59"/>
        <v>29.67</v>
      </c>
      <c r="I115" s="4" t="str">
        <f t="shared" si="60"/>
        <v>BUCK</v>
      </c>
      <c r="J115">
        <f t="shared" si="99"/>
        <v>1</v>
      </c>
      <c r="K115">
        <f t="shared" si="61"/>
        <v>20</v>
      </c>
      <c r="L115" s="4">
        <f t="shared" si="62"/>
        <v>9.5869377972512435</v>
      </c>
      <c r="M115" s="4">
        <f t="shared" si="63"/>
        <v>20</v>
      </c>
      <c r="N115" s="386">
        <f t="shared" si="64"/>
        <v>0.43537840565085778</v>
      </c>
      <c r="O115" s="386">
        <f t="shared" si="115"/>
        <v>0</v>
      </c>
      <c r="P115" s="4">
        <f t="shared" si="65"/>
        <v>14.616697985872859</v>
      </c>
      <c r="Q115" s="386">
        <f t="shared" si="66"/>
        <v>20.440254116184196</v>
      </c>
      <c r="R115" s="386">
        <f t="shared" si="116"/>
        <v>1.0360739879768008</v>
      </c>
      <c r="S115" s="386">
        <f t="shared" si="117"/>
        <v>6.7813462814114525</v>
      </c>
      <c r="T115" s="386">
        <f t="shared" si="118"/>
        <v>7.8174202693882533</v>
      </c>
      <c r="U115" s="4">
        <f t="shared" si="68"/>
        <v>4.219477258403578</v>
      </c>
      <c r="V115" s="386">
        <f t="shared" si="119"/>
        <v>3.5607976668369949E-2</v>
      </c>
      <c r="W115" s="386">
        <f t="shared" si="120"/>
        <v>3.5607976668369949E-2</v>
      </c>
      <c r="X115" s="386">
        <f t="shared" si="69"/>
        <v>10.134410112475685</v>
      </c>
      <c r="Y115" s="386">
        <f t="shared" si="121"/>
        <v>0.20541253665569884</v>
      </c>
      <c r="Z115" s="603">
        <f t="shared" si="122"/>
        <v>0.20541253665569884</v>
      </c>
      <c r="AA115" s="386">
        <f t="shared" si="70"/>
        <v>13.487135882592236</v>
      </c>
      <c r="AB115" s="386">
        <f t="shared" si="71"/>
        <v>0.34561538519946339</v>
      </c>
      <c r="AC115" s="386">
        <f t="shared" si="72"/>
        <v>2.0571772152797503</v>
      </c>
      <c r="AD115">
        <f t="shared" si="73"/>
        <v>0</v>
      </c>
      <c r="AE115" s="386">
        <f t="shared" si="74"/>
        <v>2.5812140587163159</v>
      </c>
      <c r="AF115" s="386">
        <f t="shared" si="75"/>
        <v>15.359073996132642</v>
      </c>
      <c r="AG115" s="386">
        <f t="shared" si="76"/>
        <v>0.44821219263548806</v>
      </c>
      <c r="AH115" s="386">
        <f t="shared" si="77"/>
        <v>0</v>
      </c>
      <c r="AI115" s="386">
        <f t="shared" si="78"/>
        <v>0.49234741556966738</v>
      </c>
      <c r="AJ115" s="386">
        <f t="shared" si="79"/>
        <v>0</v>
      </c>
      <c r="AK115" s="386">
        <f t="shared" si="80"/>
        <v>0</v>
      </c>
      <c r="AL115" s="386">
        <f t="shared" si="81"/>
        <v>0</v>
      </c>
      <c r="AM115">
        <f t="shared" si="82"/>
        <v>0</v>
      </c>
      <c r="AN115" s="386">
        <f t="shared" si="83"/>
        <v>0</v>
      </c>
      <c r="AO115" s="386">
        <f t="shared" si="84"/>
        <v>20.440254116184196</v>
      </c>
      <c r="AP115" s="386">
        <f t="shared" si="85"/>
        <v>0.20890199416709249</v>
      </c>
      <c r="AQ115" s="386">
        <f t="shared" si="86"/>
        <v>0</v>
      </c>
      <c r="AR115" s="386">
        <f t="shared" si="87"/>
        <v>0.21801056241467548</v>
      </c>
      <c r="AS115" s="386">
        <f t="shared" si="88"/>
        <v>0.20890199416709249</v>
      </c>
      <c r="AT115" s="386">
        <f t="shared" si="89"/>
        <v>0.27500000000000002</v>
      </c>
      <c r="AU115" s="386">
        <f t="shared" si="90"/>
        <v>2.0372000000000003</v>
      </c>
      <c r="AV115" s="386">
        <f t="shared" si="91"/>
        <v>0.70770346205603374</v>
      </c>
      <c r="AW115" s="386" t="e">
        <f t="shared" si="92"/>
        <v>#VALUE!</v>
      </c>
      <c r="AX115" s="386">
        <f t="shared" si="93"/>
        <v>3.8400000000000004E-2</v>
      </c>
      <c r="AY115" s="386">
        <f t="shared" si="94"/>
        <v>0.61440000000000006</v>
      </c>
      <c r="AZ115" s="386">
        <f t="shared" si="95"/>
        <v>0.47314285714285709</v>
      </c>
      <c r="BA115" s="386">
        <f t="shared" si="123"/>
        <v>0.65280000000000005</v>
      </c>
      <c r="BB115" s="386" t="e">
        <f t="shared" si="124"/>
        <v>#VALUE!</v>
      </c>
      <c r="BC115">
        <f t="shared" si="96"/>
        <v>256</v>
      </c>
      <c r="BD115" s="604" t="e">
        <f t="shared" si="125"/>
        <v>#VALUE!</v>
      </c>
      <c r="BE115" s="614">
        <f t="shared" si="97"/>
        <v>230.92070293581583</v>
      </c>
      <c r="BF115" s="614">
        <f t="shared" si="98"/>
        <v>24.61737077848337</v>
      </c>
      <c r="BG115" s="9"/>
      <c r="BH115" s="4" t="e">
        <f t="shared" si="126"/>
        <v>#VALUE!</v>
      </c>
      <c r="BI115" s="386">
        <f t="shared" si="127"/>
        <v>7.8174202693882533</v>
      </c>
      <c r="BJ115" s="386">
        <f t="shared" si="128"/>
        <v>5.3287720367006592</v>
      </c>
      <c r="BK115" s="386">
        <f t="shared" si="129"/>
        <v>1.1646234155696675</v>
      </c>
      <c r="BL115" s="386">
        <f t="shared" si="130"/>
        <v>0.70770346205603374</v>
      </c>
    </row>
    <row r="116" spans="7:64" x14ac:dyDescent="0.2">
      <c r="G116">
        <v>107</v>
      </c>
      <c r="H116" s="610">
        <f t="shared" si="59"/>
        <v>29.865000000000002</v>
      </c>
      <c r="I116" s="4" t="str">
        <f t="shared" si="60"/>
        <v>BUCK</v>
      </c>
      <c r="J116">
        <f t="shared" si="99"/>
        <v>1</v>
      </c>
      <c r="K116">
        <f t="shared" si="61"/>
        <v>20</v>
      </c>
      <c r="L116" s="4">
        <f t="shared" si="62"/>
        <v>9.5243410160537216</v>
      </c>
      <c r="M116" s="4">
        <f t="shared" si="63"/>
        <v>20</v>
      </c>
      <c r="N116" s="386">
        <f t="shared" si="64"/>
        <v>0.43254135338345867</v>
      </c>
      <c r="O116" s="386">
        <f t="shared" si="115"/>
        <v>0</v>
      </c>
      <c r="P116" s="4">
        <f t="shared" si="65"/>
        <v>14.690142460150378</v>
      </c>
      <c r="Q116" s="386">
        <f t="shared" si="66"/>
        <v>20.444641281395949</v>
      </c>
      <c r="R116" s="386">
        <f t="shared" si="116"/>
        <v>1.03655567309622</v>
      </c>
      <c r="S116" s="386">
        <f t="shared" si="117"/>
        <v>6.8601105851691555</v>
      </c>
      <c r="T116" s="386">
        <f t="shared" si="118"/>
        <v>7.896666258265375</v>
      </c>
      <c r="U116" s="4">
        <f t="shared" si="68"/>
        <v>4.2406788519008867</v>
      </c>
      <c r="V116" s="386">
        <f t="shared" si="119"/>
        <v>3.5966714249918846E-2</v>
      </c>
      <c r="W116" s="386">
        <f t="shared" si="120"/>
        <v>3.5966714249918846E-2</v>
      </c>
      <c r="X116" s="386">
        <f t="shared" si="69"/>
        <v>10.128856567947896</v>
      </c>
      <c r="Y116" s="386">
        <f t="shared" si="121"/>
        <v>0.20518747074812246</v>
      </c>
      <c r="Z116" s="603">
        <f t="shared" si="122"/>
        <v>0.20518747074812246</v>
      </c>
      <c r="AA116" s="386">
        <f t="shared" si="70"/>
        <v>13.446006358119552</v>
      </c>
      <c r="AB116" s="386">
        <f t="shared" si="71"/>
        <v>0.3435106652669237</v>
      </c>
      <c r="AC116" s="386">
        <f t="shared" si="72"/>
        <v>2.0706975913154615</v>
      </c>
      <c r="AD116">
        <f t="shared" si="73"/>
        <v>0</v>
      </c>
      <c r="AE116" s="386">
        <f t="shared" si="74"/>
        <v>2.5923051499062164</v>
      </c>
      <c r="AF116" s="386">
        <f t="shared" si="75"/>
        <v>15.400917834413894</v>
      </c>
      <c r="AG116" s="386">
        <f t="shared" si="76"/>
        <v>0.45065771327049908</v>
      </c>
      <c r="AH116" s="386">
        <f t="shared" si="77"/>
        <v>0</v>
      </c>
      <c r="AI116" s="386">
        <f t="shared" si="78"/>
        <v>0.49529985310741986</v>
      </c>
      <c r="AJ116" s="386">
        <f t="shared" si="79"/>
        <v>0</v>
      </c>
      <c r="AK116" s="386">
        <f t="shared" si="80"/>
        <v>0</v>
      </c>
      <c r="AL116" s="386">
        <f t="shared" si="81"/>
        <v>0</v>
      </c>
      <c r="AM116">
        <f t="shared" si="82"/>
        <v>0</v>
      </c>
      <c r="AN116" s="386">
        <f t="shared" si="83"/>
        <v>0</v>
      </c>
      <c r="AO116" s="386">
        <f t="shared" si="84"/>
        <v>20.444641281395949</v>
      </c>
      <c r="AP116" s="386">
        <f t="shared" si="85"/>
        <v>0.20899167856247972</v>
      </c>
      <c r="AQ116" s="386">
        <f t="shared" si="86"/>
        <v>0</v>
      </c>
      <c r="AR116" s="386">
        <f t="shared" si="87"/>
        <v>0.21810823999964657</v>
      </c>
      <c r="AS116" s="386">
        <f t="shared" si="88"/>
        <v>0.20899167856247972</v>
      </c>
      <c r="AT116" s="386">
        <f t="shared" si="89"/>
        <v>0.27500000000000002</v>
      </c>
      <c r="AU116" s="386">
        <f t="shared" si="90"/>
        <v>2.0506062500000004</v>
      </c>
      <c r="AV116" s="386">
        <f t="shared" si="91"/>
        <v>0.71156481042710384</v>
      </c>
      <c r="AW116" s="386" t="e">
        <f t="shared" si="92"/>
        <v>#VALUE!</v>
      </c>
      <c r="AX116" s="386">
        <f t="shared" si="93"/>
        <v>3.8400000000000004E-2</v>
      </c>
      <c r="AY116" s="386">
        <f t="shared" si="94"/>
        <v>0.61440000000000006</v>
      </c>
      <c r="AZ116" s="386">
        <f t="shared" si="95"/>
        <v>0.47314285714285709</v>
      </c>
      <c r="BA116" s="386">
        <f t="shared" si="123"/>
        <v>0.65280000000000005</v>
      </c>
      <c r="BB116" s="386" t="e">
        <f t="shared" si="124"/>
        <v>#VALUE!</v>
      </c>
      <c r="BC116">
        <f t="shared" si="96"/>
        <v>256</v>
      </c>
      <c r="BD116" s="604" t="e">
        <f t="shared" si="125"/>
        <v>#VALUE!</v>
      </c>
      <c r="BE116" s="614">
        <f t="shared" si="97"/>
        <v>232.14556999531081</v>
      </c>
      <c r="BF116" s="614">
        <f t="shared" si="98"/>
        <v>24.764992655370992</v>
      </c>
      <c r="BG116" s="9"/>
      <c r="BH116" s="4" t="e">
        <f t="shared" si="126"/>
        <v>#VALUE!</v>
      </c>
      <c r="BI116" s="386">
        <f t="shared" si="127"/>
        <v>7.896666258265375</v>
      </c>
      <c r="BJ116" s="386">
        <f t="shared" si="128"/>
        <v>5.3563194930132836</v>
      </c>
      <c r="BK116" s="386">
        <f t="shared" si="129"/>
        <v>1.1719999156074201</v>
      </c>
      <c r="BL116" s="386">
        <f t="shared" si="130"/>
        <v>0.71156481042710384</v>
      </c>
    </row>
    <row r="117" spans="7:64" x14ac:dyDescent="0.2">
      <c r="G117">
        <v>108</v>
      </c>
      <c r="H117" s="610">
        <f t="shared" si="59"/>
        <v>30.060000000000002</v>
      </c>
      <c r="I117" s="4" t="str">
        <f t="shared" si="60"/>
        <v>BUCK</v>
      </c>
      <c r="J117">
        <f t="shared" si="99"/>
        <v>1</v>
      </c>
      <c r="K117">
        <f t="shared" si="61"/>
        <v>20</v>
      </c>
      <c r="L117" s="4">
        <f t="shared" si="62"/>
        <v>9.4625563687439929</v>
      </c>
      <c r="M117" s="4">
        <f t="shared" si="63"/>
        <v>20</v>
      </c>
      <c r="N117" s="386">
        <f t="shared" si="64"/>
        <v>0.42974103585657375</v>
      </c>
      <c r="O117" s="386">
        <f t="shared" si="115"/>
        <v>0</v>
      </c>
      <c r="P117" s="4">
        <f t="shared" si="65"/>
        <v>14.762635960159365</v>
      </c>
      <c r="Q117" s="386">
        <f t="shared" si="66"/>
        <v>20.448992274462228</v>
      </c>
      <c r="R117" s="386">
        <f t="shared" si="116"/>
        <v>1.0370335226960832</v>
      </c>
      <c r="S117" s="386">
        <f t="shared" si="117"/>
        <v>6.9383602442395382</v>
      </c>
      <c r="T117" s="386">
        <f t="shared" si="118"/>
        <v>7.9753937669356212</v>
      </c>
      <c r="U117" s="4">
        <f t="shared" si="68"/>
        <v>4.2616059227732297</v>
      </c>
      <c r="V117" s="386">
        <f t="shared" si="119"/>
        <v>3.6322570082031741E-2</v>
      </c>
      <c r="W117" s="386">
        <f t="shared" si="120"/>
        <v>3.6322570082031741E-2</v>
      </c>
      <c r="X117" s="386">
        <f t="shared" si="69"/>
        <v>10.123050058731451</v>
      </c>
      <c r="Y117" s="386">
        <f t="shared" si="121"/>
        <v>0.20495228498316567</v>
      </c>
      <c r="Z117" s="603">
        <f t="shared" si="122"/>
        <v>0.20495228498316567</v>
      </c>
      <c r="AA117" s="386">
        <f t="shared" si="70"/>
        <v>13.40526254083232</v>
      </c>
      <c r="AB117" s="386">
        <f t="shared" si="71"/>
        <v>0.34143202119842014</v>
      </c>
      <c r="AC117" s="386">
        <f t="shared" si="72"/>
        <v>2.0842179673511723</v>
      </c>
      <c r="AD117">
        <f t="shared" si="73"/>
        <v>0</v>
      </c>
      <c r="AE117" s="386">
        <f t="shared" si="74"/>
        <v>2.6034287785294836</v>
      </c>
      <c r="AF117" s="386">
        <f t="shared" si="75"/>
        <v>15.442157273268968</v>
      </c>
      <c r="AG117" s="386">
        <f t="shared" si="76"/>
        <v>0.45307442037951001</v>
      </c>
      <c r="AH117" s="386">
        <f t="shared" si="77"/>
        <v>0</v>
      </c>
      <c r="AI117" s="386">
        <f t="shared" si="78"/>
        <v>0.49822062451407656</v>
      </c>
      <c r="AJ117" s="386">
        <f t="shared" si="79"/>
        <v>0</v>
      </c>
      <c r="AK117" s="386">
        <f t="shared" si="80"/>
        <v>0</v>
      </c>
      <c r="AL117" s="386">
        <f t="shared" si="81"/>
        <v>0</v>
      </c>
      <c r="AM117">
        <f t="shared" si="82"/>
        <v>0</v>
      </c>
      <c r="AN117" s="386">
        <f t="shared" si="83"/>
        <v>0</v>
      </c>
      <c r="AO117" s="386">
        <f t="shared" si="84"/>
        <v>20.448992274462228</v>
      </c>
      <c r="AP117" s="386">
        <f t="shared" si="85"/>
        <v>0.20908064252050793</v>
      </c>
      <c r="AQ117" s="386">
        <f t="shared" si="86"/>
        <v>0</v>
      </c>
      <c r="AR117" s="386">
        <f t="shared" si="87"/>
        <v>0.21820513655076995</v>
      </c>
      <c r="AS117" s="386">
        <f t="shared" si="88"/>
        <v>0.20908064252050793</v>
      </c>
      <c r="AT117" s="386">
        <f t="shared" si="89"/>
        <v>0.27500000000000002</v>
      </c>
      <c r="AU117" s="386">
        <f t="shared" si="90"/>
        <v>2.0640125000000005</v>
      </c>
      <c r="AV117" s="386">
        <f t="shared" si="91"/>
        <v>0.71538066375712106</v>
      </c>
      <c r="AW117" s="386" t="e">
        <f t="shared" si="92"/>
        <v>#VALUE!</v>
      </c>
      <c r="AX117" s="386">
        <f t="shared" si="93"/>
        <v>3.8400000000000004E-2</v>
      </c>
      <c r="AY117" s="386">
        <f t="shared" si="94"/>
        <v>0.61440000000000006</v>
      </c>
      <c r="AZ117" s="386">
        <f t="shared" si="95"/>
        <v>0.47314285714285709</v>
      </c>
      <c r="BA117" s="386">
        <f t="shared" si="123"/>
        <v>0.65280000000000005</v>
      </c>
      <c r="BB117" s="386" t="e">
        <f t="shared" si="124"/>
        <v>#VALUE!</v>
      </c>
      <c r="BC117">
        <f t="shared" si="96"/>
        <v>256</v>
      </c>
      <c r="BD117" s="604" t="e">
        <f t="shared" si="125"/>
        <v>#VALUE!</v>
      </c>
      <c r="BE117" s="614">
        <f t="shared" si="97"/>
        <v>233.3720639264742</v>
      </c>
      <c r="BF117" s="614">
        <f t="shared" si="98"/>
        <v>24.911031225703827</v>
      </c>
      <c r="BG117" s="9"/>
      <c r="BH117" s="4" t="e">
        <f t="shared" si="126"/>
        <v>#VALUE!</v>
      </c>
      <c r="BI117" s="386">
        <f t="shared" si="127"/>
        <v>7.9753937669356212</v>
      </c>
      <c r="BJ117" s="386">
        <f t="shared" si="128"/>
        <v>5.3838670395943309</v>
      </c>
      <c r="BK117" s="386">
        <f t="shared" si="129"/>
        <v>1.1793447495140768</v>
      </c>
      <c r="BL117" s="386">
        <f t="shared" si="130"/>
        <v>0.71538066375712106</v>
      </c>
    </row>
    <row r="118" spans="7:64" x14ac:dyDescent="0.2">
      <c r="G118">
        <v>109</v>
      </c>
      <c r="H118" s="610">
        <f t="shared" si="59"/>
        <v>30.255000000000003</v>
      </c>
      <c r="I118" s="4" t="str">
        <f t="shared" si="60"/>
        <v>BUCK</v>
      </c>
      <c r="J118">
        <f t="shared" si="99"/>
        <v>1</v>
      </c>
      <c r="K118">
        <f t="shared" si="61"/>
        <v>20</v>
      </c>
      <c r="L118" s="4">
        <f t="shared" si="62"/>
        <v>9.4015681521878847</v>
      </c>
      <c r="M118" s="4">
        <f t="shared" si="63"/>
        <v>20</v>
      </c>
      <c r="N118" s="386">
        <f t="shared" si="64"/>
        <v>0.42697674418604653</v>
      </c>
      <c r="O118" s="386">
        <f t="shared" si="115"/>
        <v>0</v>
      </c>
      <c r="P118" s="4">
        <f t="shared" si="65"/>
        <v>14.834196837209305</v>
      </c>
      <c r="Q118" s="386">
        <f t="shared" si="66"/>
        <v>20.453307384962361</v>
      </c>
      <c r="R118" s="386">
        <f t="shared" si="116"/>
        <v>1.0375075652406465</v>
      </c>
      <c r="S118" s="386">
        <f t="shared" si="117"/>
        <v>7.0160962406919181</v>
      </c>
      <c r="T118" s="386">
        <f t="shared" si="118"/>
        <v>8.0536038059325641</v>
      </c>
      <c r="U118" s="4">
        <f t="shared" si="68"/>
        <v>4.2822637685873435</v>
      </c>
      <c r="V118" s="386">
        <f t="shared" si="119"/>
        <v>3.6675565967511752E-2</v>
      </c>
      <c r="W118" s="386">
        <f t="shared" si="120"/>
        <v>3.6675565967511752E-2</v>
      </c>
      <c r="X118" s="386">
        <f t="shared" si="69"/>
        <v>10.117000695436504</v>
      </c>
      <c r="Y118" s="386">
        <f t="shared" si="121"/>
        <v>0.2047074061429254</v>
      </c>
      <c r="Z118" s="603">
        <f t="shared" si="122"/>
        <v>0.2047074061429254</v>
      </c>
      <c r="AA118" s="386">
        <f t="shared" si="70"/>
        <v>13.364898224394116</v>
      </c>
      <c r="AB118" s="386">
        <f t="shared" si="71"/>
        <v>0.33937895864198464</v>
      </c>
      <c r="AC118" s="386">
        <f t="shared" si="72"/>
        <v>2.0977383433868835</v>
      </c>
      <c r="AD118">
        <f t="shared" si="73"/>
        <v>0</v>
      </c>
      <c r="AE118" s="386">
        <f t="shared" si="74"/>
        <v>2.6145842800799133</v>
      </c>
      <c r="AF118" s="386">
        <f t="shared" si="75"/>
        <v>15.48280589671468</v>
      </c>
      <c r="AG118" s="386">
        <f t="shared" si="76"/>
        <v>0.45546282902715146</v>
      </c>
      <c r="AH118" s="386">
        <f t="shared" si="77"/>
        <v>0</v>
      </c>
      <c r="AI118" s="386">
        <f t="shared" si="78"/>
        <v>0.50111024719559127</v>
      </c>
      <c r="AJ118" s="386">
        <f t="shared" si="79"/>
        <v>0</v>
      </c>
      <c r="AK118" s="386">
        <f t="shared" si="80"/>
        <v>0</v>
      </c>
      <c r="AL118" s="386">
        <f t="shared" si="81"/>
        <v>0</v>
      </c>
      <c r="AM118">
        <f t="shared" si="82"/>
        <v>0</v>
      </c>
      <c r="AN118" s="386">
        <f t="shared" si="83"/>
        <v>0</v>
      </c>
      <c r="AO118" s="386">
        <f t="shared" si="84"/>
        <v>20.453307384962361</v>
      </c>
      <c r="AP118" s="386">
        <f t="shared" si="85"/>
        <v>0.20916889149187792</v>
      </c>
      <c r="AQ118" s="386">
        <f t="shared" si="86"/>
        <v>0</v>
      </c>
      <c r="AR118" s="386">
        <f t="shared" si="87"/>
        <v>0.21830125791787061</v>
      </c>
      <c r="AS118" s="386">
        <f t="shared" si="88"/>
        <v>0.20916889149187792</v>
      </c>
      <c r="AT118" s="386">
        <f t="shared" si="89"/>
        <v>0.27500000000000002</v>
      </c>
      <c r="AU118" s="386">
        <f t="shared" si="90"/>
        <v>2.0774187500000005</v>
      </c>
      <c r="AV118" s="386">
        <f t="shared" si="91"/>
        <v>0.71915183530602866</v>
      </c>
      <c r="AW118" s="386" t="e">
        <f t="shared" si="92"/>
        <v>#VALUE!</v>
      </c>
      <c r="AX118" s="386">
        <f t="shared" si="93"/>
        <v>3.8400000000000004E-2</v>
      </c>
      <c r="AY118" s="386">
        <f t="shared" si="94"/>
        <v>0.61440000000000006</v>
      </c>
      <c r="AZ118" s="386">
        <f t="shared" si="95"/>
        <v>0.47314285714285709</v>
      </c>
      <c r="BA118" s="386">
        <f t="shared" si="123"/>
        <v>0.65280000000000005</v>
      </c>
      <c r="BB118" s="386" t="e">
        <f t="shared" si="124"/>
        <v>#VALUE!</v>
      </c>
      <c r="BC118">
        <f t="shared" si="96"/>
        <v>256</v>
      </c>
      <c r="BD118" s="604" t="e">
        <f t="shared" si="125"/>
        <v>#VALUE!</v>
      </c>
      <c r="BE118" s="614">
        <f t="shared" si="97"/>
        <v>234.60015150399568</v>
      </c>
      <c r="BF118" s="614">
        <f t="shared" si="98"/>
        <v>25.055512359779563</v>
      </c>
      <c r="BG118" s="9"/>
      <c r="BH118" s="4" t="e">
        <f t="shared" si="126"/>
        <v>#VALUE!</v>
      </c>
      <c r="BI118" s="386">
        <f t="shared" si="127"/>
        <v>8.0536038059325641</v>
      </c>
      <c r="BJ118" s="386">
        <f t="shared" si="128"/>
        <v>5.4114145351933756</v>
      </c>
      <c r="BK118" s="386">
        <f t="shared" si="129"/>
        <v>1.1866584346955915</v>
      </c>
      <c r="BL118" s="386">
        <f t="shared" si="130"/>
        <v>0.71915183530602866</v>
      </c>
    </row>
    <row r="119" spans="7:64" x14ac:dyDescent="0.2">
      <c r="G119">
        <v>110</v>
      </c>
      <c r="H119" s="610">
        <f t="shared" si="59"/>
        <v>30.450000000000003</v>
      </c>
      <c r="I119" s="4" t="str">
        <f t="shared" si="60"/>
        <v>BUCK</v>
      </c>
      <c r="J119">
        <f t="shared" si="99"/>
        <v>1</v>
      </c>
      <c r="K119">
        <f t="shared" si="61"/>
        <v>20</v>
      </c>
      <c r="L119" s="4">
        <f t="shared" si="62"/>
        <v>9.3413610654989956</v>
      </c>
      <c r="M119" s="4">
        <f t="shared" si="63"/>
        <v>20</v>
      </c>
      <c r="N119" s="386">
        <f t="shared" si="64"/>
        <v>0.42424778761061949</v>
      </c>
      <c r="O119" s="386">
        <f t="shared" si="115"/>
        <v>0</v>
      </c>
      <c r="P119" s="4">
        <f t="shared" si="65"/>
        <v>14.904842973451331</v>
      </c>
      <c r="Q119" s="386">
        <f t="shared" si="66"/>
        <v>20.45758690572449</v>
      </c>
      <c r="R119" s="386">
        <f t="shared" si="116"/>
        <v>1.0379778296135356</v>
      </c>
      <c r="S119" s="386">
        <f t="shared" si="117"/>
        <v>7.093319737801699</v>
      </c>
      <c r="T119" s="386">
        <f t="shared" si="118"/>
        <v>8.1312975674152348</v>
      </c>
      <c r="U119" s="4">
        <f t="shared" si="68"/>
        <v>4.3026575514756145</v>
      </c>
      <c r="V119" s="386">
        <f t="shared" si="119"/>
        <v>3.7025724010540259E-2</v>
      </c>
      <c r="W119" s="386">
        <f t="shared" si="120"/>
        <v>3.7025724010540259E-2</v>
      </c>
      <c r="X119" s="386">
        <f t="shared" si="69"/>
        <v>10.110718187356776</v>
      </c>
      <c r="Y119" s="386">
        <f t="shared" si="121"/>
        <v>0.20445324452829416</v>
      </c>
      <c r="Z119" s="603">
        <f t="shared" si="122"/>
        <v>0.20445324452829416</v>
      </c>
      <c r="AA119" s="386">
        <f t="shared" si="70"/>
        <v>13.324907346481789</v>
      </c>
      <c r="AB119" s="386">
        <f t="shared" si="71"/>
        <v>0.33735099600541624</v>
      </c>
      <c r="AC119" s="386">
        <f t="shared" si="72"/>
        <v>2.1112587194225947</v>
      </c>
      <c r="AD119">
        <f t="shared" si="73"/>
        <v>0</v>
      </c>
      <c r="AE119" s="386">
        <f t="shared" si="74"/>
        <v>2.625771008422721</v>
      </c>
      <c r="AF119" s="386">
        <f t="shared" si="75"/>
        <v>15.522876866513686</v>
      </c>
      <c r="AG119" s="386">
        <f t="shared" si="76"/>
        <v>0.45782344180459694</v>
      </c>
      <c r="AH119" s="386">
        <f t="shared" si="77"/>
        <v>0</v>
      </c>
      <c r="AI119" s="386">
        <f t="shared" si="78"/>
        <v>0.50396922702019442</v>
      </c>
      <c r="AJ119" s="386">
        <f t="shared" si="79"/>
        <v>0</v>
      </c>
      <c r="AK119" s="386">
        <f t="shared" si="80"/>
        <v>0</v>
      </c>
      <c r="AL119" s="386">
        <f t="shared" si="81"/>
        <v>0</v>
      </c>
      <c r="AM119">
        <f t="shared" si="82"/>
        <v>0</v>
      </c>
      <c r="AN119" s="386">
        <f t="shared" si="83"/>
        <v>0</v>
      </c>
      <c r="AO119" s="386">
        <f t="shared" si="84"/>
        <v>20.45758690572449</v>
      </c>
      <c r="AP119" s="386">
        <f t="shared" si="85"/>
        <v>0.20925643100263505</v>
      </c>
      <c r="AQ119" s="386">
        <f t="shared" si="86"/>
        <v>0</v>
      </c>
      <c r="AR119" s="386">
        <f t="shared" si="87"/>
        <v>0.21839661003441005</v>
      </c>
      <c r="AS119" s="386">
        <f t="shared" si="88"/>
        <v>0.20925643100263505</v>
      </c>
      <c r="AT119" s="386">
        <f t="shared" si="89"/>
        <v>0.27500000000000002</v>
      </c>
      <c r="AU119" s="386">
        <f t="shared" si="90"/>
        <v>2.0908250000000002</v>
      </c>
      <c r="AV119" s="386">
        <f t="shared" si="91"/>
        <v>0.72287911863883725</v>
      </c>
      <c r="AW119" s="386" t="e">
        <f t="shared" si="92"/>
        <v>#VALUE!</v>
      </c>
      <c r="AX119" s="386">
        <f t="shared" si="93"/>
        <v>3.8400000000000004E-2</v>
      </c>
      <c r="AY119" s="386">
        <f t="shared" si="94"/>
        <v>0.61440000000000006</v>
      </c>
      <c r="AZ119" s="386">
        <f t="shared" si="95"/>
        <v>0.47314285714285709</v>
      </c>
      <c r="BA119" s="386">
        <f t="shared" si="123"/>
        <v>0.65280000000000005</v>
      </c>
      <c r="BB119" s="386" t="e">
        <f t="shared" si="124"/>
        <v>#VALUE!</v>
      </c>
      <c r="BC119">
        <f t="shared" si="96"/>
        <v>256</v>
      </c>
      <c r="BD119" s="604" t="e">
        <f t="shared" si="125"/>
        <v>#VALUE!</v>
      </c>
      <c r="BE119" s="614">
        <f t="shared" si="97"/>
        <v>235.82980042113607</v>
      </c>
      <c r="BF119" s="614">
        <f t="shared" si="98"/>
        <v>25.198461351009723</v>
      </c>
      <c r="BG119" s="9"/>
      <c r="BH119" s="4" t="e">
        <f t="shared" si="126"/>
        <v>#VALUE!</v>
      </c>
      <c r="BI119" s="386">
        <f t="shared" si="127"/>
        <v>8.1312975674152348</v>
      </c>
      <c r="BJ119" s="386">
        <f t="shared" si="128"/>
        <v>5.4389618454773254</v>
      </c>
      <c r="BK119" s="386">
        <f t="shared" si="129"/>
        <v>1.1939414770201946</v>
      </c>
      <c r="BL119" s="386">
        <f t="shared" si="130"/>
        <v>0.72287911863883725</v>
      </c>
    </row>
    <row r="120" spans="7:64" x14ac:dyDescent="0.2">
      <c r="G120">
        <v>111</v>
      </c>
      <c r="H120" s="610">
        <f t="shared" si="59"/>
        <v>30.645000000000003</v>
      </c>
      <c r="I120" s="4" t="str">
        <f t="shared" si="60"/>
        <v>BUCK</v>
      </c>
      <c r="J120">
        <f t="shared" si="99"/>
        <v>1</v>
      </c>
      <c r="K120">
        <f t="shared" si="61"/>
        <v>20</v>
      </c>
      <c r="L120" s="4">
        <f t="shared" si="62"/>
        <v>9.2819201972408028</v>
      </c>
      <c r="M120" s="4">
        <f t="shared" si="63"/>
        <v>20</v>
      </c>
      <c r="N120" s="386">
        <f t="shared" si="64"/>
        <v>0.42155349291646316</v>
      </c>
      <c r="O120" s="386">
        <f t="shared" si="115"/>
        <v>0</v>
      </c>
      <c r="P120" s="4">
        <f t="shared" si="65"/>
        <v>14.974591796775773</v>
      </c>
      <c r="Q120" s="386">
        <f t="shared" si="66"/>
        <v>20.461831132379267</v>
      </c>
      <c r="R120" s="386">
        <f t="shared" si="116"/>
        <v>1.0384443450684762</v>
      </c>
      <c r="S120" s="386">
        <f t="shared" si="117"/>
        <v>7.1700320685391796</v>
      </c>
      <c r="T120" s="386">
        <f t="shared" si="118"/>
        <v>8.2084764136076558</v>
      </c>
      <c r="U120" s="4">
        <f t="shared" si="68"/>
        <v>4.3227923024366275</v>
      </c>
      <c r="V120" s="386">
        <f t="shared" si="119"/>
        <v>3.7373066580010716E-2</v>
      </c>
      <c r="W120" s="386">
        <f t="shared" si="120"/>
        <v>3.7373066580010716E-2</v>
      </c>
      <c r="X120" s="386">
        <f t="shared" si="69"/>
        <v>10.104211860732903</v>
      </c>
      <c r="Y120" s="386">
        <f t="shared" si="121"/>
        <v>0.20419019465315094</v>
      </c>
      <c r="Z120" s="603">
        <f t="shared" si="122"/>
        <v>0.20419019465315094</v>
      </c>
      <c r="AA120" s="386">
        <f t="shared" si="70"/>
        <v>13.285283984374846</v>
      </c>
      <c r="AB120" s="386">
        <f t="shared" si="71"/>
        <v>0.33534766403642491</v>
      </c>
      <c r="AC120" s="386">
        <f t="shared" si="72"/>
        <v>2.1247790954583063</v>
      </c>
      <c r="AD120">
        <f t="shared" si="73"/>
        <v>0</v>
      </c>
      <c r="AE120" s="386">
        <f t="shared" si="74"/>
        <v>2.6369883351516101</v>
      </c>
      <c r="AF120" s="386">
        <f t="shared" si="75"/>
        <v>15.562382939142662</v>
      </c>
      <c r="AG120" s="386">
        <f t="shared" si="76"/>
        <v>0.46015674921458533</v>
      </c>
      <c r="AH120" s="386">
        <f t="shared" si="77"/>
        <v>0</v>
      </c>
      <c r="AI120" s="386">
        <f t="shared" si="78"/>
        <v>0.50679805864990601</v>
      </c>
      <c r="AJ120" s="386">
        <f t="shared" si="79"/>
        <v>0</v>
      </c>
      <c r="AK120" s="386">
        <f t="shared" si="80"/>
        <v>0</v>
      </c>
      <c r="AL120" s="386">
        <f t="shared" si="81"/>
        <v>0</v>
      </c>
      <c r="AM120">
        <f t="shared" si="82"/>
        <v>0</v>
      </c>
      <c r="AN120" s="386">
        <f t="shared" si="83"/>
        <v>0</v>
      </c>
      <c r="AO120" s="386">
        <f t="shared" si="84"/>
        <v>20.461831132379267</v>
      </c>
      <c r="AP120" s="386">
        <f t="shared" si="85"/>
        <v>0.20934326664500272</v>
      </c>
      <c r="AQ120" s="386">
        <f t="shared" si="86"/>
        <v>0</v>
      </c>
      <c r="AR120" s="386">
        <f t="shared" si="87"/>
        <v>0.21849119890749849</v>
      </c>
      <c r="AS120" s="386">
        <f t="shared" si="88"/>
        <v>0.20934326664500272</v>
      </c>
      <c r="AT120" s="386">
        <f t="shared" si="89"/>
        <v>0.27500000000000002</v>
      </c>
      <c r="AU120" s="386">
        <f t="shared" si="90"/>
        <v>2.1042312500000002</v>
      </c>
      <c r="AV120" s="386">
        <f t="shared" si="91"/>
        <v>0.72656328823355576</v>
      </c>
      <c r="AW120" s="386" t="e">
        <f t="shared" si="92"/>
        <v>#VALUE!</v>
      </c>
      <c r="AX120" s="386">
        <f t="shared" si="93"/>
        <v>3.8400000000000004E-2</v>
      </c>
      <c r="AY120" s="386">
        <f t="shared" si="94"/>
        <v>0.61440000000000006</v>
      </c>
      <c r="AZ120" s="386">
        <f t="shared" si="95"/>
        <v>0.47314285714285709</v>
      </c>
      <c r="BA120" s="386">
        <f t="shared" si="123"/>
        <v>0.65280000000000005</v>
      </c>
      <c r="BB120" s="386" t="e">
        <f t="shared" si="124"/>
        <v>#VALUE!</v>
      </c>
      <c r="BC120">
        <f t="shared" si="96"/>
        <v>256</v>
      </c>
      <c r="BD120" s="604" t="e">
        <f t="shared" si="125"/>
        <v>#VALUE!</v>
      </c>
      <c r="BE120" s="614">
        <f t="shared" si="97"/>
        <v>237.0609792575805</v>
      </c>
      <c r="BF120" s="614">
        <f t="shared" si="98"/>
        <v>25.339902932495299</v>
      </c>
      <c r="BG120" s="9"/>
      <c r="BH120" s="4" t="e">
        <f t="shared" si="126"/>
        <v>#VALUE!</v>
      </c>
      <c r="BI120" s="386">
        <f t="shared" si="127"/>
        <v>8.2084764136076558</v>
      </c>
      <c r="BJ120" s="386">
        <f t="shared" si="128"/>
        <v>5.4665088427090147</v>
      </c>
      <c r="BK120" s="386">
        <f t="shared" si="129"/>
        <v>1.201194371149906</v>
      </c>
      <c r="BL120" s="386">
        <f t="shared" si="130"/>
        <v>0.72656328823355576</v>
      </c>
    </row>
    <row r="121" spans="7:64" x14ac:dyDescent="0.2">
      <c r="G121">
        <v>112</v>
      </c>
      <c r="H121" s="610">
        <f t="shared" si="59"/>
        <v>30.840000000000003</v>
      </c>
      <c r="I121" s="4" t="str">
        <f t="shared" si="60"/>
        <v>BUCK</v>
      </c>
      <c r="J121">
        <f t="shared" si="99"/>
        <v>1</v>
      </c>
      <c r="K121">
        <f t="shared" si="61"/>
        <v>20</v>
      </c>
      <c r="L121" s="4">
        <f t="shared" si="62"/>
        <v>9.2232310131142796</v>
      </c>
      <c r="M121" s="4">
        <f t="shared" si="63"/>
        <v>20</v>
      </c>
      <c r="N121" s="386">
        <f t="shared" si="64"/>
        <v>0.41889320388349516</v>
      </c>
      <c r="O121" s="386">
        <f t="shared" si="115"/>
        <v>0</v>
      </c>
      <c r="P121" s="4">
        <f t="shared" si="65"/>
        <v>15.043460295145634</v>
      </c>
      <c r="Q121" s="386">
        <f t="shared" si="66"/>
        <v>20.466040362943566</v>
      </c>
      <c r="R121" s="386">
        <f t="shared" si="116"/>
        <v>1.038907141183238</v>
      </c>
      <c r="S121" s="386">
        <f t="shared" si="117"/>
        <v>7.2462347246784136</v>
      </c>
      <c r="T121" s="386">
        <f t="shared" si="118"/>
        <v>8.285141865861652</v>
      </c>
      <c r="U121" s="4">
        <f t="shared" si="68"/>
        <v>4.3426729254728897</v>
      </c>
      <c r="V121" s="386">
        <f t="shared" si="119"/>
        <v>3.7717616275270538E-2</v>
      </c>
      <c r="W121" s="386">
        <f t="shared" si="120"/>
        <v>3.7717616275270538E-2</v>
      </c>
      <c r="X121" s="386">
        <f t="shared" si="69"/>
        <v>10.09749067605023</v>
      </c>
      <c r="Y121" s="386">
        <f t="shared" si="121"/>
        <v>0.20391863590584267</v>
      </c>
      <c r="Z121" s="603">
        <f t="shared" si="122"/>
        <v>0.20391863590584267</v>
      </c>
      <c r="AA121" s="386">
        <f t="shared" si="70"/>
        <v>13.246022350713297</v>
      </c>
      <c r="AB121" s="386">
        <f t="shared" si="71"/>
        <v>0.33336850541963281</v>
      </c>
      <c r="AC121" s="386">
        <f t="shared" si="72"/>
        <v>2.1382994714940176</v>
      </c>
      <c r="AD121">
        <f t="shared" si="73"/>
        <v>0</v>
      </c>
      <c r="AE121" s="386">
        <f t="shared" si="74"/>
        <v>2.6482356489730798</v>
      </c>
      <c r="AF121" s="386">
        <f t="shared" si="75"/>
        <v>15.601336481918432</v>
      </c>
      <c r="AG121" s="386">
        <f t="shared" si="76"/>
        <v>0.46246323004187406</v>
      </c>
      <c r="AH121" s="386">
        <f t="shared" si="77"/>
        <v>0</v>
      </c>
      <c r="AI121" s="386">
        <f t="shared" si="78"/>
        <v>0.5095972258602125</v>
      </c>
      <c r="AJ121" s="386">
        <f t="shared" si="79"/>
        <v>0</v>
      </c>
      <c r="AK121" s="386">
        <f t="shared" si="80"/>
        <v>0</v>
      </c>
      <c r="AL121" s="386">
        <f t="shared" si="81"/>
        <v>0</v>
      </c>
      <c r="AM121">
        <f t="shared" si="82"/>
        <v>0</v>
      </c>
      <c r="AN121" s="386">
        <f t="shared" si="83"/>
        <v>0</v>
      </c>
      <c r="AO121" s="386">
        <f t="shared" si="84"/>
        <v>20.466040362943566</v>
      </c>
      <c r="AP121" s="386">
        <f t="shared" si="85"/>
        <v>0.2094294040688176</v>
      </c>
      <c r="AQ121" s="386">
        <f t="shared" si="86"/>
        <v>0</v>
      </c>
      <c r="AR121" s="386">
        <f t="shared" si="87"/>
        <v>0.21858503060856063</v>
      </c>
      <c r="AS121" s="386">
        <f t="shared" si="88"/>
        <v>0.2094294040688176</v>
      </c>
      <c r="AT121" s="386">
        <f t="shared" si="89"/>
        <v>0.27500000000000002</v>
      </c>
      <c r="AU121" s="386">
        <f t="shared" si="90"/>
        <v>2.1176375000000003</v>
      </c>
      <c r="AV121" s="386">
        <f t="shared" si="91"/>
        <v>0.73020510006611705</v>
      </c>
      <c r="AW121" s="386" t="e">
        <f t="shared" si="92"/>
        <v>#VALUE!</v>
      </c>
      <c r="AX121" s="386">
        <f t="shared" si="93"/>
        <v>3.8400000000000004E-2</v>
      </c>
      <c r="AY121" s="386">
        <f t="shared" si="94"/>
        <v>0.61440000000000006</v>
      </c>
      <c r="AZ121" s="386">
        <f t="shared" si="95"/>
        <v>0.47314285714285709</v>
      </c>
      <c r="BA121" s="386">
        <f t="shared" si="123"/>
        <v>0.65280000000000005</v>
      </c>
      <c r="BB121" s="386" t="e">
        <f t="shared" si="124"/>
        <v>#VALUE!</v>
      </c>
      <c r="BC121">
        <f t="shared" si="96"/>
        <v>256</v>
      </c>
      <c r="BD121" s="604" t="e">
        <f t="shared" si="125"/>
        <v>#VALUE!</v>
      </c>
      <c r="BE121" s="614">
        <f t="shared" si="97"/>
        <v>238.29365744865402</v>
      </c>
      <c r="BF121" s="614">
        <f t="shared" si="98"/>
        <v>25.479861293010625</v>
      </c>
      <c r="BG121" s="9"/>
      <c r="BH121" s="4" t="e">
        <f t="shared" si="126"/>
        <v>#VALUE!</v>
      </c>
      <c r="BI121" s="386">
        <f t="shared" si="127"/>
        <v>8.285141865861652</v>
      </c>
      <c r="BJ121" s="386">
        <f t="shared" si="128"/>
        <v>5.4940554054418538</v>
      </c>
      <c r="BK121" s="386">
        <f t="shared" si="129"/>
        <v>1.2084176008602125</v>
      </c>
      <c r="BL121" s="386">
        <f t="shared" si="130"/>
        <v>0.73020510006611705</v>
      </c>
    </row>
    <row r="122" spans="7:64" x14ac:dyDescent="0.2">
      <c r="G122">
        <v>113</v>
      </c>
      <c r="H122" s="610">
        <f t="shared" si="59"/>
        <v>31.034999999999997</v>
      </c>
      <c r="I122" s="4" t="str">
        <f t="shared" si="60"/>
        <v>BUCK</v>
      </c>
      <c r="J122">
        <f t="shared" si="99"/>
        <v>1</v>
      </c>
      <c r="K122">
        <f t="shared" si="61"/>
        <v>20</v>
      </c>
      <c r="L122" s="4">
        <f t="shared" si="62"/>
        <v>9.1652793441096989</v>
      </c>
      <c r="M122" s="4">
        <f t="shared" si="63"/>
        <v>20</v>
      </c>
      <c r="N122" s="386">
        <f t="shared" si="64"/>
        <v>0.41626628075253269</v>
      </c>
      <c r="O122" s="386">
        <f t="shared" si="115"/>
        <v>0</v>
      </c>
      <c r="P122" s="4">
        <f t="shared" si="65"/>
        <v>15.11146503039074</v>
      </c>
      <c r="Q122" s="386">
        <f t="shared" si="66"/>
        <v>20.470214897432321</v>
      </c>
      <c r="R122" s="386">
        <f t="shared" si="116"/>
        <v>1.0393662478165924</v>
      </c>
      <c r="S122" s="386">
        <f t="shared" si="117"/>
        <v>7.3219293464923778</v>
      </c>
      <c r="T122" s="386">
        <f t="shared" si="118"/>
        <v>8.3612955943089702</v>
      </c>
      <c r="U122" s="4">
        <f t="shared" si="68"/>
        <v>4.3623042015728553</v>
      </c>
      <c r="V122" s="386">
        <f t="shared" si="119"/>
        <v>3.8059395894120371E-2</v>
      </c>
      <c r="W122" s="386">
        <f t="shared" si="120"/>
        <v>3.8059395894120371E-2</v>
      </c>
      <c r="X122" s="386">
        <f t="shared" si="69"/>
        <v>10.090563244429951</v>
      </c>
      <c r="Y122" s="386">
        <f t="shared" si="121"/>
        <v>0.2036389331796814</v>
      </c>
      <c r="Z122" s="603">
        <f t="shared" si="122"/>
        <v>0.2036389331796814</v>
      </c>
      <c r="AA122" s="386">
        <f t="shared" si="70"/>
        <v>13.207116789416222</v>
      </c>
      <c r="AB122" s="386">
        <f t="shared" si="71"/>
        <v>0.33141307438963175</v>
      </c>
      <c r="AC122" s="386">
        <f t="shared" si="72"/>
        <v>2.1518198475297279</v>
      </c>
      <c r="AD122">
        <f t="shared" si="73"/>
        <v>0</v>
      </c>
      <c r="AE122" s="386">
        <f t="shared" si="74"/>
        <v>2.6595123551166426</v>
      </c>
      <c r="AF122" s="386">
        <f t="shared" si="75"/>
        <v>15.639749488331972</v>
      </c>
      <c r="AG122" s="386">
        <f t="shared" si="76"/>
        <v>0.46474335170978237</v>
      </c>
      <c r="AH122" s="386">
        <f t="shared" si="77"/>
        <v>0</v>
      </c>
      <c r="AI122" s="386">
        <f t="shared" si="78"/>
        <v>0.51236720184842199</v>
      </c>
      <c r="AJ122" s="386">
        <f t="shared" si="79"/>
        <v>0</v>
      </c>
      <c r="AK122" s="386">
        <f t="shared" si="80"/>
        <v>0</v>
      </c>
      <c r="AL122" s="386">
        <f t="shared" si="81"/>
        <v>0</v>
      </c>
      <c r="AM122">
        <f t="shared" si="82"/>
        <v>0</v>
      </c>
      <c r="AN122" s="386">
        <f t="shared" si="83"/>
        <v>0</v>
      </c>
      <c r="AO122" s="386">
        <f t="shared" si="84"/>
        <v>20.470214897432321</v>
      </c>
      <c r="AP122" s="386">
        <f t="shared" si="85"/>
        <v>0.20951484897353007</v>
      </c>
      <c r="AQ122" s="386">
        <f t="shared" si="86"/>
        <v>0</v>
      </c>
      <c r="AR122" s="386">
        <f t="shared" si="87"/>
        <v>0.21867811126461456</v>
      </c>
      <c r="AS122" s="386">
        <f t="shared" si="88"/>
        <v>0.20951484897353007</v>
      </c>
      <c r="AT122" s="386">
        <f t="shared" si="89"/>
        <v>0.27500000000000002</v>
      </c>
      <c r="AU122" s="386">
        <f t="shared" si="90"/>
        <v>2.1310437499999999</v>
      </c>
      <c r="AV122" s="386">
        <f t="shared" si="91"/>
        <v>0.73380529217334067</v>
      </c>
      <c r="AW122" s="386" t="e">
        <f t="shared" si="92"/>
        <v>#VALUE!</v>
      </c>
      <c r="AX122" s="386">
        <f t="shared" si="93"/>
        <v>3.8400000000000004E-2</v>
      </c>
      <c r="AY122" s="386">
        <f t="shared" si="94"/>
        <v>0.61440000000000006</v>
      </c>
      <c r="AZ122" s="386">
        <f t="shared" si="95"/>
        <v>0.47314285714285709</v>
      </c>
      <c r="BA122" s="386">
        <f t="shared" si="123"/>
        <v>0.65280000000000005</v>
      </c>
      <c r="BB122" s="386" t="e">
        <f t="shared" si="124"/>
        <v>#VALUE!</v>
      </c>
      <c r="BC122">
        <f t="shared" si="96"/>
        <v>256</v>
      </c>
      <c r="BD122" s="604" t="e">
        <f t="shared" si="125"/>
        <v>#VALUE!</v>
      </c>
      <c r="BE122" s="614">
        <f t="shared" si="97"/>
        <v>239.52780525583216</v>
      </c>
      <c r="BF122" s="614">
        <f t="shared" si="98"/>
        <v>25.618360092421099</v>
      </c>
      <c r="BG122" s="9"/>
      <c r="BH122" s="4" t="e">
        <f t="shared" si="126"/>
        <v>#VALUE!</v>
      </c>
      <c r="BI122" s="386">
        <f t="shared" si="127"/>
        <v>8.3612955943089702</v>
      </c>
      <c r="BJ122" s="386">
        <f t="shared" si="128"/>
        <v>5.5216014182296789</v>
      </c>
      <c r="BK122" s="386">
        <f t="shared" si="129"/>
        <v>1.215611639348422</v>
      </c>
      <c r="BL122" s="386">
        <f t="shared" si="130"/>
        <v>0.73380529217334067</v>
      </c>
    </row>
    <row r="123" spans="7:64" x14ac:dyDescent="0.2">
      <c r="G123">
        <v>114</v>
      </c>
      <c r="H123" s="610">
        <f t="shared" si="59"/>
        <v>31.229999999999997</v>
      </c>
      <c r="I123" s="4" t="str">
        <f t="shared" si="60"/>
        <v>BUCK</v>
      </c>
      <c r="J123">
        <f t="shared" si="99"/>
        <v>1</v>
      </c>
      <c r="K123">
        <f t="shared" si="61"/>
        <v>20</v>
      </c>
      <c r="L123" s="4">
        <f t="shared" si="62"/>
        <v>9.1080513751022885</v>
      </c>
      <c r="M123" s="4">
        <f t="shared" si="63"/>
        <v>20</v>
      </c>
      <c r="N123" s="386">
        <f t="shared" si="64"/>
        <v>0.41367209971236829</v>
      </c>
      <c r="O123" s="386">
        <f t="shared" si="115"/>
        <v>0</v>
      </c>
      <c r="P123" s="4">
        <f t="shared" si="65"/>
        <v>15.178622151486099</v>
      </c>
      <c r="Q123" s="386">
        <f t="shared" si="66"/>
        <v>20.474355037496672</v>
      </c>
      <c r="R123" s="386">
        <f t="shared" si="116"/>
        <v>1.039821695068091</v>
      </c>
      <c r="S123" s="386">
        <f t="shared" si="117"/>
        <v>7.397117713002733</v>
      </c>
      <c r="T123" s="386">
        <f t="shared" si="118"/>
        <v>8.436939408070824</v>
      </c>
      <c r="U123" s="4">
        <f t="shared" si="68"/>
        <v>4.3816907925440578</v>
      </c>
      <c r="V123" s="386">
        <f t="shared" si="119"/>
        <v>3.839842840293075E-2</v>
      </c>
      <c r="W123" s="386">
        <f t="shared" si="120"/>
        <v>3.839842840293075E-2</v>
      </c>
      <c r="X123" s="386">
        <f t="shared" si="69"/>
        <v>10.083437843168342</v>
      </c>
      <c r="Y123" s="386">
        <f t="shared" si="121"/>
        <v>0.20335143747407886</v>
      </c>
      <c r="Z123" s="603">
        <f t="shared" si="122"/>
        <v>0.20335143747407886</v>
      </c>
      <c r="AA123" s="386">
        <f t="shared" si="70"/>
        <v>13.168561771753778</v>
      </c>
      <c r="AB123" s="386">
        <f t="shared" si="71"/>
        <v>0.32948093635934045</v>
      </c>
      <c r="AC123" s="386">
        <f t="shared" si="72"/>
        <v>2.1653402235654391</v>
      </c>
      <c r="AD123">
        <f t="shared" si="73"/>
        <v>0</v>
      </c>
      <c r="AE123" s="386">
        <f t="shared" si="74"/>
        <v>2.6708178747696536</v>
      </c>
      <c r="AF123" s="386">
        <f t="shared" si="75"/>
        <v>15.677633592636688</v>
      </c>
      <c r="AG123" s="386">
        <f t="shared" si="76"/>
        <v>0.46699757062344366</v>
      </c>
      <c r="AH123" s="386">
        <f t="shared" si="77"/>
        <v>0</v>
      </c>
      <c r="AI123" s="386">
        <f t="shared" si="78"/>
        <v>0.5151084495311774</v>
      </c>
      <c r="AJ123" s="386">
        <f t="shared" si="79"/>
        <v>0</v>
      </c>
      <c r="AK123" s="386">
        <f t="shared" si="80"/>
        <v>0</v>
      </c>
      <c r="AL123" s="386">
        <f t="shared" si="81"/>
        <v>0</v>
      </c>
      <c r="AM123">
        <f t="shared" si="82"/>
        <v>0</v>
      </c>
      <c r="AN123" s="386">
        <f t="shared" si="83"/>
        <v>0</v>
      </c>
      <c r="AO123" s="386">
        <f t="shared" si="84"/>
        <v>20.474355037496672</v>
      </c>
      <c r="AP123" s="386">
        <f t="shared" si="85"/>
        <v>0.20959960710073267</v>
      </c>
      <c r="AQ123" s="386">
        <f t="shared" si="86"/>
        <v>0</v>
      </c>
      <c r="AR123" s="386">
        <f t="shared" si="87"/>
        <v>0.21877044705012422</v>
      </c>
      <c r="AS123" s="386">
        <f t="shared" si="88"/>
        <v>0.20959960710073267</v>
      </c>
      <c r="AT123" s="386">
        <f t="shared" si="89"/>
        <v>0.27500000000000002</v>
      </c>
      <c r="AU123" s="386">
        <f t="shared" si="90"/>
        <v>2.14445</v>
      </c>
      <c r="AV123" s="386">
        <f t="shared" si="91"/>
        <v>0.7373645851949111</v>
      </c>
      <c r="AW123" s="386" t="e">
        <f t="shared" si="92"/>
        <v>#VALUE!</v>
      </c>
      <c r="AX123" s="386">
        <f t="shared" si="93"/>
        <v>3.8400000000000004E-2</v>
      </c>
      <c r="AY123" s="386">
        <f t="shared" si="94"/>
        <v>0.61440000000000006</v>
      </c>
      <c r="AZ123" s="386">
        <f t="shared" si="95"/>
        <v>0.47314285714285709</v>
      </c>
      <c r="BA123" s="386">
        <f t="shared" si="123"/>
        <v>0.65280000000000005</v>
      </c>
      <c r="BB123" s="386" t="e">
        <f t="shared" si="124"/>
        <v>#VALUE!</v>
      </c>
      <c r="BC123">
        <f t="shared" si="96"/>
        <v>256</v>
      </c>
      <c r="BD123" s="604" t="e">
        <f t="shared" si="125"/>
        <v>#VALUE!</v>
      </c>
      <c r="BE123" s="614">
        <f t="shared" si="97"/>
        <v>240.76339373848268</v>
      </c>
      <c r="BF123" s="614">
        <f t="shared" si="98"/>
        <v>25.75542247655887</v>
      </c>
      <c r="BG123" s="9"/>
      <c r="BH123" s="4" t="e">
        <f t="shared" si="126"/>
        <v>#VALUE!</v>
      </c>
      <c r="BI123" s="386">
        <f t="shared" si="127"/>
        <v>8.436939408070824</v>
      </c>
      <c r="BJ123" s="386">
        <f t="shared" si="128"/>
        <v>5.549146771350955</v>
      </c>
      <c r="BK123" s="386">
        <f t="shared" si="129"/>
        <v>1.2227769495311773</v>
      </c>
      <c r="BL123" s="386">
        <f t="shared" si="130"/>
        <v>0.7373645851949111</v>
      </c>
    </row>
    <row r="124" spans="7:64" x14ac:dyDescent="0.2">
      <c r="G124">
        <v>115</v>
      </c>
      <c r="H124" s="610">
        <f t="shared" si="59"/>
        <v>31.424999999999997</v>
      </c>
      <c r="I124" s="4" t="str">
        <f t="shared" si="60"/>
        <v>BUCK</v>
      </c>
      <c r="J124">
        <f t="shared" si="99"/>
        <v>1</v>
      </c>
      <c r="K124">
        <f t="shared" si="61"/>
        <v>20</v>
      </c>
      <c r="L124" s="4">
        <f t="shared" si="62"/>
        <v>9.0515336338725358</v>
      </c>
      <c r="M124" s="4">
        <f t="shared" si="63"/>
        <v>20</v>
      </c>
      <c r="N124" s="386">
        <f t="shared" si="64"/>
        <v>0.41111005240590764</v>
      </c>
      <c r="O124" s="386">
        <f t="shared" si="115"/>
        <v>0</v>
      </c>
      <c r="P124" s="4">
        <f t="shared" si="65"/>
        <v>15.244947407336827</v>
      </c>
      <c r="Q124" s="386">
        <f t="shared" si="66"/>
        <v>20.478461086086817</v>
      </c>
      <c r="R124" s="386">
        <f t="shared" si="116"/>
        <v>1.040273513240499</v>
      </c>
      <c r="S124" s="386">
        <f t="shared" si="117"/>
        <v>7.4718017327544466</v>
      </c>
      <c r="T124" s="386">
        <f t="shared" si="118"/>
        <v>8.5120752459949465</v>
      </c>
      <c r="U124" s="4">
        <f t="shared" si="68"/>
        <v>4.4008372447038022</v>
      </c>
      <c r="V124" s="386">
        <f t="shared" si="119"/>
        <v>3.8734736908744308E-2</v>
      </c>
      <c r="W124" s="386">
        <f t="shared" si="120"/>
        <v>3.8734736908744308E-2</v>
      </c>
      <c r="X124" s="386">
        <f t="shared" si="69"/>
        <v>10.07612243047509</v>
      </c>
      <c r="Y124" s="386">
        <f t="shared" si="121"/>
        <v>0.20305648646784646</v>
      </c>
      <c r="Z124" s="603">
        <f t="shared" si="122"/>
        <v>0.20305648646784646</v>
      </c>
      <c r="AA124" s="386">
        <f t="shared" si="70"/>
        <v>13.130351892565731</v>
      </c>
      <c r="AB124" s="386">
        <f t="shared" si="71"/>
        <v>0.32757166756294848</v>
      </c>
      <c r="AC124" s="386">
        <f t="shared" si="72"/>
        <v>2.1788605996011507</v>
      </c>
      <c r="AD124">
        <f t="shared" si="73"/>
        <v>0</v>
      </c>
      <c r="AE124" s="386">
        <f t="shared" si="74"/>
        <v>2.6821516445355416</v>
      </c>
      <c r="AF124" s="386">
        <f t="shared" si="75"/>
        <v>15.715000083734253</v>
      </c>
      <c r="AG124" s="386">
        <f t="shared" si="76"/>
        <v>0.46922633250035839</v>
      </c>
      <c r="AH124" s="386">
        <f t="shared" si="77"/>
        <v>0</v>
      </c>
      <c r="AI124" s="386">
        <f t="shared" si="78"/>
        <v>0.51782142183158997</v>
      </c>
      <c r="AJ124" s="386">
        <f t="shared" si="79"/>
        <v>0</v>
      </c>
      <c r="AK124" s="386">
        <f t="shared" si="80"/>
        <v>0</v>
      </c>
      <c r="AL124" s="386">
        <f t="shared" si="81"/>
        <v>0</v>
      </c>
      <c r="AM124">
        <f t="shared" si="82"/>
        <v>0</v>
      </c>
      <c r="AN124" s="386">
        <f t="shared" si="83"/>
        <v>0</v>
      </c>
      <c r="AO124" s="386">
        <f t="shared" si="84"/>
        <v>20.478461086086817</v>
      </c>
      <c r="AP124" s="386">
        <f t="shared" si="85"/>
        <v>0.20968368422718603</v>
      </c>
      <c r="AQ124" s="386">
        <f t="shared" si="86"/>
        <v>0</v>
      </c>
      <c r="AR124" s="386">
        <f t="shared" si="87"/>
        <v>0.21886204417939162</v>
      </c>
      <c r="AS124" s="386">
        <f t="shared" si="88"/>
        <v>0.20968368422718603</v>
      </c>
      <c r="AT124" s="386">
        <f t="shared" si="89"/>
        <v>0.27500000000000002</v>
      </c>
      <c r="AU124" s="386">
        <f t="shared" si="90"/>
        <v>2.15785625</v>
      </c>
      <c r="AV124" s="386">
        <f t="shared" si="91"/>
        <v>0.74088368289530271</v>
      </c>
      <c r="AW124" s="386" t="e">
        <f t="shared" si="92"/>
        <v>#VALUE!</v>
      </c>
      <c r="AX124" s="386">
        <f t="shared" si="93"/>
        <v>3.8400000000000004E-2</v>
      </c>
      <c r="AY124" s="386">
        <f t="shared" si="94"/>
        <v>0.61440000000000006</v>
      </c>
      <c r="AZ124" s="386">
        <f t="shared" si="95"/>
        <v>0.47314285714285709</v>
      </c>
      <c r="BA124" s="386">
        <f t="shared" si="123"/>
        <v>0.65280000000000005</v>
      </c>
      <c r="BB124" s="386" t="e">
        <f t="shared" si="124"/>
        <v>#VALUE!</v>
      </c>
      <c r="BC124">
        <f t="shared" si="96"/>
        <v>256</v>
      </c>
      <c r="BD124" s="604" t="e">
        <f t="shared" si="125"/>
        <v>#VALUE!</v>
      </c>
      <c r="BE124" s="614">
        <f t="shared" si="97"/>
        <v>242.00039472677707</v>
      </c>
      <c r="BF124" s="614">
        <f t="shared" si="98"/>
        <v>25.891071091579498</v>
      </c>
      <c r="BG124" s="9"/>
      <c r="BH124" s="4" t="e">
        <f t="shared" si="126"/>
        <v>#VALUE!</v>
      </c>
      <c r="BI124" s="386">
        <f t="shared" si="127"/>
        <v>8.5120752459949465</v>
      </c>
      <c r="BJ124" s="386">
        <f t="shared" si="128"/>
        <v>5.5766913605465227</v>
      </c>
      <c r="BK124" s="386">
        <f t="shared" si="129"/>
        <v>1.22991398433159</v>
      </c>
      <c r="BL124" s="386">
        <f t="shared" si="130"/>
        <v>0.74088368289530271</v>
      </c>
    </row>
    <row r="125" spans="7:64" x14ac:dyDescent="0.2">
      <c r="G125">
        <v>116</v>
      </c>
      <c r="H125" s="610">
        <f t="shared" si="59"/>
        <v>31.619999999999997</v>
      </c>
      <c r="I125" s="4" t="str">
        <f t="shared" si="60"/>
        <v>BUCK</v>
      </c>
      <c r="J125">
        <f t="shared" si="99"/>
        <v>1</v>
      </c>
      <c r="K125">
        <f t="shared" si="61"/>
        <v>20</v>
      </c>
      <c r="L125" s="4">
        <f t="shared" si="62"/>
        <v>8.9957129805327156</v>
      </c>
      <c r="M125" s="4">
        <f t="shared" si="63"/>
        <v>20</v>
      </c>
      <c r="N125" s="386">
        <f t="shared" si="64"/>
        <v>0.40857954545454556</v>
      </c>
      <c r="O125" s="386">
        <f t="shared" si="115"/>
        <v>0</v>
      </c>
      <c r="P125" s="4">
        <f t="shared" si="65"/>
        <v>15.31045615909091</v>
      </c>
      <c r="Q125" s="386">
        <f t="shared" si="66"/>
        <v>20.482533347138006</v>
      </c>
      <c r="R125" s="386">
        <f t="shared" si="116"/>
        <v>1.0407217328047162</v>
      </c>
      <c r="S125" s="386">
        <f t="shared" si="117"/>
        <v>7.5459834350868045</v>
      </c>
      <c r="T125" s="386">
        <f t="shared" si="118"/>
        <v>8.5867051678915214</v>
      </c>
      <c r="U125" s="4">
        <f t="shared" si="68"/>
        <v>4.4197479924335505</v>
      </c>
      <c r="V125" s="386">
        <f t="shared" si="119"/>
        <v>3.9068344633240798E-2</v>
      </c>
      <c r="W125" s="386">
        <f t="shared" si="120"/>
        <v>3.9068344633240798E-2</v>
      </c>
      <c r="X125" s="386">
        <f t="shared" si="69"/>
        <v>10.06862465945826</v>
      </c>
      <c r="Y125" s="386">
        <f t="shared" si="121"/>
        <v>0.20275440506610193</v>
      </c>
      <c r="Z125" s="603">
        <f t="shared" si="122"/>
        <v>0.20275440506610193</v>
      </c>
      <c r="AA125" s="386">
        <f t="shared" si="70"/>
        <v>13.092481866620009</v>
      </c>
      <c r="AB125" s="386">
        <f t="shared" si="71"/>
        <v>0.32568485471277014</v>
      </c>
      <c r="AC125" s="386">
        <f t="shared" si="72"/>
        <v>2.192380975636862</v>
      </c>
      <c r="AD125">
        <f t="shared" si="73"/>
        <v>0</v>
      </c>
      <c r="AE125" s="386">
        <f t="shared" si="74"/>
        <v>2.6935131159143322</v>
      </c>
      <c r="AF125" s="386">
        <f t="shared" si="75"/>
        <v>15.75185991839842</v>
      </c>
      <c r="AG125" s="386">
        <f t="shared" si="76"/>
        <v>0.47143007268880871</v>
      </c>
      <c r="AH125" s="386">
        <f t="shared" si="77"/>
        <v>0</v>
      </c>
      <c r="AI125" s="386">
        <f t="shared" si="78"/>
        <v>0.52050656195643341</v>
      </c>
      <c r="AJ125" s="386">
        <f t="shared" si="79"/>
        <v>0</v>
      </c>
      <c r="AK125" s="386">
        <f t="shared" si="80"/>
        <v>0</v>
      </c>
      <c r="AL125" s="386">
        <f t="shared" si="81"/>
        <v>0</v>
      </c>
      <c r="AM125">
        <f t="shared" si="82"/>
        <v>0</v>
      </c>
      <c r="AN125" s="386">
        <f t="shared" si="83"/>
        <v>0</v>
      </c>
      <c r="AO125" s="386">
        <f t="shared" si="84"/>
        <v>20.482533347138006</v>
      </c>
      <c r="AP125" s="386">
        <f t="shared" si="85"/>
        <v>0.20976708615831022</v>
      </c>
      <c r="AQ125" s="386">
        <f t="shared" si="86"/>
        <v>0</v>
      </c>
      <c r="AR125" s="386">
        <f t="shared" si="87"/>
        <v>0.21895290889945515</v>
      </c>
      <c r="AS125" s="386">
        <f t="shared" si="88"/>
        <v>0.20976708615831022</v>
      </c>
      <c r="AT125" s="386">
        <f t="shared" si="89"/>
        <v>0.27500000000000002</v>
      </c>
      <c r="AU125" s="386">
        <f t="shared" si="90"/>
        <v>2.1712625000000001</v>
      </c>
      <c r="AV125" s="386">
        <f t="shared" si="91"/>
        <v>0.74436327266654001</v>
      </c>
      <c r="AW125" s="386" t="e">
        <f t="shared" si="92"/>
        <v>#VALUE!</v>
      </c>
      <c r="AX125" s="386">
        <f t="shared" si="93"/>
        <v>3.8400000000000004E-2</v>
      </c>
      <c r="AY125" s="386">
        <f t="shared" si="94"/>
        <v>0.61440000000000006</v>
      </c>
      <c r="AZ125" s="386">
        <f t="shared" si="95"/>
        <v>0.47314285714285709</v>
      </c>
      <c r="BA125" s="386">
        <f t="shared" si="123"/>
        <v>0.65280000000000005</v>
      </c>
      <c r="BB125" s="386" t="e">
        <f t="shared" si="124"/>
        <v>#VALUE!</v>
      </c>
      <c r="BC125">
        <f t="shared" si="96"/>
        <v>256</v>
      </c>
      <c r="BD125" s="604" t="e">
        <f t="shared" si="125"/>
        <v>#VALUE!</v>
      </c>
      <c r="BE125" s="614">
        <f t="shared" si="97"/>
        <v>243.23878079571665</v>
      </c>
      <c r="BF125" s="614">
        <f t="shared" si="98"/>
        <v>26.025328097821671</v>
      </c>
      <c r="BG125" s="9"/>
      <c r="BH125" s="4" t="e">
        <f t="shared" si="126"/>
        <v>#VALUE!</v>
      </c>
      <c r="BI125" s="386">
        <f t="shared" si="127"/>
        <v>8.5867051678915214</v>
      </c>
      <c r="BJ125" s="386">
        <f t="shared" si="128"/>
        <v>5.6042350867702204</v>
      </c>
      <c r="BK125" s="386">
        <f t="shared" si="129"/>
        <v>1.2370231869564334</v>
      </c>
      <c r="BL125" s="386">
        <f t="shared" si="130"/>
        <v>0.74436327266654001</v>
      </c>
    </row>
    <row r="126" spans="7:64" x14ac:dyDescent="0.2">
      <c r="G126">
        <v>117</v>
      </c>
      <c r="H126" s="610">
        <f t="shared" si="59"/>
        <v>31.814999999999998</v>
      </c>
      <c r="I126" s="4" t="str">
        <f t="shared" si="60"/>
        <v>BUCK</v>
      </c>
      <c r="J126">
        <f t="shared" si="99"/>
        <v>1</v>
      </c>
      <c r="K126">
        <f t="shared" si="61"/>
        <v>20</v>
      </c>
      <c r="L126" s="4">
        <f t="shared" si="62"/>
        <v>8.9405765973422753</v>
      </c>
      <c r="M126" s="4">
        <f t="shared" si="63"/>
        <v>20</v>
      </c>
      <c r="N126" s="386">
        <f t="shared" si="64"/>
        <v>0.40608000000000011</v>
      </c>
      <c r="O126" s="386">
        <f t="shared" si="115"/>
        <v>0</v>
      </c>
      <c r="P126" s="4">
        <f t="shared" si="65"/>
        <v>15.375163392000001</v>
      </c>
      <c r="Q126" s="386">
        <f t="shared" si="66"/>
        <v>20.486572125278176</v>
      </c>
      <c r="R126" s="386">
        <f t="shared" si="116"/>
        <v>1.0411663843670282</v>
      </c>
      <c r="S126" s="386">
        <f t="shared" si="117"/>
        <v>7.6196649618743653</v>
      </c>
      <c r="T126" s="386">
        <f t="shared" si="118"/>
        <v>8.6608313462413928</v>
      </c>
      <c r="U126" s="4">
        <f t="shared" si="68"/>
        <v>4.43842736160284</v>
      </c>
      <c r="V126" s="386">
        <f t="shared" si="119"/>
        <v>3.9399274888449499E-2</v>
      </c>
      <c r="W126" s="386">
        <f t="shared" si="120"/>
        <v>3.9399274888449499E-2</v>
      </c>
      <c r="X126" s="386">
        <f t="shared" si="69"/>
        <v>10.060951891400162</v>
      </c>
      <c r="Y126" s="386">
        <f t="shared" si="121"/>
        <v>0.202445505922137</v>
      </c>
      <c r="Z126" s="603">
        <f t="shared" si="122"/>
        <v>0.202445505922137</v>
      </c>
      <c r="AA126" s="386">
        <f t="shared" si="70"/>
        <v>13.054946525104988</v>
      </c>
      <c r="AB126" s="386">
        <f t="shared" si="71"/>
        <v>0.32382009466936651</v>
      </c>
      <c r="AC126" s="386">
        <f t="shared" si="72"/>
        <v>2.2059013516725732</v>
      </c>
      <c r="AD126">
        <f t="shared" si="73"/>
        <v>0</v>
      </c>
      <c r="AE126" s="386">
        <f t="shared" si="74"/>
        <v>2.7049017548043564</v>
      </c>
      <c r="AF126" s="386">
        <f t="shared" si="75"/>
        <v>15.78822373387437</v>
      </c>
      <c r="AG126" s="386">
        <f t="shared" si="76"/>
        <v>0.47360921647466048</v>
      </c>
      <c r="AH126" s="386">
        <f t="shared" si="77"/>
        <v>0</v>
      </c>
      <c r="AI126" s="386">
        <f t="shared" si="78"/>
        <v>0.52316430366380573</v>
      </c>
      <c r="AJ126" s="386">
        <f t="shared" si="79"/>
        <v>0</v>
      </c>
      <c r="AK126" s="386">
        <f t="shared" si="80"/>
        <v>0</v>
      </c>
      <c r="AL126" s="386">
        <f t="shared" si="81"/>
        <v>0</v>
      </c>
      <c r="AM126">
        <f t="shared" si="82"/>
        <v>0</v>
      </c>
      <c r="AN126" s="386">
        <f t="shared" si="83"/>
        <v>0</v>
      </c>
      <c r="AO126" s="386">
        <f t="shared" si="84"/>
        <v>20.486572125278176</v>
      </c>
      <c r="AP126" s="386">
        <f t="shared" si="85"/>
        <v>0.20984981872211239</v>
      </c>
      <c r="AQ126" s="386">
        <f t="shared" si="86"/>
        <v>0</v>
      </c>
      <c r="AR126" s="386">
        <f t="shared" si="87"/>
        <v>0.21904304748346107</v>
      </c>
      <c r="AS126" s="386">
        <f t="shared" si="88"/>
        <v>0.20984981872211239</v>
      </c>
      <c r="AT126" s="386">
        <f t="shared" si="89"/>
        <v>0.27500000000000002</v>
      </c>
      <c r="AU126" s="386">
        <f t="shared" si="90"/>
        <v>2.1846687500000002</v>
      </c>
      <c r="AV126" s="386">
        <f t="shared" si="91"/>
        <v>0.74780402601262186</v>
      </c>
      <c r="AW126" s="386" t="e">
        <f t="shared" si="92"/>
        <v>#VALUE!</v>
      </c>
      <c r="AX126" s="386">
        <f t="shared" si="93"/>
        <v>3.8400000000000004E-2</v>
      </c>
      <c r="AY126" s="386">
        <f t="shared" si="94"/>
        <v>0.61440000000000006</v>
      </c>
      <c r="AZ126" s="386">
        <f t="shared" si="95"/>
        <v>0.47314285714285709</v>
      </c>
      <c r="BA126" s="386">
        <f t="shared" si="123"/>
        <v>0.65280000000000005</v>
      </c>
      <c r="BB126" s="386" t="e">
        <f t="shared" si="124"/>
        <v>#VALUE!</v>
      </c>
      <c r="BC126">
        <f t="shared" si="96"/>
        <v>256</v>
      </c>
      <c r="BD126" s="604" t="e">
        <f t="shared" si="125"/>
        <v>#VALUE!</v>
      </c>
      <c r="BE126" s="614">
        <f t="shared" si="97"/>
        <v>244.47852524021783</v>
      </c>
      <c r="BF126" s="614">
        <f t="shared" si="98"/>
        <v>26.158215183190286</v>
      </c>
      <c r="BG126" s="9"/>
      <c r="BH126" s="4" t="e">
        <f t="shared" si="126"/>
        <v>#VALUE!</v>
      </c>
      <c r="BI126" s="386">
        <f t="shared" si="127"/>
        <v>8.6608313462413928</v>
      </c>
      <c r="BJ126" s="386">
        <f t="shared" si="128"/>
        <v>5.6317778559516238</v>
      </c>
      <c r="BK126" s="386">
        <f t="shared" si="129"/>
        <v>1.2441049911638058</v>
      </c>
      <c r="BL126" s="386">
        <f t="shared" si="130"/>
        <v>0.74780402601262186</v>
      </c>
    </row>
    <row r="127" spans="7:64" x14ac:dyDescent="0.2">
      <c r="G127">
        <v>118</v>
      </c>
      <c r="H127" s="610">
        <f t="shared" si="59"/>
        <v>32.01</v>
      </c>
      <c r="I127" s="4" t="str">
        <f t="shared" si="60"/>
        <v>BUCK</v>
      </c>
      <c r="J127">
        <f t="shared" si="99"/>
        <v>1</v>
      </c>
      <c r="K127">
        <f t="shared" si="61"/>
        <v>20</v>
      </c>
      <c r="L127" s="4">
        <f t="shared" si="62"/>
        <v>8.8861119788954852</v>
      </c>
      <c r="M127" s="4">
        <f t="shared" si="63"/>
        <v>20</v>
      </c>
      <c r="N127" s="386">
        <f t="shared" si="64"/>
        <v>0.4036108512628625</v>
      </c>
      <c r="O127" s="386">
        <f t="shared" si="115"/>
        <v>0</v>
      </c>
      <c r="P127" s="4">
        <f t="shared" si="65"/>
        <v>15.439083726847519</v>
      </c>
      <c r="Q127" s="386">
        <f t="shared" si="66"/>
        <v>20.490577725555976</v>
      </c>
      <c r="R127" s="386">
        <f t="shared" si="116"/>
        <v>1.0416074986385528</v>
      </c>
      <c r="S127" s="386">
        <f t="shared" si="117"/>
        <v>7.6928485597124912</v>
      </c>
      <c r="T127" s="386">
        <f t="shared" si="118"/>
        <v>8.7344560583510447</v>
      </c>
      <c r="U127" s="4">
        <f t="shared" si="68"/>
        <v>4.4568795728682931</v>
      </c>
      <c r="V127" s="386">
        <f t="shared" si="119"/>
        <v>3.972755105410132E-2</v>
      </c>
      <c r="W127" s="386">
        <f t="shared" si="120"/>
        <v>3.972755105410132E-2</v>
      </c>
      <c r="X127" s="386">
        <f t="shared" si="69"/>
        <v>10.05311120836555</v>
      </c>
      <c r="Y127" s="386">
        <f t="shared" si="121"/>
        <v>0.20213008993553011</v>
      </c>
      <c r="Z127" s="603">
        <f t="shared" si="122"/>
        <v>0.20213008993553011</v>
      </c>
      <c r="AA127" s="386">
        <f t="shared" si="70"/>
        <v>13.017740812249734</v>
      </c>
      <c r="AB127" s="386">
        <f t="shared" si="71"/>
        <v>0.32197699412433345</v>
      </c>
      <c r="AC127" s="386">
        <f t="shared" si="72"/>
        <v>2.2194217277082839</v>
      </c>
      <c r="AD127">
        <f t="shared" si="73"/>
        <v>0</v>
      </c>
      <c r="AE127" s="386">
        <f t="shared" si="74"/>
        <v>2.7163170410241491</v>
      </c>
      <c r="AF127" s="386">
        <f t="shared" si="75"/>
        <v>15.824101859888868</v>
      </c>
      <c r="AG127" s="386">
        <f t="shared" si="76"/>
        <v>0.47576417937706289</v>
      </c>
      <c r="AH127" s="386">
        <f t="shared" si="77"/>
        <v>0</v>
      </c>
      <c r="AI127" s="386">
        <f t="shared" si="78"/>
        <v>0.52579507152166471</v>
      </c>
      <c r="AJ127" s="386">
        <f t="shared" si="79"/>
        <v>0</v>
      </c>
      <c r="AK127" s="386">
        <f t="shared" si="80"/>
        <v>0</v>
      </c>
      <c r="AL127" s="386">
        <f t="shared" si="81"/>
        <v>0</v>
      </c>
      <c r="AM127">
        <f t="shared" si="82"/>
        <v>0</v>
      </c>
      <c r="AN127" s="386">
        <f t="shared" si="83"/>
        <v>0</v>
      </c>
      <c r="AO127" s="386">
        <f t="shared" si="84"/>
        <v>20.490577725555976</v>
      </c>
      <c r="AP127" s="386">
        <f t="shared" si="85"/>
        <v>0.20993188776352537</v>
      </c>
      <c r="AQ127" s="386">
        <f t="shared" si="86"/>
        <v>0</v>
      </c>
      <c r="AR127" s="386">
        <f t="shared" si="87"/>
        <v>0.21913246622448185</v>
      </c>
      <c r="AS127" s="386">
        <f t="shared" si="88"/>
        <v>0.20993188776352537</v>
      </c>
      <c r="AT127" s="386">
        <f t="shared" si="89"/>
        <v>0.27500000000000002</v>
      </c>
      <c r="AU127" s="386">
        <f t="shared" si="90"/>
        <v>2.1980750000000002</v>
      </c>
      <c r="AV127" s="386">
        <f t="shared" si="91"/>
        <v>0.75120659901641507</v>
      </c>
      <c r="AW127" s="386" t="e">
        <f t="shared" si="92"/>
        <v>#VALUE!</v>
      </c>
      <c r="AX127" s="386">
        <f t="shared" si="93"/>
        <v>3.8400000000000004E-2</v>
      </c>
      <c r="AY127" s="386">
        <f t="shared" si="94"/>
        <v>0.61440000000000006</v>
      </c>
      <c r="AZ127" s="386">
        <f t="shared" si="95"/>
        <v>0.47314285714285709</v>
      </c>
      <c r="BA127" s="386">
        <f t="shared" si="123"/>
        <v>0.65280000000000005</v>
      </c>
      <c r="BB127" s="386" t="e">
        <f t="shared" si="124"/>
        <v>#VALUE!</v>
      </c>
      <c r="BC127">
        <f t="shared" si="96"/>
        <v>256</v>
      </c>
      <c r="BD127" s="604" t="e">
        <f t="shared" si="125"/>
        <v>#VALUE!</v>
      </c>
      <c r="BE127" s="614">
        <f t="shared" si="97"/>
        <v>245.71960205120743</v>
      </c>
      <c r="BF127" s="614">
        <f t="shared" si="98"/>
        <v>26.289753576083235</v>
      </c>
      <c r="BG127" s="9"/>
      <c r="BH127" s="4" t="e">
        <f t="shared" si="126"/>
        <v>#VALUE!</v>
      </c>
      <c r="BI127" s="386">
        <f t="shared" si="127"/>
        <v>8.7344560583510447</v>
      </c>
      <c r="BJ127" s="386">
        <f t="shared" si="128"/>
        <v>5.6593195787702957</v>
      </c>
      <c r="BK127" s="386">
        <f t="shared" si="129"/>
        <v>1.2511598215216648</v>
      </c>
      <c r="BL127" s="386">
        <f t="shared" si="130"/>
        <v>0.75120659901641507</v>
      </c>
    </row>
    <row r="128" spans="7:64" x14ac:dyDescent="0.2">
      <c r="G128">
        <v>119</v>
      </c>
      <c r="H128" s="610">
        <f t="shared" si="59"/>
        <v>32.204999999999998</v>
      </c>
      <c r="I128" s="4" t="str">
        <f t="shared" si="60"/>
        <v>BUCK</v>
      </c>
      <c r="J128">
        <f t="shared" si="99"/>
        <v>1</v>
      </c>
      <c r="K128">
        <f t="shared" si="61"/>
        <v>20</v>
      </c>
      <c r="L128" s="4">
        <f t="shared" si="62"/>
        <v>8.8323069226655626</v>
      </c>
      <c r="M128" s="4">
        <f t="shared" si="63"/>
        <v>20</v>
      </c>
      <c r="N128" s="386">
        <f t="shared" si="64"/>
        <v>0.40117154811715483</v>
      </c>
      <c r="O128" s="386">
        <f t="shared" si="115"/>
        <v>0</v>
      </c>
      <c r="P128" s="4">
        <f t="shared" si="65"/>
        <v>15.502231430962345</v>
      </c>
      <c r="Q128" s="386">
        <f t="shared" si="66"/>
        <v>20.494550453187788</v>
      </c>
      <c r="R128" s="386">
        <f t="shared" si="116"/>
        <v>1.0420451064067391</v>
      </c>
      <c r="S128" s="386">
        <f t="shared" si="117"/>
        <v>7.7655365725239083</v>
      </c>
      <c r="T128" s="386">
        <f t="shared" si="118"/>
        <v>8.8075816789306476</v>
      </c>
      <c r="U128" s="4">
        <f t="shared" si="68"/>
        <v>4.475108744852994</v>
      </c>
      <c r="V128" s="386">
        <f t="shared" si="119"/>
        <v>4.0053196556519483E-2</v>
      </c>
      <c r="W128" s="386">
        <f t="shared" si="120"/>
        <v>4.0053196556519483E-2</v>
      </c>
      <c r="X128" s="386">
        <f t="shared" si="69"/>
        <v>10.045109425180643</v>
      </c>
      <c r="Y128" s="386">
        <f t="shared" si="121"/>
        <v>0.20180844672770595</v>
      </c>
      <c r="Z128" s="603">
        <f t="shared" si="122"/>
        <v>0.20180844672770595</v>
      </c>
      <c r="AA128" s="386">
        <f t="shared" si="70"/>
        <v>12.980859782066506</v>
      </c>
      <c r="AB128" s="386">
        <f t="shared" si="71"/>
        <v>0.32015516929517629</v>
      </c>
      <c r="AC128" s="386">
        <f t="shared" si="72"/>
        <v>2.2329421037439952</v>
      </c>
      <c r="AD128">
        <f t="shared" si="73"/>
        <v>0</v>
      </c>
      <c r="AE128" s="386">
        <f t="shared" si="74"/>
        <v>2.7277584678535738</v>
      </c>
      <c r="AF128" s="386">
        <f t="shared" si="75"/>
        <v>15.859504330104016</v>
      </c>
      <c r="AG128" s="386">
        <f t="shared" si="76"/>
        <v>0.47789536743351729</v>
      </c>
      <c r="AH128" s="386">
        <f t="shared" si="77"/>
        <v>0</v>
      </c>
      <c r="AI128" s="386">
        <f t="shared" si="78"/>
        <v>0.52839928115760093</v>
      </c>
      <c r="AJ128" s="386">
        <f t="shared" si="79"/>
        <v>0</v>
      </c>
      <c r="AK128" s="386">
        <f t="shared" si="80"/>
        <v>0</v>
      </c>
      <c r="AL128" s="386">
        <f t="shared" si="81"/>
        <v>0</v>
      </c>
      <c r="AM128">
        <f t="shared" si="82"/>
        <v>0</v>
      </c>
      <c r="AN128" s="386">
        <f t="shared" si="83"/>
        <v>0</v>
      </c>
      <c r="AO128" s="386">
        <f t="shared" si="84"/>
        <v>20.494550453187788</v>
      </c>
      <c r="AP128" s="386">
        <f t="shared" si="85"/>
        <v>0.21001329913912989</v>
      </c>
      <c r="AQ128" s="386">
        <f t="shared" si="86"/>
        <v>0</v>
      </c>
      <c r="AR128" s="386">
        <f t="shared" si="87"/>
        <v>0.21922117142975125</v>
      </c>
      <c r="AS128" s="386">
        <f t="shared" si="88"/>
        <v>0.21001329913912989</v>
      </c>
      <c r="AT128" s="386">
        <f t="shared" si="89"/>
        <v>0.27500000000000002</v>
      </c>
      <c r="AU128" s="386">
        <f t="shared" si="90"/>
        <v>2.2114812500000003</v>
      </c>
      <c r="AV128" s="386">
        <f t="shared" si="91"/>
        <v>0.75457163278976414</v>
      </c>
      <c r="AW128" s="386" t="e">
        <f t="shared" si="92"/>
        <v>#VALUE!</v>
      </c>
      <c r="AX128" s="386">
        <f t="shared" si="93"/>
        <v>3.8400000000000004E-2</v>
      </c>
      <c r="AY128" s="386">
        <f t="shared" si="94"/>
        <v>0.61440000000000006</v>
      </c>
      <c r="AZ128" s="386">
        <f t="shared" si="95"/>
        <v>0.47314285714285709</v>
      </c>
      <c r="BA128" s="386">
        <f t="shared" si="123"/>
        <v>0.65280000000000005</v>
      </c>
      <c r="BB128" s="386" t="e">
        <f t="shared" si="124"/>
        <v>#VALUE!</v>
      </c>
      <c r="BC128">
        <f t="shared" si="96"/>
        <v>256</v>
      </c>
      <c r="BD128" s="604" t="e">
        <f t="shared" si="125"/>
        <v>#VALUE!</v>
      </c>
      <c r="BE128" s="614">
        <f t="shared" si="97"/>
        <v>246.96198589267874</v>
      </c>
      <c r="BF128" s="614">
        <f t="shared" si="98"/>
        <v>26.419964057880048</v>
      </c>
      <c r="BG128" s="9"/>
      <c r="BH128" s="4" t="e">
        <f t="shared" si="126"/>
        <v>#VALUE!</v>
      </c>
      <c r="BI128" s="386">
        <f t="shared" si="127"/>
        <v>8.8075816789306476</v>
      </c>
      <c r="BJ128" s="386">
        <f t="shared" si="128"/>
        <v>5.6868601704409265</v>
      </c>
      <c r="BK128" s="386">
        <f t="shared" si="129"/>
        <v>1.2581880936576011</v>
      </c>
      <c r="BL128" s="386">
        <f t="shared" si="130"/>
        <v>0.75457163278976414</v>
      </c>
    </row>
    <row r="129" spans="7:64" x14ac:dyDescent="0.2">
      <c r="G129">
        <v>120</v>
      </c>
      <c r="H129" s="610">
        <f t="shared" si="59"/>
        <v>32.4</v>
      </c>
      <c r="I129" s="4" t="str">
        <f t="shared" si="60"/>
        <v>BUCK</v>
      </c>
      <c r="J129">
        <f t="shared" si="99"/>
        <v>1</v>
      </c>
      <c r="K129">
        <f t="shared" si="61"/>
        <v>20</v>
      </c>
      <c r="L129" s="4">
        <f t="shared" si="62"/>
        <v>8.7791495198902609</v>
      </c>
      <c r="M129" s="4">
        <f t="shared" si="63"/>
        <v>20</v>
      </c>
      <c r="N129" s="386">
        <f t="shared" si="64"/>
        <v>0.39876155268022184</v>
      </c>
      <c r="O129" s="386">
        <f t="shared" si="115"/>
        <v>0</v>
      </c>
      <c r="P129" s="4">
        <f t="shared" si="65"/>
        <v>15.564620428835491</v>
      </c>
      <c r="Q129" s="386">
        <f t="shared" si="66"/>
        <v>20.498490613322652</v>
      </c>
      <c r="R129" s="386">
        <f t="shared" si="116"/>
        <v>1.0424792385087984</v>
      </c>
      <c r="S129" s="386">
        <f t="shared" si="117"/>
        <v>7.837731434563552</v>
      </c>
      <c r="T129" s="386">
        <f t="shared" si="118"/>
        <v>8.8802106730723498</v>
      </c>
      <c r="U129" s="4">
        <f t="shared" si="68"/>
        <v>4.4931188972112599</v>
      </c>
      <c r="V129" s="386">
        <f t="shared" si="119"/>
        <v>4.0376234848953856E-2</v>
      </c>
      <c r="W129" s="386">
        <f t="shared" si="120"/>
        <v>4.0376234848953856E-2</v>
      </c>
      <c r="X129" s="386">
        <f t="shared" si="69"/>
        <v>10.036953100819131</v>
      </c>
      <c r="Y129" s="386">
        <f t="shared" si="121"/>
        <v>0.20148085509608554</v>
      </c>
      <c r="Z129" s="603">
        <f t="shared" si="122"/>
        <v>0.20148085509608554</v>
      </c>
      <c r="AA129" s="386">
        <f t="shared" si="70"/>
        <v>12.944298595210316</v>
      </c>
      <c r="AB129" s="386">
        <f t="shared" si="71"/>
        <v>0.3183542456317312</v>
      </c>
      <c r="AC129" s="386">
        <f t="shared" si="72"/>
        <v>2.2464624797797068</v>
      </c>
      <c r="AD129">
        <f t="shared" si="73"/>
        <v>0</v>
      </c>
      <c r="AE129" s="386">
        <f t="shared" si="74"/>
        <v>2.7392255415932563</v>
      </c>
      <c r="AF129" s="386">
        <f t="shared" si="75"/>
        <v>15.894440893045376</v>
      </c>
      <c r="AG129" s="386">
        <f t="shared" si="76"/>
        <v>0.48000317747477489</v>
      </c>
      <c r="AH129" s="386">
        <f t="shared" si="77"/>
        <v>0</v>
      </c>
      <c r="AI129" s="386">
        <f t="shared" si="78"/>
        <v>0.53097733950021608</v>
      </c>
      <c r="AJ129" s="386">
        <f t="shared" si="79"/>
        <v>0</v>
      </c>
      <c r="AK129" s="386">
        <f t="shared" si="80"/>
        <v>0</v>
      </c>
      <c r="AL129" s="386">
        <f t="shared" si="81"/>
        <v>0</v>
      </c>
      <c r="AM129">
        <f t="shared" si="82"/>
        <v>0</v>
      </c>
      <c r="AN129" s="386">
        <f t="shared" si="83"/>
        <v>0</v>
      </c>
      <c r="AO129" s="386">
        <f t="shared" si="84"/>
        <v>20.498490613322652</v>
      </c>
      <c r="AP129" s="386">
        <f t="shared" si="85"/>
        <v>0.21009405871223844</v>
      </c>
      <c r="AQ129" s="386">
        <f t="shared" si="86"/>
        <v>0</v>
      </c>
      <c r="AR129" s="386">
        <f t="shared" si="87"/>
        <v>0.21930916941529216</v>
      </c>
      <c r="AS129" s="386">
        <f t="shared" si="88"/>
        <v>0.21009405871223844</v>
      </c>
      <c r="AT129" s="386">
        <f t="shared" si="89"/>
        <v>0.27500000000000002</v>
      </c>
      <c r="AU129" s="386">
        <f t="shared" si="90"/>
        <v>2.2248875000000004</v>
      </c>
      <c r="AV129" s="386">
        <f t="shared" si="91"/>
        <v>0.75789975390753928</v>
      </c>
      <c r="AW129" s="386" t="e">
        <f t="shared" si="92"/>
        <v>#VALUE!</v>
      </c>
      <c r="AX129" s="386">
        <f t="shared" si="93"/>
        <v>3.8400000000000004E-2</v>
      </c>
      <c r="AY129" s="386">
        <f t="shared" si="94"/>
        <v>0.61440000000000006</v>
      </c>
      <c r="AZ129" s="386">
        <f t="shared" si="95"/>
        <v>0.47314285714285709</v>
      </c>
      <c r="BA129" s="386">
        <f t="shared" si="123"/>
        <v>0.65280000000000005</v>
      </c>
      <c r="BB129" s="386" t="e">
        <f t="shared" si="124"/>
        <v>#VALUE!</v>
      </c>
      <c r="BC129">
        <f t="shared" si="96"/>
        <v>256</v>
      </c>
      <c r="BD129" s="604" t="e">
        <f t="shared" si="125"/>
        <v>#VALUE!</v>
      </c>
      <c r="BE129" s="614">
        <f t="shared" si="97"/>
        <v>248.2056520796628</v>
      </c>
      <c r="BF129" s="614">
        <f t="shared" si="98"/>
        <v>26.548866975010803</v>
      </c>
      <c r="BG129" s="9"/>
      <c r="BH129" s="4" t="e">
        <f t="shared" si="126"/>
        <v>#VALUE!</v>
      </c>
      <c r="BI129" s="386">
        <f t="shared" si="127"/>
        <v>8.8802106730723498</v>
      </c>
      <c r="BJ129" s="386">
        <f t="shared" si="128"/>
        <v>5.7143995505087641</v>
      </c>
      <c r="BK129" s="386">
        <f t="shared" si="129"/>
        <v>1.2651902145002163</v>
      </c>
      <c r="BL129" s="386">
        <f t="shared" si="130"/>
        <v>0.75789975390753928</v>
      </c>
    </row>
    <row r="130" spans="7:64" x14ac:dyDescent="0.2">
      <c r="G130">
        <v>121</v>
      </c>
      <c r="H130" s="610">
        <f t="shared" si="59"/>
        <v>32.594999999999999</v>
      </c>
      <c r="I130" s="4" t="str">
        <f t="shared" si="60"/>
        <v>BUCK</v>
      </c>
      <c r="J130">
        <f t="shared" si="99"/>
        <v>1</v>
      </c>
      <c r="K130">
        <f t="shared" si="61"/>
        <v>20</v>
      </c>
      <c r="L130" s="4">
        <f t="shared" si="62"/>
        <v>8.7266281467846127</v>
      </c>
      <c r="M130" s="4">
        <f t="shared" si="63"/>
        <v>20</v>
      </c>
      <c r="N130" s="386">
        <f t="shared" si="64"/>
        <v>0.39638033991731741</v>
      </c>
      <c r="O130" s="386">
        <f t="shared" si="115"/>
        <v>0</v>
      </c>
      <c r="P130" s="4">
        <f t="shared" si="65"/>
        <v>15.626264312356456</v>
      </c>
      <c r="Q130" s="386">
        <f t="shared" si="66"/>
        <v>20.502398510823934</v>
      </c>
      <c r="R130" s="386">
        <f t="shared" si="116"/>
        <v>1.0429099258069487</v>
      </c>
      <c r="S130" s="386">
        <f t="shared" si="117"/>
        <v>7.9094356638008501</v>
      </c>
      <c r="T130" s="386">
        <f t="shared" si="118"/>
        <v>8.9523455896077984</v>
      </c>
      <c r="U130" s="4">
        <f t="shared" si="68"/>
        <v>4.5109139535836213</v>
      </c>
      <c r="V130" s="386">
        <f t="shared" si="119"/>
        <v>4.0696689393270841E-2</v>
      </c>
      <c r="W130" s="386">
        <f t="shared" si="120"/>
        <v>4.0696689393270841E-2</v>
      </c>
      <c r="X130" s="386">
        <f t="shared" si="69"/>
        <v>10.028648549228832</v>
      </c>
      <c r="Y130" s="386">
        <f t="shared" si="121"/>
        <v>0.20114758344789913</v>
      </c>
      <c r="Z130" s="603">
        <f t="shared" si="122"/>
        <v>0.20114758344789913</v>
      </c>
      <c r="AA130" s="386">
        <f t="shared" si="70"/>
        <v>12.908052515950423</v>
      </c>
      <c r="AB130" s="386">
        <f t="shared" si="71"/>
        <v>0.31657385753361472</v>
      </c>
      <c r="AC130" s="386">
        <f t="shared" si="72"/>
        <v>2.259982855815418</v>
      </c>
      <c r="AD130">
        <f t="shared" si="73"/>
        <v>0</v>
      </c>
      <c r="AE130" s="386">
        <f t="shared" si="74"/>
        <v>2.750717781141486</v>
      </c>
      <c r="AF130" s="386">
        <f t="shared" si="75"/>
        <v>15.92892102253324</v>
      </c>
      <c r="AG130" s="386">
        <f t="shared" si="76"/>
        <v>0.48208799738999264</v>
      </c>
      <c r="AH130" s="386">
        <f t="shared" si="77"/>
        <v>0</v>
      </c>
      <c r="AI130" s="386">
        <f t="shared" si="78"/>
        <v>0.53352964501244093</v>
      </c>
      <c r="AJ130" s="386">
        <f t="shared" si="79"/>
        <v>0</v>
      </c>
      <c r="AK130" s="386">
        <f t="shared" si="80"/>
        <v>0</v>
      </c>
      <c r="AL130" s="386">
        <f t="shared" si="81"/>
        <v>0</v>
      </c>
      <c r="AM130">
        <f t="shared" si="82"/>
        <v>0</v>
      </c>
      <c r="AN130" s="386">
        <f t="shared" si="83"/>
        <v>0</v>
      </c>
      <c r="AO130" s="386">
        <f t="shared" si="84"/>
        <v>20.502398510823934</v>
      </c>
      <c r="AP130" s="386">
        <f t="shared" si="85"/>
        <v>0.21017417234831776</v>
      </c>
      <c r="AQ130" s="386">
        <f t="shared" si="86"/>
        <v>0</v>
      </c>
      <c r="AR130" s="386">
        <f t="shared" si="87"/>
        <v>0.21939646650091268</v>
      </c>
      <c r="AS130" s="386">
        <f t="shared" si="88"/>
        <v>0.21017417234831776</v>
      </c>
      <c r="AT130" s="386">
        <f t="shared" si="89"/>
        <v>0.27500000000000002</v>
      </c>
      <c r="AU130" s="386">
        <f t="shared" si="90"/>
        <v>2.2382937500000004</v>
      </c>
      <c r="AV130" s="386">
        <f t="shared" si="91"/>
        <v>0.76119157482630417</v>
      </c>
      <c r="AW130" s="386" t="e">
        <f t="shared" si="92"/>
        <v>#VALUE!</v>
      </c>
      <c r="AX130" s="386">
        <f t="shared" si="93"/>
        <v>3.8400000000000004E-2</v>
      </c>
      <c r="AY130" s="386">
        <f t="shared" si="94"/>
        <v>0.61440000000000006</v>
      </c>
      <c r="AZ130" s="386">
        <f t="shared" si="95"/>
        <v>0.47314285714285709</v>
      </c>
      <c r="BA130" s="386">
        <f t="shared" si="123"/>
        <v>0.65280000000000005</v>
      </c>
      <c r="BB130" s="386" t="e">
        <f t="shared" si="124"/>
        <v>#VALUE!</v>
      </c>
      <c r="BC130">
        <f t="shared" si="96"/>
        <v>256</v>
      </c>
      <c r="BD130" s="604" t="e">
        <f t="shared" si="125"/>
        <v>#VALUE!</v>
      </c>
      <c r="BE130" s="614">
        <f t="shared" si="97"/>
        <v>249.4505765570743</v>
      </c>
      <c r="BF130" s="614">
        <f t="shared" si="98"/>
        <v>26.676482250622048</v>
      </c>
      <c r="BG130" s="9"/>
      <c r="BH130" s="4" t="e">
        <f t="shared" si="126"/>
        <v>#VALUE!</v>
      </c>
      <c r="BI130" s="386">
        <f t="shared" si="127"/>
        <v>8.9523455896077984</v>
      </c>
      <c r="BJ130" s="386">
        <f t="shared" si="128"/>
        <v>5.7419376426548396</v>
      </c>
      <c r="BK130" s="386">
        <f t="shared" si="129"/>
        <v>1.2721665825124411</v>
      </c>
      <c r="BL130" s="386">
        <f t="shared" si="130"/>
        <v>0.76119157482630417</v>
      </c>
    </row>
    <row r="131" spans="7:64" x14ac:dyDescent="0.2">
      <c r="G131">
        <v>122</v>
      </c>
      <c r="H131" s="610">
        <f t="shared" si="59"/>
        <v>32.79</v>
      </c>
      <c r="I131" s="4" t="str">
        <f t="shared" si="60"/>
        <v>BUCK</v>
      </c>
      <c r="J131">
        <f t="shared" si="99"/>
        <v>1</v>
      </c>
      <c r="K131">
        <f t="shared" si="61"/>
        <v>20</v>
      </c>
      <c r="L131" s="4">
        <f t="shared" si="62"/>
        <v>8.6747314560672297</v>
      </c>
      <c r="M131" s="4">
        <f t="shared" si="63"/>
        <v>20</v>
      </c>
      <c r="N131" s="386">
        <f t="shared" si="64"/>
        <v>0.39402739726027397</v>
      </c>
      <c r="O131" s="386">
        <f t="shared" si="115"/>
        <v>0</v>
      </c>
      <c r="P131" s="4">
        <f t="shared" si="65"/>
        <v>15.687176350684933</v>
      </c>
      <c r="Q131" s="386">
        <f t="shared" si="66"/>
        <v>20.506274450066677</v>
      </c>
      <c r="R131" s="386">
        <f t="shared" si="116"/>
        <v>1.0433371991653553</v>
      </c>
      <c r="S131" s="386">
        <f t="shared" si="117"/>
        <v>7.9806518556590902</v>
      </c>
      <c r="T131" s="386">
        <f t="shared" si="118"/>
        <v>9.0239890548244457</v>
      </c>
      <c r="U131" s="4">
        <f t="shared" si="68"/>
        <v>4.5284977444465389</v>
      </c>
      <c r="V131" s="386">
        <f t="shared" si="119"/>
        <v>4.1014583642914777E-2</v>
      </c>
      <c r="W131" s="386">
        <f t="shared" si="120"/>
        <v>4.1014583642914777E-2</v>
      </c>
      <c r="X131" s="386">
        <f t="shared" si="69"/>
        <v>10.020201849630496</v>
      </c>
      <c r="Y131" s="386">
        <f t="shared" si="121"/>
        <v>0.20080889021467682</v>
      </c>
      <c r="Z131" s="603">
        <f t="shared" si="122"/>
        <v>0.20080889021467682</v>
      </c>
      <c r="AA131" s="386">
        <f t="shared" si="70"/>
        <v>12.872116909249049</v>
      </c>
      <c r="AB131" s="386">
        <f t="shared" si="71"/>
        <v>0.31481364807821305</v>
      </c>
      <c r="AC131" s="386">
        <f t="shared" si="72"/>
        <v>2.2735032318511292</v>
      </c>
      <c r="AD131">
        <f t="shared" si="73"/>
        <v>0</v>
      </c>
      <c r="AE131" s="386">
        <f t="shared" si="74"/>
        <v>2.7622347175877615</v>
      </c>
      <c r="AF131" s="386">
        <f t="shared" si="75"/>
        <v>15.962953927643907</v>
      </c>
      <c r="AG131" s="386">
        <f t="shared" si="76"/>
        <v>0.48415020638255585</v>
      </c>
      <c r="AH131" s="386">
        <f t="shared" si="77"/>
        <v>0</v>
      </c>
      <c r="AI131" s="386">
        <f t="shared" si="78"/>
        <v>0.53605658791711597</v>
      </c>
      <c r="AJ131" s="386">
        <f t="shared" si="79"/>
        <v>0</v>
      </c>
      <c r="AK131" s="386">
        <f t="shared" si="80"/>
        <v>0</v>
      </c>
      <c r="AL131" s="386">
        <f t="shared" si="81"/>
        <v>0</v>
      </c>
      <c r="AM131">
        <f t="shared" si="82"/>
        <v>0</v>
      </c>
      <c r="AN131" s="386">
        <f t="shared" si="83"/>
        <v>0</v>
      </c>
      <c r="AO131" s="386">
        <f t="shared" si="84"/>
        <v>20.506274450066677</v>
      </c>
      <c r="AP131" s="386">
        <f t="shared" si="85"/>
        <v>0.2102536459107287</v>
      </c>
      <c r="AQ131" s="386">
        <f t="shared" si="86"/>
        <v>0</v>
      </c>
      <c r="AR131" s="386">
        <f t="shared" si="87"/>
        <v>0.21948306900554718</v>
      </c>
      <c r="AS131" s="386">
        <f t="shared" si="88"/>
        <v>0.2102536459107287</v>
      </c>
      <c r="AT131" s="386">
        <f t="shared" si="89"/>
        <v>0.27500000000000002</v>
      </c>
      <c r="AU131" s="386">
        <f t="shared" si="90"/>
        <v>2.2517000000000005</v>
      </c>
      <c r="AV131" s="386">
        <f t="shared" si="91"/>
        <v>0.7644476942882461</v>
      </c>
      <c r="AW131" s="386" t="e">
        <f t="shared" si="92"/>
        <v>#VALUE!</v>
      </c>
      <c r="AX131" s="386">
        <f t="shared" si="93"/>
        <v>3.8400000000000004E-2</v>
      </c>
      <c r="AY131" s="386">
        <f t="shared" si="94"/>
        <v>0.61440000000000006</v>
      </c>
      <c r="AZ131" s="386">
        <f t="shared" si="95"/>
        <v>0.47314285714285709</v>
      </c>
      <c r="BA131" s="386">
        <f t="shared" si="123"/>
        <v>0.65280000000000005</v>
      </c>
      <c r="BB131" s="386" t="e">
        <f t="shared" si="124"/>
        <v>#VALUE!</v>
      </c>
      <c r="BC131">
        <f t="shared" si="96"/>
        <v>256</v>
      </c>
      <c r="BD131" s="604" t="e">
        <f t="shared" si="125"/>
        <v>#VALUE!</v>
      </c>
      <c r="BE131" s="614">
        <f t="shared" si="97"/>
        <v>250.69673587938811</v>
      </c>
      <c r="BF131" s="614">
        <f t="shared" si="98"/>
        <v>26.802829395855799</v>
      </c>
      <c r="BG131" s="9"/>
      <c r="BH131" s="4" t="e">
        <f t="shared" si="126"/>
        <v>#VALUE!</v>
      </c>
      <c r="BI131" s="386">
        <f t="shared" si="127"/>
        <v>9.0239890548244457</v>
      </c>
      <c r="BJ131" s="386">
        <f t="shared" si="128"/>
        <v>5.7694743745104251</v>
      </c>
      <c r="BK131" s="386">
        <f t="shared" si="129"/>
        <v>1.2791175879171162</v>
      </c>
      <c r="BL131" s="386">
        <f t="shared" si="130"/>
        <v>0.7644476942882461</v>
      </c>
    </row>
    <row r="132" spans="7:64" x14ac:dyDescent="0.2">
      <c r="G132">
        <v>123</v>
      </c>
      <c r="H132" s="610">
        <f t="shared" si="59"/>
        <v>32.984999999999999</v>
      </c>
      <c r="I132" s="4" t="str">
        <f t="shared" si="60"/>
        <v>BUCK</v>
      </c>
      <c r="J132">
        <f t="shared" si="99"/>
        <v>1</v>
      </c>
      <c r="K132">
        <f t="shared" si="61"/>
        <v>20</v>
      </c>
      <c r="L132" s="4">
        <f t="shared" si="62"/>
        <v>8.6234483687871588</v>
      </c>
      <c r="M132" s="4">
        <f t="shared" si="63"/>
        <v>20</v>
      </c>
      <c r="N132" s="386">
        <f t="shared" si="64"/>
        <v>0.39170222423967321</v>
      </c>
      <c r="O132" s="386">
        <f t="shared" si="115"/>
        <v>0</v>
      </c>
      <c r="P132" s="4">
        <f t="shared" si="65"/>
        <v>15.74736949977304</v>
      </c>
      <c r="Q132" s="386">
        <f t="shared" si="66"/>
        <v>20.510118734749728</v>
      </c>
      <c r="R132" s="386">
        <f t="shared" si="116"/>
        <v>1.0437610894286757</v>
      </c>
      <c r="S132" s="386">
        <f t="shared" si="117"/>
        <v>8.0513826770931054</v>
      </c>
      <c r="T132" s="386">
        <f t="shared" si="118"/>
        <v>9.0951437665217814</v>
      </c>
      <c r="U132" s="4">
        <f t="shared" si="68"/>
        <v>4.545874009861234</v>
      </c>
      <c r="V132" s="386">
        <f t="shared" si="119"/>
        <v>4.1329941027063714E-2</v>
      </c>
      <c r="W132" s="386">
        <f t="shared" si="120"/>
        <v>4.1329941027063714E-2</v>
      </c>
      <c r="X132" s="386">
        <f t="shared" si="69"/>
        <v>10.011618856318391</v>
      </c>
      <c r="Y132" s="386">
        <f t="shared" si="121"/>
        <v>0.20046502424837995</v>
      </c>
      <c r="Z132" s="603">
        <f t="shared" si="122"/>
        <v>0.20046502424837995</v>
      </c>
      <c r="AA132" s="386">
        <f t="shared" si="70"/>
        <v>12.836487237942743</v>
      </c>
      <c r="AB132" s="386">
        <f t="shared" si="71"/>
        <v>0.31307326875874714</v>
      </c>
      <c r="AC132" s="386">
        <f t="shared" si="72"/>
        <v>2.2870236078868404</v>
      </c>
      <c r="AD132">
        <f t="shared" si="73"/>
        <v>0</v>
      </c>
      <c r="AE132" s="386">
        <f t="shared" si="74"/>
        <v>2.7737758938222146</v>
      </c>
      <c r="AF132" s="386">
        <f t="shared" si="75"/>
        <v>15.996548562226316</v>
      </c>
      <c r="AG132" s="386">
        <f t="shared" si="76"/>
        <v>0.48619017521696317</v>
      </c>
      <c r="AH132" s="386">
        <f t="shared" si="77"/>
        <v>0</v>
      </c>
      <c r="AI132" s="386">
        <f t="shared" si="78"/>
        <v>0.53855855041515033</v>
      </c>
      <c r="AJ132" s="386">
        <f t="shared" si="79"/>
        <v>0</v>
      </c>
      <c r="AK132" s="386">
        <f t="shared" si="80"/>
        <v>0</v>
      </c>
      <c r="AL132" s="386">
        <f t="shared" si="81"/>
        <v>0</v>
      </c>
      <c r="AM132">
        <f t="shared" si="82"/>
        <v>0</v>
      </c>
      <c r="AN132" s="386">
        <f t="shared" si="83"/>
        <v>0</v>
      </c>
      <c r="AO132" s="386">
        <f t="shared" si="84"/>
        <v>20.510118734749728</v>
      </c>
      <c r="AP132" s="386">
        <f t="shared" si="85"/>
        <v>0.2103324852567659</v>
      </c>
      <c r="AQ132" s="386">
        <f t="shared" si="86"/>
        <v>0</v>
      </c>
      <c r="AR132" s="386">
        <f t="shared" si="87"/>
        <v>0.21956898324292293</v>
      </c>
      <c r="AS132" s="386">
        <f t="shared" si="88"/>
        <v>0.2103324852567659</v>
      </c>
      <c r="AT132" s="386">
        <f t="shared" si="89"/>
        <v>0.27500000000000002</v>
      </c>
      <c r="AU132" s="386">
        <f t="shared" si="90"/>
        <v>2.2651062500000005</v>
      </c>
      <c r="AV132" s="386">
        <f t="shared" si="91"/>
        <v>0.76766869771099444</v>
      </c>
      <c r="AW132" s="386" t="e">
        <f t="shared" si="92"/>
        <v>#VALUE!</v>
      </c>
      <c r="AX132" s="386">
        <f t="shared" si="93"/>
        <v>3.8400000000000004E-2</v>
      </c>
      <c r="AY132" s="386">
        <f t="shared" si="94"/>
        <v>0.61440000000000006</v>
      </c>
      <c r="AZ132" s="386">
        <f t="shared" si="95"/>
        <v>0.47314285714285709</v>
      </c>
      <c r="BA132" s="386">
        <f t="shared" si="123"/>
        <v>0.65280000000000005</v>
      </c>
      <c r="BB132" s="386" t="e">
        <f t="shared" si="124"/>
        <v>#VALUE!</v>
      </c>
      <c r="BC132">
        <f t="shared" si="96"/>
        <v>256</v>
      </c>
      <c r="BD132" s="604" t="e">
        <f t="shared" si="125"/>
        <v>#VALUE!</v>
      </c>
      <c r="BE132" s="614">
        <f t="shared" si="97"/>
        <v>251.94410719111079</v>
      </c>
      <c r="BF132" s="614">
        <f t="shared" si="98"/>
        <v>26.927927520757517</v>
      </c>
      <c r="BG132" s="9"/>
      <c r="BH132" s="4" t="e">
        <f t="shared" si="126"/>
        <v>#VALUE!</v>
      </c>
      <c r="BI132" s="386">
        <f t="shared" si="127"/>
        <v>9.0951437665217814</v>
      </c>
      <c r="BJ132" s="386">
        <f t="shared" si="128"/>
        <v>5.7970096774802879</v>
      </c>
      <c r="BK132" s="386">
        <f t="shared" si="129"/>
        <v>1.2860436129151505</v>
      </c>
      <c r="BL132" s="386">
        <f t="shared" si="130"/>
        <v>0.76766869771099444</v>
      </c>
    </row>
    <row r="133" spans="7:64" x14ac:dyDescent="0.2">
      <c r="G133">
        <v>124</v>
      </c>
      <c r="H133" s="610">
        <f t="shared" si="59"/>
        <v>33.18</v>
      </c>
      <c r="I133" s="4" t="str">
        <f t="shared" si="60"/>
        <v>BUCK</v>
      </c>
      <c r="J133">
        <f t="shared" si="99"/>
        <v>1</v>
      </c>
      <c r="K133">
        <f t="shared" si="61"/>
        <v>20</v>
      </c>
      <c r="L133" s="4">
        <f t="shared" si="62"/>
        <v>8.5727680664389521</v>
      </c>
      <c r="M133" s="4">
        <f t="shared" si="63"/>
        <v>20</v>
      </c>
      <c r="N133" s="386">
        <f t="shared" si="64"/>
        <v>0.38940433212996389</v>
      </c>
      <c r="O133" s="386">
        <f t="shared" si="115"/>
        <v>0</v>
      </c>
      <c r="P133" s="4">
        <f t="shared" si="65"/>
        <v>15.806856411552348</v>
      </c>
      <c r="Q133" s="386">
        <f t="shared" si="66"/>
        <v>20.513931667721643</v>
      </c>
      <c r="R133" s="386">
        <f t="shared" si="116"/>
        <v>1.0441816274021019</v>
      </c>
      <c r="S133" s="386">
        <f t="shared" si="117"/>
        <v>8.1216308609873664</v>
      </c>
      <c r="T133" s="386">
        <f t="shared" si="118"/>
        <v>9.1658124883894683</v>
      </c>
      <c r="U133" s="4">
        <f t="shared" si="68"/>
        <v>4.5630464021257549</v>
      </c>
      <c r="V133" s="386">
        <f t="shared" si="119"/>
        <v>4.1642784935905598E-2</v>
      </c>
      <c r="W133" s="386">
        <f t="shared" si="120"/>
        <v>4.1642784935905598E-2</v>
      </c>
      <c r="X133" s="386">
        <f t="shared" si="69"/>
        <v>10.002905207990167</v>
      </c>
      <c r="Y133" s="386">
        <f t="shared" si="121"/>
        <v>0.20011622520007366</v>
      </c>
      <c r="Z133" s="603">
        <f t="shared" si="122"/>
        <v>0.20011622520007366</v>
      </c>
      <c r="AA133" s="386">
        <f t="shared" si="70"/>
        <v>12.80115906002205</v>
      </c>
      <c r="AB133" s="386">
        <f t="shared" si="71"/>
        <v>0.31135237923197073</v>
      </c>
      <c r="AC133" s="386">
        <f t="shared" si="72"/>
        <v>2.3005439839225517</v>
      </c>
      <c r="AD133">
        <f t="shared" si="73"/>
        <v>0</v>
      </c>
      <c r="AE133" s="386">
        <f t="shared" si="74"/>
        <v>2.7853408641601836</v>
      </c>
      <c r="AF133" s="386">
        <f t="shared" si="75"/>
        <v>16.029713633997591</v>
      </c>
      <c r="AG133" s="386">
        <f t="shared" si="76"/>
        <v>0.48820826645713966</v>
      </c>
      <c r="AH133" s="386">
        <f t="shared" si="77"/>
        <v>0</v>
      </c>
      <c r="AI133" s="386">
        <f t="shared" si="78"/>
        <v>0.54103590689654546</v>
      </c>
      <c r="AJ133" s="386">
        <f t="shared" si="79"/>
        <v>0</v>
      </c>
      <c r="AK133" s="386">
        <f t="shared" si="80"/>
        <v>0</v>
      </c>
      <c r="AL133" s="386">
        <f t="shared" si="81"/>
        <v>0</v>
      </c>
      <c r="AM133">
        <f t="shared" si="82"/>
        <v>0</v>
      </c>
      <c r="AN133" s="386">
        <f t="shared" si="83"/>
        <v>0</v>
      </c>
      <c r="AO133" s="386">
        <f t="shared" si="84"/>
        <v>20.513931667721643</v>
      </c>
      <c r="AP133" s="386">
        <f t="shared" si="85"/>
        <v>0.21041069623397643</v>
      </c>
      <c r="AQ133" s="386">
        <f t="shared" si="86"/>
        <v>0</v>
      </c>
      <c r="AR133" s="386">
        <f t="shared" si="87"/>
        <v>0.21965421551753073</v>
      </c>
      <c r="AS133" s="386">
        <f t="shared" si="88"/>
        <v>0.21041069623397643</v>
      </c>
      <c r="AT133" s="386">
        <f t="shared" si="89"/>
        <v>0.27500000000000002</v>
      </c>
      <c r="AU133" s="386">
        <f t="shared" si="90"/>
        <v>2.2785125000000006</v>
      </c>
      <c r="AV133" s="386">
        <f t="shared" si="91"/>
        <v>0.77085515756390477</v>
      </c>
      <c r="AW133" s="386" t="e">
        <f t="shared" si="92"/>
        <v>#VALUE!</v>
      </c>
      <c r="AX133" s="386">
        <f t="shared" si="93"/>
        <v>3.8400000000000004E-2</v>
      </c>
      <c r="AY133" s="386">
        <f t="shared" si="94"/>
        <v>0.61440000000000006</v>
      </c>
      <c r="AZ133" s="386">
        <f t="shared" si="95"/>
        <v>0.47314285714285709</v>
      </c>
      <c r="BA133" s="386">
        <f t="shared" si="123"/>
        <v>0.65280000000000005</v>
      </c>
      <c r="BB133" s="386" t="e">
        <f t="shared" si="124"/>
        <v>#VALUE!</v>
      </c>
      <c r="BC133">
        <f t="shared" si="96"/>
        <v>256</v>
      </c>
      <c r="BD133" s="604" t="e">
        <f t="shared" si="125"/>
        <v>#VALUE!</v>
      </c>
      <c r="BE133" s="614">
        <f t="shared" si="97"/>
        <v>253.19266820800922</v>
      </c>
      <c r="BF133" s="614">
        <f t="shared" si="98"/>
        <v>27.051795344827273</v>
      </c>
      <c r="BG133" s="9"/>
      <c r="BH133" s="4" t="e">
        <f t="shared" si="126"/>
        <v>#VALUE!</v>
      </c>
      <c r="BI133" s="386">
        <f t="shared" si="127"/>
        <v>9.1658124883894683</v>
      </c>
      <c r="BJ133" s="386">
        <f t="shared" si="128"/>
        <v>5.8245434865742602</v>
      </c>
      <c r="BK133" s="386">
        <f t="shared" si="129"/>
        <v>1.2929450318965459</v>
      </c>
      <c r="BL133" s="386">
        <f t="shared" si="130"/>
        <v>0.77085515756390477</v>
      </c>
    </row>
    <row r="134" spans="7:64" x14ac:dyDescent="0.2">
      <c r="G134">
        <v>125</v>
      </c>
      <c r="H134" s="610">
        <f t="shared" si="59"/>
        <v>33.375</v>
      </c>
      <c r="I134" s="4" t="str">
        <f t="shared" si="60"/>
        <v>BUCK</v>
      </c>
      <c r="J134">
        <f t="shared" si="99"/>
        <v>1</v>
      </c>
      <c r="K134">
        <f t="shared" si="61"/>
        <v>20</v>
      </c>
      <c r="L134" s="4">
        <f t="shared" si="62"/>
        <v>8.5226799833541396</v>
      </c>
      <c r="M134" s="4">
        <f t="shared" si="63"/>
        <v>20</v>
      </c>
      <c r="N134" s="386">
        <f t="shared" si="64"/>
        <v>0.38713324360699869</v>
      </c>
      <c r="O134" s="386">
        <f t="shared" si="115"/>
        <v>0</v>
      </c>
      <c r="P134" s="4">
        <f t="shared" si="65"/>
        <v>15.865649442799466</v>
      </c>
      <c r="Q134" s="386">
        <f t="shared" si="66"/>
        <v>20.517713550819536</v>
      </c>
      <c r="R134" s="386">
        <f t="shared" si="116"/>
        <v>1.0445988438328082</v>
      </c>
      <c r="S134" s="386">
        <f t="shared" si="117"/>
        <v>8.1913992008575374</v>
      </c>
      <c r="T134" s="386">
        <f t="shared" si="118"/>
        <v>9.235998044690346</v>
      </c>
      <c r="U134" s="4">
        <f t="shared" si="68"/>
        <v>4.5800184883342538</v>
      </c>
      <c r="V134" s="386">
        <f t="shared" si="119"/>
        <v>4.1953138706967166E-2</v>
      </c>
      <c r="W134" s="386">
        <f t="shared" si="120"/>
        <v>4.1953138706967166E-2</v>
      </c>
      <c r="X134" s="386">
        <f t="shared" si="69"/>
        <v>9.9940663366319935</v>
      </c>
      <c r="Y134" s="386">
        <f t="shared" si="121"/>
        <v>0.19976272388200167</v>
      </c>
      <c r="Z134" s="603">
        <f t="shared" si="122"/>
        <v>0.19976272388200167</v>
      </c>
      <c r="AA134" s="386">
        <f t="shared" si="70"/>
        <v>12.76612802600541</v>
      </c>
      <c r="AB134" s="386">
        <f t="shared" si="71"/>
        <v>0.30965064707508549</v>
      </c>
      <c r="AC134" s="386">
        <f t="shared" si="72"/>
        <v>2.3140643599582629</v>
      </c>
      <c r="AD134">
        <f t="shared" si="73"/>
        <v>0</v>
      </c>
      <c r="AE134" s="386">
        <f t="shared" si="74"/>
        <v>2.7969291939812462</v>
      </c>
      <c r="AF134" s="386">
        <f t="shared" si="75"/>
        <v>16.062457613239726</v>
      </c>
      <c r="AG134" s="386">
        <f t="shared" si="76"/>
        <v>0.49020483469653336</v>
      </c>
      <c r="AH134" s="386">
        <f t="shared" si="77"/>
        <v>0</v>
      </c>
      <c r="AI134" s="386">
        <f t="shared" si="78"/>
        <v>0.5434890241445669</v>
      </c>
      <c r="AJ134" s="386">
        <f t="shared" si="79"/>
        <v>0</v>
      </c>
      <c r="AK134" s="386">
        <f t="shared" si="80"/>
        <v>0</v>
      </c>
      <c r="AL134" s="386">
        <f t="shared" si="81"/>
        <v>0</v>
      </c>
      <c r="AM134">
        <f t="shared" si="82"/>
        <v>0</v>
      </c>
      <c r="AN134" s="386">
        <f t="shared" si="83"/>
        <v>0</v>
      </c>
      <c r="AO134" s="386">
        <f t="shared" si="84"/>
        <v>20.517713550819536</v>
      </c>
      <c r="AP134" s="386">
        <f t="shared" si="85"/>
        <v>0.21048828467674183</v>
      </c>
      <c r="AQ134" s="386">
        <f t="shared" si="86"/>
        <v>0</v>
      </c>
      <c r="AR134" s="386">
        <f t="shared" si="87"/>
        <v>0.21973877212088139</v>
      </c>
      <c r="AS134" s="386">
        <f t="shared" si="88"/>
        <v>0.21048828467674183</v>
      </c>
      <c r="AT134" s="386">
        <f t="shared" si="89"/>
        <v>0.27500000000000002</v>
      </c>
      <c r="AU134" s="386">
        <f t="shared" si="90"/>
        <v>2.2919187500000002</v>
      </c>
      <c r="AV134" s="386">
        <f t="shared" si="91"/>
        <v>0.77400763373136849</v>
      </c>
      <c r="AW134" s="386" t="e">
        <f t="shared" si="92"/>
        <v>#VALUE!</v>
      </c>
      <c r="AX134" s="386">
        <f t="shared" si="93"/>
        <v>3.8400000000000004E-2</v>
      </c>
      <c r="AY134" s="386">
        <f t="shared" si="94"/>
        <v>0.61440000000000006</v>
      </c>
      <c r="AZ134" s="386">
        <f t="shared" si="95"/>
        <v>0.47314285714285709</v>
      </c>
      <c r="BA134" s="386">
        <f t="shared" si="123"/>
        <v>0.65280000000000005</v>
      </c>
      <c r="BB134" s="386" t="e">
        <f t="shared" si="124"/>
        <v>#VALUE!</v>
      </c>
      <c r="BC134">
        <f t="shared" si="96"/>
        <v>256</v>
      </c>
      <c r="BD134" s="604" t="e">
        <f t="shared" si="125"/>
        <v>#VALUE!</v>
      </c>
      <c r="BE134" s="614">
        <f t="shared" si="97"/>
        <v>254.44239719906233</v>
      </c>
      <c r="BF134" s="614">
        <f t="shared" si="98"/>
        <v>27.174451207228344</v>
      </c>
      <c r="BG134" s="9"/>
      <c r="BH134" s="4" t="e">
        <f t="shared" si="126"/>
        <v>#VALUE!</v>
      </c>
      <c r="BI134" s="386">
        <f t="shared" si="127"/>
        <v>9.235998044690346</v>
      </c>
      <c r="BJ134" s="386">
        <f t="shared" si="128"/>
        <v>5.8520757402466952</v>
      </c>
      <c r="BK134" s="386">
        <f t="shared" si="129"/>
        <v>1.299822211644567</v>
      </c>
      <c r="BL134" s="386">
        <f t="shared" si="130"/>
        <v>0.77400763373136849</v>
      </c>
    </row>
    <row r="135" spans="7:64" x14ac:dyDescent="0.2">
      <c r="G135">
        <v>126</v>
      </c>
      <c r="H135" s="610">
        <f t="shared" si="59"/>
        <v>33.57</v>
      </c>
      <c r="I135" s="4" t="str">
        <f t="shared" si="60"/>
        <v>BUCK</v>
      </c>
      <c r="J135">
        <f t="shared" si="99"/>
        <v>1</v>
      </c>
      <c r="K135">
        <f t="shared" si="61"/>
        <v>20</v>
      </c>
      <c r="L135" s="4">
        <f t="shared" si="62"/>
        <v>8.4731737993578928</v>
      </c>
      <c r="M135" s="4">
        <f t="shared" si="63"/>
        <v>20</v>
      </c>
      <c r="N135" s="386">
        <f t="shared" si="64"/>
        <v>0.38488849241748441</v>
      </c>
      <c r="O135" s="386">
        <f t="shared" si="115"/>
        <v>0</v>
      </c>
      <c r="P135" s="4">
        <f t="shared" si="65"/>
        <v>15.923760663693134</v>
      </c>
      <c r="Q135" s="386">
        <f t="shared" si="66"/>
        <v>20.521464684720119</v>
      </c>
      <c r="R135" s="386">
        <f t="shared" si="116"/>
        <v>1.0450127693927276</v>
      </c>
      <c r="S135" s="386">
        <f t="shared" si="117"/>
        <v>8.2606905458394859</v>
      </c>
      <c r="T135" s="386">
        <f t="shared" si="118"/>
        <v>9.3057033152322131</v>
      </c>
      <c r="U135" s="4">
        <f t="shared" si="68"/>
        <v>4.5967937528472023</v>
      </c>
      <c r="V135" s="386">
        <f t="shared" si="119"/>
        <v>4.2261025612430135E-2</v>
      </c>
      <c r="W135" s="386">
        <f t="shared" si="120"/>
        <v>4.2261025612430135E-2</v>
      </c>
      <c r="X135" s="386">
        <f t="shared" si="69"/>
        <v>9.9851074759832255</v>
      </c>
      <c r="Y135" s="386">
        <f t="shared" si="121"/>
        <v>0.1994047426138722</v>
      </c>
      <c r="Z135" s="603">
        <f t="shared" si="122"/>
        <v>0.1994047426138722</v>
      </c>
      <c r="AA135" s="386">
        <f t="shared" si="70"/>
        <v>12.731389876403371</v>
      </c>
      <c r="AB135" s="386">
        <f t="shared" si="71"/>
        <v>0.30796774755147388</v>
      </c>
      <c r="AC135" s="386">
        <f t="shared" si="72"/>
        <v>2.3275847359939736</v>
      </c>
      <c r="AD135">
        <f t="shared" si="73"/>
        <v>0</v>
      </c>
      <c r="AE135" s="386">
        <f t="shared" si="74"/>
        <v>2.8085404593820624</v>
      </c>
      <c r="AF135" s="386">
        <f t="shared" si="75"/>
        <v>16.094788741118311</v>
      </c>
      <c r="AG135" s="386">
        <f t="shared" si="76"/>
        <v>0.49218022678033463</v>
      </c>
      <c r="AH135" s="386">
        <f t="shared" si="77"/>
        <v>0</v>
      </c>
      <c r="AI135" s="386">
        <f t="shared" si="78"/>
        <v>0.54591826153333523</v>
      </c>
      <c r="AJ135" s="386">
        <f t="shared" si="79"/>
        <v>0</v>
      </c>
      <c r="AK135" s="386">
        <f t="shared" si="80"/>
        <v>0</v>
      </c>
      <c r="AL135" s="386">
        <f t="shared" si="81"/>
        <v>0</v>
      </c>
      <c r="AM135">
        <f t="shared" si="82"/>
        <v>0</v>
      </c>
      <c r="AN135" s="386">
        <f t="shared" si="83"/>
        <v>0</v>
      </c>
      <c r="AO135" s="386">
        <f t="shared" si="84"/>
        <v>20.521464684720119</v>
      </c>
      <c r="AP135" s="386">
        <f t="shared" si="85"/>
        <v>0.2105652564031075</v>
      </c>
      <c r="AQ135" s="386">
        <f t="shared" si="86"/>
        <v>0</v>
      </c>
      <c r="AR135" s="386">
        <f t="shared" si="87"/>
        <v>0.21982265932803147</v>
      </c>
      <c r="AS135" s="386">
        <f t="shared" si="88"/>
        <v>0.2105652564031075</v>
      </c>
      <c r="AT135" s="386">
        <f t="shared" si="89"/>
        <v>0.27500000000000002</v>
      </c>
      <c r="AU135" s="386">
        <f t="shared" si="90"/>
        <v>2.3053250000000003</v>
      </c>
      <c r="AV135" s="386">
        <f t="shared" si="91"/>
        <v>0.77712667386368628</v>
      </c>
      <c r="AW135" s="386" t="e">
        <f t="shared" si="92"/>
        <v>#VALUE!</v>
      </c>
      <c r="AX135" s="386">
        <f t="shared" si="93"/>
        <v>3.8400000000000004E-2</v>
      </c>
      <c r="AY135" s="386">
        <f t="shared" si="94"/>
        <v>0.61440000000000006</v>
      </c>
      <c r="AZ135" s="386">
        <f t="shared" si="95"/>
        <v>0.47314285714285709</v>
      </c>
      <c r="BA135" s="386">
        <f t="shared" si="123"/>
        <v>0.65280000000000005</v>
      </c>
      <c r="BB135" s="386" t="e">
        <f t="shared" si="124"/>
        <v>#VALUE!</v>
      </c>
      <c r="BC135">
        <f t="shared" si="96"/>
        <v>256</v>
      </c>
      <c r="BD135" s="604" t="e">
        <f t="shared" si="125"/>
        <v>#VALUE!</v>
      </c>
      <c r="BE135" s="614">
        <f t="shared" si="97"/>
        <v>255.69327296910313</v>
      </c>
      <c r="BF135" s="614">
        <f t="shared" si="98"/>
        <v>27.295913076666761</v>
      </c>
      <c r="BG135" s="9"/>
      <c r="BH135" s="4" t="e">
        <f t="shared" si="126"/>
        <v>#VALUE!</v>
      </c>
      <c r="BI135" s="386">
        <f t="shared" si="127"/>
        <v>9.3057033152322131</v>
      </c>
      <c r="BJ135" s="386">
        <f t="shared" si="128"/>
        <v>5.8796063802434295</v>
      </c>
      <c r="BK135" s="386">
        <f t="shared" si="129"/>
        <v>1.3066755115333355</v>
      </c>
      <c r="BL135" s="386">
        <f t="shared" si="130"/>
        <v>0.77712667386368628</v>
      </c>
    </row>
    <row r="136" spans="7:64" x14ac:dyDescent="0.2">
      <c r="G136">
        <v>127</v>
      </c>
      <c r="H136" s="610">
        <f t="shared" si="59"/>
        <v>33.765000000000001</v>
      </c>
      <c r="I136" s="4" t="str">
        <f t="shared" si="60"/>
        <v>BUCK</v>
      </c>
      <c r="J136">
        <f t="shared" si="99"/>
        <v>1</v>
      </c>
      <c r="K136">
        <f t="shared" si="61"/>
        <v>20</v>
      </c>
      <c r="L136" s="4">
        <f t="shared" si="62"/>
        <v>8.4242394326801264</v>
      </c>
      <c r="M136" s="4">
        <f t="shared" si="63"/>
        <v>20</v>
      </c>
      <c r="N136" s="386">
        <f t="shared" si="64"/>
        <v>0.38266962305986696</v>
      </c>
      <c r="O136" s="386">
        <f t="shared" si="115"/>
        <v>0</v>
      </c>
      <c r="P136" s="4">
        <f t="shared" si="65"/>
        <v>15.98120186607539</v>
      </c>
      <c r="Q136" s="386">
        <f t="shared" si="66"/>
        <v>20.525185368802095</v>
      </c>
      <c r="R136" s="386">
        <f t="shared" si="116"/>
        <v>1.045423434662569</v>
      </c>
      <c r="S136" s="386">
        <f t="shared" si="117"/>
        <v>8.3295077959506969</v>
      </c>
      <c r="T136" s="386">
        <f t="shared" si="118"/>
        <v>9.3749312306132655</v>
      </c>
      <c r="U136" s="4">
        <f t="shared" si="68"/>
        <v>4.6133755996761883</v>
      </c>
      <c r="V136" s="386">
        <f t="shared" si="119"/>
        <v>4.2566468847375263E-2</v>
      </c>
      <c r="W136" s="386">
        <f t="shared" si="120"/>
        <v>4.2566468847375263E-2</v>
      </c>
      <c r="X136" s="386">
        <f t="shared" si="69"/>
        <v>9.9760336696033676</v>
      </c>
      <c r="Y136" s="386">
        <f t="shared" si="121"/>
        <v>0.19904249555412007</v>
      </c>
      <c r="Z136" s="603">
        <f t="shared" si="122"/>
        <v>0.19904249555412007</v>
      </c>
      <c r="AA136" s="386">
        <f t="shared" si="70"/>
        <v>12.69694043926938</v>
      </c>
      <c r="AB136" s="386">
        <f t="shared" si="71"/>
        <v>0.3063033633848728</v>
      </c>
      <c r="AC136" s="386">
        <f t="shared" si="72"/>
        <v>2.3411051120296849</v>
      </c>
      <c r="AD136">
        <f t="shared" si="73"/>
        <v>0</v>
      </c>
      <c r="AE136" s="386">
        <f t="shared" si="74"/>
        <v>2.8201742468424031</v>
      </c>
      <c r="AF136" s="386">
        <f t="shared" si="75"/>
        <v>16.126715037642771</v>
      </c>
      <c r="AG136" s="386">
        <f t="shared" si="76"/>
        <v>0.49413478202013361</v>
      </c>
      <c r="AH136" s="386">
        <f t="shared" si="77"/>
        <v>0</v>
      </c>
      <c r="AI136" s="386">
        <f t="shared" si="78"/>
        <v>0.54832397121908494</v>
      </c>
      <c r="AJ136" s="386">
        <f t="shared" si="79"/>
        <v>0</v>
      </c>
      <c r="AK136" s="386">
        <f t="shared" si="80"/>
        <v>0</v>
      </c>
      <c r="AL136" s="386">
        <f t="shared" si="81"/>
        <v>0</v>
      </c>
      <c r="AM136">
        <f t="shared" si="82"/>
        <v>0</v>
      </c>
      <c r="AN136" s="386">
        <f t="shared" si="83"/>
        <v>0</v>
      </c>
      <c r="AO136" s="386">
        <f t="shared" si="84"/>
        <v>20.525185368802095</v>
      </c>
      <c r="AP136" s="386">
        <f t="shared" si="85"/>
        <v>0.2106416172118438</v>
      </c>
      <c r="AQ136" s="386">
        <f t="shared" si="86"/>
        <v>0</v>
      </c>
      <c r="AR136" s="386">
        <f t="shared" si="87"/>
        <v>0.21990588339436126</v>
      </c>
      <c r="AS136" s="386">
        <f t="shared" si="88"/>
        <v>0.2106416172118438</v>
      </c>
      <c r="AT136" s="386">
        <f t="shared" si="89"/>
        <v>0.27500000000000002</v>
      </c>
      <c r="AU136" s="386">
        <f t="shared" si="90"/>
        <v>2.3187312500000004</v>
      </c>
      <c r="AV136" s="386">
        <f t="shared" si="91"/>
        <v>0.78021281371600049</v>
      </c>
      <c r="AW136" s="386" t="e">
        <f t="shared" si="92"/>
        <v>#VALUE!</v>
      </c>
      <c r="AX136" s="386">
        <f t="shared" si="93"/>
        <v>3.8400000000000004E-2</v>
      </c>
      <c r="AY136" s="386">
        <f t="shared" si="94"/>
        <v>0.61440000000000006</v>
      </c>
      <c r="AZ136" s="386">
        <f t="shared" si="95"/>
        <v>0.47314285714285709</v>
      </c>
      <c r="BA136" s="386">
        <f t="shared" si="123"/>
        <v>0.65280000000000005</v>
      </c>
      <c r="BB136" s="386" t="e">
        <f t="shared" si="124"/>
        <v>#VALUE!</v>
      </c>
      <c r="BC136">
        <f t="shared" si="96"/>
        <v>256</v>
      </c>
      <c r="BD136" s="604" t="e">
        <f t="shared" si="125"/>
        <v>#VALUE!</v>
      </c>
      <c r="BE136" s="614">
        <f t="shared" si="97"/>
        <v>256.94527484212017</v>
      </c>
      <c r="BF136" s="614">
        <f t="shared" si="98"/>
        <v>27.416198560954246</v>
      </c>
      <c r="BG136" s="9"/>
      <c r="BH136" s="4" t="e">
        <f t="shared" si="126"/>
        <v>#VALUE!</v>
      </c>
      <c r="BI136" s="386">
        <f t="shared" si="127"/>
        <v>9.3749312306132655</v>
      </c>
      <c r="BJ136" s="386">
        <f t="shared" si="128"/>
        <v>5.9071353514558496</v>
      </c>
      <c r="BK136" s="386">
        <f t="shared" si="129"/>
        <v>1.313505283719085</v>
      </c>
      <c r="BL136" s="386">
        <f t="shared" si="130"/>
        <v>0.78021281371600049</v>
      </c>
    </row>
    <row r="137" spans="7:64" x14ac:dyDescent="0.2">
      <c r="G137">
        <v>128</v>
      </c>
      <c r="H137" s="610">
        <f t="shared" ref="H137:H200" si="131">VIN_min+(VIN_max-VIN_min)*(G137/200)</f>
        <v>33.96</v>
      </c>
      <c r="I137" s="4" t="str">
        <f t="shared" ref="I137:I200" si="132">IF(H137&gt;VIN_BB_to_buck, "BUCK", IF(H137&lt;VIN_boost_to_BB,"BOOST","BUCK-BST"))</f>
        <v>BUCK</v>
      </c>
      <c r="J137">
        <f t="shared" si="99"/>
        <v>1</v>
      </c>
      <c r="K137">
        <f t="shared" ref="K137:K200" si="133">Iout</f>
        <v>20</v>
      </c>
      <c r="L137" s="4">
        <f t="shared" ref="L137:L200" si="134">Vout*K137/(H137*Efficiency)</f>
        <v>8.3758670331108487</v>
      </c>
      <c r="M137" s="4">
        <f t="shared" ref="M137:M200" si="135">Iout/(1-O137)</f>
        <v>20</v>
      </c>
      <c r="N137" s="386">
        <f t="shared" ref="N137:N200" si="136">CHOOSE(J137,(Vout+(Rdson2+Rs+Rdcr)*K137)/(H137+(Rs+Rdson2-Rdson1)*K137),1,IF(H137&lt;Vout,D_max_buck_BB,Vout/H137*(1-D_min_boost_exitBB_to_buck)))</f>
        <v>0.38047619047619047</v>
      </c>
      <c r="O137" s="386">
        <f t="shared" si="115"/>
        <v>0</v>
      </c>
      <c r="P137" s="4">
        <f t="shared" ref="P137:P200" si="137">MAX(0, CHOOSE(J137, (H137-(Rdson1+Rdcr)*K137-Vout)*N137/(Fsw*Lf), (H137-(Rdson4+Rdcr+Rs)*L137)*O137/(Fsw*Lf), IF(H137&lt;Vout, (H137-(Rdson4+Rdcr+Rs)*L137)*O137/(0.5*Fsw*Lf),(H137-(Rdson1+Rdcr)*K137-Vout)*N137/(0.5*Fsw*Lf))))</f>
        <v>16.037984571428574</v>
      </c>
      <c r="Q137" s="386">
        <f t="shared" ref="Q137:Q200" si="138">CHOOSE(J137, SQRT(K137^2+(P137^2)/12), SQRT(L137^2+(P137^2)/12), SQRT(M137^2+(P137^2)/12))</f>
        <v>20.528875901019237</v>
      </c>
      <c r="R137" s="386">
        <f t="shared" si="116"/>
        <v>1.0458308701169985</v>
      </c>
      <c r="S137" s="386">
        <f t="shared" si="117"/>
        <v>8.3978538976097887</v>
      </c>
      <c r="T137" s="386">
        <f t="shared" si="118"/>
        <v>9.4436847677267863</v>
      </c>
      <c r="U137" s="4">
        <f t="shared" ref="U137:U200" si="139">IF(H137&gt;Vout, P137/SQRT(12), SQRT(O137/(1-O137))*SQRT(K137^2+(P137^2)/12))</f>
        <v>4.6297673547866758</v>
      </c>
      <c r="V137" s="386">
        <f t="shared" si="119"/>
        <v>4.2869491518896831E-2</v>
      </c>
      <c r="W137" s="386">
        <f t="shared" si="120"/>
        <v>4.2869491518896831E-2</v>
      </c>
      <c r="X137" s="386">
        <f t="shared" ref="X137:X200" si="140">IF(H137&gt;Vout, SQRT(N137*(1-N137))*SQRT(K137^2+(P137^2)/12), P137/SQRT(12))</f>
        <v>9.966849778562711</v>
      </c>
      <c r="Y137" s="386">
        <f t="shared" si="121"/>
        <v>0.19867618901687112</v>
      </c>
      <c r="Z137" s="603">
        <f t="shared" si="122"/>
        <v>0.19867618901687112</v>
      </c>
      <c r="AA137" s="386">
        <f t="shared" ref="AA137:AA200" si="141">CHOOSE(J137, SQRT(N137)*SQRT(K137^2+(P137^2)/12), SQRT(L137^2+(P137^2)/12), SQRT(N137)*SQRT(M137^2+(P137^2)/12))</f>
        <v>12.662775627833605</v>
      </c>
      <c r="AB137" s="386">
        <f t="shared" ref="AB137:AB200" si="142">Rdson1*AA137^2</f>
        <v>0.30465718454162788</v>
      </c>
      <c r="AC137" s="386">
        <f t="shared" ref="AC137:AC200" si="143">CHOOSE(J137, (H137*K137/2)*(Fsw)*(Tr_buck+Tf_buck), 0, (H137*M137/2)*(Fsw/2)*(Tr_buck+Tf_buck))</f>
        <v>2.3546254880653961</v>
      </c>
      <c r="AD137">
        <f t="shared" ref="AD137:AD200" si="144">IF(H137&gt;Vout, IF(K137&gt;P137/2,0,ABS(K137-P137/2)*Vsd_Q1*Deadtime*Fsw),0)</f>
        <v>0</v>
      </c>
      <c r="AE137" s="386">
        <f t="shared" ref="AE137:AE200" si="145">(AD137+AC137+AB137*(1+RdsonTopTc*Ta-RdsonTopTc*25))/(1-AB137*RdsonTopTc*ThetaJA_Q1)</f>
        <v>2.8318301529037742</v>
      </c>
      <c r="AF137" s="386">
        <f t="shared" ref="AF137:AF200" si="146">CHOOSE(J137, SQRT((1-N137))*SQRT(K137^2+(P137^2)/12), 0, SQRT((1-N137))*SQRT(M137^2+(P137^2)/12))</f>
        <v>16.158244309286566</v>
      </c>
      <c r="AG137" s="386">
        <f t="shared" ref="AG137:AG200" si="147">Rdson2*AF137^2</f>
        <v>0.49606883240132416</v>
      </c>
      <c r="AH137" s="386">
        <f t="shared" ref="AH137:AH200" si="148">CHOOSE(J137, IF(K137&lt;P137/2,Deadtime*Fsw*IF(VfdSky_Q2&gt;0,0,Vsd_Q2)*(K137+P137/2),2*Deadtime*Fsw*IF(VfdSky_Q2&gt;0,0,Vsd_Q2)*K137),0, IF(K137&lt;P137/2,Deadtime*Fsw/2*IF(VfdSky_Q2&gt;0,0,Vsd_Q2)*(K137+P137/2),2*Deadtime*Fsw/2*IF(VfdSky_Q2&gt;0,0,Vsd_Q2)*K137))</f>
        <v>0</v>
      </c>
      <c r="AI137" s="386">
        <f t="shared" ref="AI137:AI200" si="149">(AH137+AG137*(1+RdsonBotTc*Ta-RdsonBotTc*25))/(1-AG137*RdsonBotTc*ThetaJA_Q2)</f>
        <v>0.55070649832533869</v>
      </c>
      <c r="AJ137" s="386">
        <f t="shared" ref="AJ137:AJ200" si="150">CHOOSE(J137, 0, SQRT(O137)*SQRT(L137^2+(P137^2)/12), SQRT(O137)*SQRT(M137^2+(P137^2)/12))</f>
        <v>0</v>
      </c>
      <c r="AK137" s="386">
        <f t="shared" ref="AK137:AK200" si="151">Rdson4*AJ137^2</f>
        <v>0</v>
      </c>
      <c r="AL137" s="386">
        <f t="shared" ref="AL137:AL200" si="152">CHOOSE(J137, 0, (Vout*L137/2)*(Fsw)*(Tr_boost+Tf_boost), (Vout*Iout/2)*(Fsw/2)*(Tr_boost+Tf_boost))</f>
        <v>0</v>
      </c>
      <c r="AM137">
        <f t="shared" ref="AM137:AM200" si="153">IF(H137&gt;Vout, 0, IF(L137&gt;P137/2,0,ABS(L137-P137/2)*Vsd_Q4*Deadtime*Fsw))</f>
        <v>0</v>
      </c>
      <c r="AN137" s="386">
        <f t="shared" ref="AN137:AN200" si="154">(AM137+AL137+AK137*(1+RdsonTopTc*Ta-RdsonTopTc*25))/(1-AK137*RdsonTopTc*ThetaJA_Q4)</f>
        <v>0</v>
      </c>
      <c r="AO137" s="386">
        <f t="shared" ref="AO137:AO200" si="155">CHOOSE(J137, SQRT(Iout^2+(P137^2)/12), SQRT(1-O137)*SQRT(L137^2+(P137^2)/12), SQRT(1-O137)*SQRT(M137^2+(P137^2)/12))</f>
        <v>20.528875901019237</v>
      </c>
      <c r="AP137" s="386">
        <f t="shared" ref="AP137:AP200" si="156">Rdson3*AO137^2</f>
        <v>0.2107173728797242</v>
      </c>
      <c r="AQ137" s="386">
        <f t="shared" ref="AQ137:AQ200" si="157">CHOOSE(J137, 0, IF(L137&lt;P137/2,Deadtime*Fsw*IF(VfdSky_Q3&gt;0,0,Vsd_Q3)*(L137+P137/2), 2*Deadtime*Fsw*IF(VfdSky_Q3&gt;0,0,Vsd_Q3)*L137), IF(L137&lt;P137/2,Deadtime*Fsw/2*IF(VfdSky_Q3&gt;0,0,Vsd_Q3)*(L137+P137/2), 2*Deadtime*Fsw/2*IF(VfdSky_Q3&gt;0,0,Vsd_Q3)*L137))</f>
        <v>0</v>
      </c>
      <c r="AR137" s="386">
        <f t="shared" ref="AR137:AR200" si="158">(AQ137+AP137*(1+RdsonBotTc*Ta-RdsonBotTc*25))/(1-AP137*RdsonBotTc*ThetaJA_Q3)</f>
        <v>0.2199884505525887</v>
      </c>
      <c r="AS137" s="386">
        <f t="shared" ref="AS137:AS200" si="159">CHOOSE(J137, Rdson3*Q137^2, Rdson1*Q137^2, 0)</f>
        <v>0.2107173728797242</v>
      </c>
      <c r="AT137" s="386">
        <f t="shared" ref="AT137:AT200" si="160">CHOOSE(J137, 2*Deadtime*Fsw*IF(VfdSky_Q2&gt;0,VfdSky_Q2,0)*K137, 2*Deadtime*Fsw*IF(VfdSky_Q3&gt;0,VfdSky_Q3,0)*L137, 2*Deadtime*Fsw/2*IF(VfdSky_Q2&gt;0,VfdSky_Q2,0)*K137+2*Deadtime*Fsw/2*IF(VfdSky_Q3&gt;0,VfdSky_Q3,0)*L137)</f>
        <v>0.27500000000000002</v>
      </c>
      <c r="AU137" s="386">
        <f t="shared" ref="AU137:AU200" si="161">CHOOSE(J137, IF(QrrSky_Q2&gt;0,QrrSky_Q2,Qrr_Q2)*Fsw*(H137-K137*Rdson1), IF(QrrSky_Q3&gt;0,QrrSky_Q3,Qrr_Q3)*Fsw*Vout,  IF(QrrSky_Q2&gt;0,QrrSky_Q2,Qrr_Q2)*Fsw/2*(H137-K137*Rdson1)+IF(QrrSky_Q3&gt;0,QrrSky_Q3,Qrr_Q3)*Fsw/2*Vout)</f>
        <v>2.3321375000000004</v>
      </c>
      <c r="AV137" s="386">
        <f t="shared" ref="AV137:AV200" si="162">CHOOSE(J137, Rs*AF137^2, Rs*AJ137^2, Rs*(AF137^2+AJ137^2))</f>
        <v>0.78326657747577499</v>
      </c>
      <c r="AW137" s="386" t="e">
        <f t="shared" ref="AW137:AW200" si="163">Rshunt_std/1000*Iout^2</f>
        <v>#VALUE!</v>
      </c>
      <c r="AX137" s="386">
        <f t="shared" ref="AX137:AX200" si="164">IF(Vout&gt;8, Iq*Vout, Iq*H137)</f>
        <v>3.8400000000000004E-2</v>
      </c>
      <c r="AY137" s="386">
        <f t="shared" ref="AY137:AY200" si="165">CHOOSE(J137, (Qg_Q1+Qg_Q2)*Fsw, (Qg_Q3+Qg_Q4)*Fsw, (Qg_Q1+Qg_Q2+Qg_Q3+Qg_Q4)*Fsw/2)*IF(Vout&gt;8, Vout, H137)</f>
        <v>0.61440000000000006</v>
      </c>
      <c r="AZ137" s="386">
        <f t="shared" ref="AZ137:AZ200" si="166">(Vin-Vdd)*Fsw*(Qg_Q1+Qg_Q2)+(RdsonDRT+RdsonDRT2)*Fsw*Qg_Q1*Vdd/(RdsonDRT+2*Rgate1+RdsonDRT2)+(RdsonDRB+RdsonDRB2)*Fsw*Qg_Q2*Vdd/(RdsonDRB+2*Rgate2+RdsonDRB2)</f>
        <v>0.47314285714285709</v>
      </c>
      <c r="BA137" s="386">
        <f t="shared" si="123"/>
        <v>0.65280000000000005</v>
      </c>
      <c r="BB137" s="386" t="e">
        <f t="shared" si="124"/>
        <v>#VALUE!</v>
      </c>
      <c r="BC137">
        <f t="shared" ref="BC137:BC200" si="167">Vout*K137</f>
        <v>256</v>
      </c>
      <c r="BD137" s="604" t="e">
        <f t="shared" si="125"/>
        <v>#VALUE!</v>
      </c>
      <c r="BE137" s="614">
        <f t="shared" ref="BE137:BE200" si="168">IF(H137&gt;Vout,ThetaJA_Q1*(AE137+AU137),ThetaJA_Q4*(AN137+AU137))</f>
        <v>258.19838264518876</v>
      </c>
      <c r="BF137" s="614">
        <f t="shared" ref="BF137:BF200" si="169">IF(H137&gt;Vout, AI137*ThetaJA_Q2, ThetaJA_Q3*AR137)</f>
        <v>27.535324916266934</v>
      </c>
      <c r="BG137" s="9"/>
      <c r="BH137" s="4" t="e">
        <f t="shared" si="126"/>
        <v>#VALUE!</v>
      </c>
      <c r="BI137" s="386">
        <f t="shared" si="127"/>
        <v>9.4436847677267863</v>
      </c>
      <c r="BJ137" s="386">
        <f t="shared" si="128"/>
        <v>5.9346626017817021</v>
      </c>
      <c r="BK137" s="386">
        <f t="shared" si="129"/>
        <v>1.3203118733253389</v>
      </c>
      <c r="BL137" s="386">
        <f t="shared" si="130"/>
        <v>0.78326657747577499</v>
      </c>
    </row>
    <row r="138" spans="7:64" x14ac:dyDescent="0.2">
      <c r="G138">
        <v>129</v>
      </c>
      <c r="H138" s="610">
        <f t="shared" si="131"/>
        <v>34.155000000000001</v>
      </c>
      <c r="I138" s="4" t="str">
        <f t="shared" si="132"/>
        <v>BUCK</v>
      </c>
      <c r="J138">
        <f t="shared" ref="J138:J201" si="170">IF(I138="BOOST",2, IF(I138="BUCK", 1,3))</f>
        <v>1</v>
      </c>
      <c r="K138">
        <f t="shared" si="133"/>
        <v>20</v>
      </c>
      <c r="L138" s="4">
        <f t="shared" si="134"/>
        <v>8.3280469753899702</v>
      </c>
      <c r="M138" s="4">
        <f t="shared" si="135"/>
        <v>20</v>
      </c>
      <c r="N138" s="386">
        <f t="shared" si="136"/>
        <v>0.37830775975449366</v>
      </c>
      <c r="O138" s="386">
        <f t="shared" ref="O138:O169" si="171">CHOOSE(J138,0,(Vout+(Rdson3+Rdcr)*L138-H138)/(Vout+(Rdson3-Rdson4-Rs)*L138),IF(H138&gt;Vout,D_min_boost_exitBB_to_buck, (Vout-H138*D_max_buck_BB)/Vout))</f>
        <v>0</v>
      </c>
      <c r="P138" s="4">
        <f t="shared" si="137"/>
        <v>16.094120038579575</v>
      </c>
      <c r="Q138" s="386">
        <f t="shared" si="138"/>
        <v>20.5325365777835</v>
      </c>
      <c r="R138" s="386">
        <f t="shared" si="116"/>
        <v>1.0462351061109201</v>
      </c>
      <c r="S138" s="386">
        <f t="shared" si="117"/>
        <v>8.4657318394004424</v>
      </c>
      <c r="T138" s="386">
        <f t="shared" si="118"/>
        <v>9.5119669455113627</v>
      </c>
      <c r="U138" s="4">
        <f t="shared" si="139"/>
        <v>4.6459722683220344</v>
      </c>
      <c r="V138" s="386">
        <f t="shared" si="119"/>
        <v>4.3170116636034775E-2</v>
      </c>
      <c r="W138" s="386">
        <f t="shared" si="120"/>
        <v>4.3170116636034775E-2</v>
      </c>
      <c r="X138" s="386">
        <f t="shared" si="140"/>
        <v>9.9575604887767462</v>
      </c>
      <c r="Y138" s="386">
        <f t="shared" si="121"/>
        <v>0.1983060217752956</v>
      </c>
      <c r="Z138" s="603">
        <f t="shared" si="122"/>
        <v>0.1983060217752956</v>
      </c>
      <c r="AA138" s="386">
        <f t="shared" si="141"/>
        <v>12.628891438216449</v>
      </c>
      <c r="AB138" s="386">
        <f t="shared" si="142"/>
        <v>0.30302890802068777</v>
      </c>
      <c r="AC138" s="386">
        <f t="shared" si="143"/>
        <v>2.3681458641011073</v>
      </c>
      <c r="AD138">
        <f t="shared" si="144"/>
        <v>0</v>
      </c>
      <c r="AE138" s="386">
        <f t="shared" si="145"/>
        <v>2.8435077838600846</v>
      </c>
      <c r="AF138" s="386">
        <f t="shared" si="146"/>
        <v>16.189384156284657</v>
      </c>
      <c r="AG138" s="386">
        <f t="shared" si="147"/>
        <v>0.49798270278354534</v>
      </c>
      <c r="AH138" s="386">
        <f t="shared" si="148"/>
        <v>0</v>
      </c>
      <c r="AI138" s="386">
        <f t="shared" si="149"/>
        <v>0.55306618112222972</v>
      </c>
      <c r="AJ138" s="386">
        <f t="shared" si="150"/>
        <v>0</v>
      </c>
      <c r="AK138" s="386">
        <f t="shared" si="151"/>
        <v>0</v>
      </c>
      <c r="AL138" s="386">
        <f t="shared" si="152"/>
        <v>0</v>
      </c>
      <c r="AM138">
        <f t="shared" si="153"/>
        <v>0</v>
      </c>
      <c r="AN138" s="386">
        <f t="shared" si="154"/>
        <v>0</v>
      </c>
      <c r="AO138" s="386">
        <f t="shared" si="155"/>
        <v>20.5325365777835</v>
      </c>
      <c r="AP138" s="386">
        <f t="shared" si="156"/>
        <v>0.21079252915900867</v>
      </c>
      <c r="AQ138" s="386">
        <f t="shared" si="157"/>
        <v>0</v>
      </c>
      <c r="AR138" s="386">
        <f t="shared" si="158"/>
        <v>0.22007036701000679</v>
      </c>
      <c r="AS138" s="386">
        <f t="shared" si="159"/>
        <v>0.21079252915900867</v>
      </c>
      <c r="AT138" s="386">
        <f t="shared" si="160"/>
        <v>0.27500000000000002</v>
      </c>
      <c r="AU138" s="386">
        <f t="shared" si="161"/>
        <v>2.3455437500000005</v>
      </c>
      <c r="AV138" s="386">
        <f t="shared" si="162"/>
        <v>0.78628847807928204</v>
      </c>
      <c r="AW138" s="386" t="e">
        <f t="shared" si="163"/>
        <v>#VALUE!</v>
      </c>
      <c r="AX138" s="386">
        <f t="shared" si="164"/>
        <v>3.8400000000000004E-2</v>
      </c>
      <c r="AY138" s="386">
        <f t="shared" si="165"/>
        <v>0.61440000000000006</v>
      </c>
      <c r="AZ138" s="386">
        <f t="shared" si="166"/>
        <v>0.47314285714285709</v>
      </c>
      <c r="BA138" s="386">
        <f t="shared" si="123"/>
        <v>0.65280000000000005</v>
      </c>
      <c r="BB138" s="386" t="e">
        <f t="shared" si="124"/>
        <v>#VALUE!</v>
      </c>
      <c r="BC138">
        <f t="shared" si="167"/>
        <v>256</v>
      </c>
      <c r="BD138" s="604" t="e">
        <f t="shared" si="125"/>
        <v>#VALUE!</v>
      </c>
      <c r="BE138" s="614">
        <f t="shared" si="168"/>
        <v>259.45257669300423</v>
      </c>
      <c r="BF138" s="614">
        <f t="shared" si="169"/>
        <v>27.653309056111485</v>
      </c>
      <c r="BG138" s="9"/>
      <c r="BH138" s="4" t="e">
        <f t="shared" si="126"/>
        <v>#VALUE!</v>
      </c>
      <c r="BI138" s="386">
        <f t="shared" si="127"/>
        <v>9.5119669455113627</v>
      </c>
      <c r="BJ138" s="386">
        <f t="shared" si="128"/>
        <v>5.9621880819923216</v>
      </c>
      <c r="BK138" s="386">
        <f t="shared" si="129"/>
        <v>1.3270956186222298</v>
      </c>
      <c r="BL138" s="386">
        <f t="shared" si="130"/>
        <v>0.78628847807928204</v>
      </c>
    </row>
    <row r="139" spans="7:64" x14ac:dyDescent="0.2">
      <c r="G139">
        <v>130</v>
      </c>
      <c r="H139" s="610">
        <f t="shared" si="131"/>
        <v>34.35</v>
      </c>
      <c r="I139" s="4" t="str">
        <f t="shared" si="132"/>
        <v>BUCK</v>
      </c>
      <c r="J139">
        <f t="shared" si="170"/>
        <v>1</v>
      </c>
      <c r="K139">
        <f t="shared" si="133"/>
        <v>20</v>
      </c>
      <c r="L139" s="4">
        <f t="shared" si="134"/>
        <v>8.2807698528222531</v>
      </c>
      <c r="M139" s="4">
        <f t="shared" si="135"/>
        <v>20</v>
      </c>
      <c r="N139" s="386">
        <f t="shared" si="136"/>
        <v>0.3761639058413252</v>
      </c>
      <c r="O139" s="386">
        <f t="shared" si="171"/>
        <v>0</v>
      </c>
      <c r="P139" s="4">
        <f t="shared" si="137"/>
        <v>16.149619271142114</v>
      </c>
      <c r="Q139" s="386">
        <f t="shared" si="138"/>
        <v>20.536167693857514</v>
      </c>
      <c r="R139" s="386">
        <f t="shared" si="116"/>
        <v>1.0466361728667861</v>
      </c>
      <c r="S139" s="386">
        <f t="shared" si="117"/>
        <v>8.5331446480672266</v>
      </c>
      <c r="T139" s="386">
        <f t="shared" si="118"/>
        <v>9.5797808209340118</v>
      </c>
      <c r="U139" s="4">
        <f t="shared" si="139"/>
        <v>4.6619935167519344</v>
      </c>
      <c r="V139" s="386">
        <f t="shared" si="119"/>
        <v>4.3468367100474144E-2</v>
      </c>
      <c r="W139" s="386">
        <f t="shared" si="120"/>
        <v>4.3468367100474144E-2</v>
      </c>
      <c r="X139" s="386">
        <f t="shared" si="140"/>
        <v>9.9481703180031857</v>
      </c>
      <c r="Y139" s="386">
        <f t="shared" si="121"/>
        <v>0.19793218535199922</v>
      </c>
      <c r="Z139" s="603">
        <f t="shared" si="122"/>
        <v>0.19793218535199922</v>
      </c>
      <c r="AA139" s="386">
        <f t="shared" si="141"/>
        <v>12.59528394721848</v>
      </c>
      <c r="AB139" s="386">
        <f t="shared" si="142"/>
        <v>0.30141823765101311</v>
      </c>
      <c r="AC139" s="386">
        <f t="shared" si="143"/>
        <v>2.3816662401368185</v>
      </c>
      <c r="AD139">
        <f t="shared" si="144"/>
        <v>0</v>
      </c>
      <c r="AE139" s="386">
        <f t="shared" si="145"/>
        <v>2.8552067554598253</v>
      </c>
      <c r="AF139" s="386">
        <f t="shared" si="146"/>
        <v>16.220141979624518</v>
      </c>
      <c r="AG139" s="386">
        <f t="shared" si="147"/>
        <v>0.49987671109443738</v>
      </c>
      <c r="AH139" s="386">
        <f t="shared" si="148"/>
        <v>0</v>
      </c>
      <c r="AI139" s="386">
        <f t="shared" si="149"/>
        <v>0.55540335120019368</v>
      </c>
      <c r="AJ139" s="386">
        <f t="shared" si="150"/>
        <v>0</v>
      </c>
      <c r="AK139" s="386">
        <f t="shared" si="151"/>
        <v>0</v>
      </c>
      <c r="AL139" s="386">
        <f t="shared" si="152"/>
        <v>0</v>
      </c>
      <c r="AM139">
        <f t="shared" si="153"/>
        <v>0</v>
      </c>
      <c r="AN139" s="386">
        <f t="shared" si="154"/>
        <v>0</v>
      </c>
      <c r="AO139" s="386">
        <f t="shared" si="155"/>
        <v>20.536167693857514</v>
      </c>
      <c r="AP139" s="386">
        <f t="shared" si="156"/>
        <v>0.21086709177511853</v>
      </c>
      <c r="AQ139" s="386">
        <f t="shared" si="157"/>
        <v>0</v>
      </c>
      <c r="AR139" s="386">
        <f t="shared" si="158"/>
        <v>0.22015163894592935</v>
      </c>
      <c r="AS139" s="386">
        <f t="shared" si="159"/>
        <v>0.21086709177511853</v>
      </c>
      <c r="AT139" s="386">
        <f t="shared" si="160"/>
        <v>0.27500000000000002</v>
      </c>
      <c r="AU139" s="386">
        <f t="shared" si="161"/>
        <v>2.3589500000000005</v>
      </c>
      <c r="AV139" s="386">
        <f t="shared" si="162"/>
        <v>0.78927901751753271</v>
      </c>
      <c r="AW139" s="386" t="e">
        <f t="shared" si="163"/>
        <v>#VALUE!</v>
      </c>
      <c r="AX139" s="386">
        <f t="shared" si="164"/>
        <v>3.8400000000000004E-2</v>
      </c>
      <c r="AY139" s="386">
        <f t="shared" si="165"/>
        <v>0.61440000000000006</v>
      </c>
      <c r="AZ139" s="386">
        <f t="shared" si="166"/>
        <v>0.47314285714285709</v>
      </c>
      <c r="BA139" s="386">
        <f t="shared" si="123"/>
        <v>0.65280000000000005</v>
      </c>
      <c r="BB139" s="386" t="e">
        <f t="shared" si="124"/>
        <v>#VALUE!</v>
      </c>
      <c r="BC139">
        <f t="shared" si="167"/>
        <v>256</v>
      </c>
      <c r="BD139" s="604" t="e">
        <f t="shared" si="125"/>
        <v>#VALUE!</v>
      </c>
      <c r="BE139" s="614">
        <f t="shared" si="168"/>
        <v>260.7078377729913</v>
      </c>
      <c r="BF139" s="614">
        <f t="shared" si="169"/>
        <v>27.770167560009686</v>
      </c>
      <c r="BG139" s="9"/>
      <c r="BH139" s="4" t="e">
        <f t="shared" si="126"/>
        <v>#VALUE!</v>
      </c>
      <c r="BI139" s="386">
        <f t="shared" si="127"/>
        <v>9.5797808209340118</v>
      </c>
      <c r="BJ139" s="386">
        <f t="shared" si="128"/>
        <v>5.9897117456059483</v>
      </c>
      <c r="BK139" s="386">
        <f t="shared" si="129"/>
        <v>1.3338568512001938</v>
      </c>
      <c r="BL139" s="386">
        <f t="shared" si="130"/>
        <v>0.78927901751753271</v>
      </c>
    </row>
    <row r="140" spans="7:64" x14ac:dyDescent="0.2">
      <c r="G140">
        <v>131</v>
      </c>
      <c r="H140" s="610">
        <f t="shared" si="131"/>
        <v>34.545000000000002</v>
      </c>
      <c r="I140" s="4" t="str">
        <f t="shared" si="132"/>
        <v>BUCK</v>
      </c>
      <c r="J140">
        <f t="shared" si="170"/>
        <v>1</v>
      </c>
      <c r="K140">
        <f t="shared" si="133"/>
        <v>20</v>
      </c>
      <c r="L140" s="4">
        <f t="shared" si="134"/>
        <v>8.2340264711085371</v>
      </c>
      <c r="M140" s="4">
        <f t="shared" si="135"/>
        <v>20</v>
      </c>
      <c r="N140" s="386">
        <f t="shared" si="136"/>
        <v>0.37404421326397919</v>
      </c>
      <c r="O140" s="386">
        <f t="shared" si="171"/>
        <v>0</v>
      </c>
      <c r="P140" s="4">
        <f t="shared" si="137"/>
        <v>16.204493024707414</v>
      </c>
      <c r="Q140" s="386">
        <f t="shared" si="138"/>
        <v>20.539769542255886</v>
      </c>
      <c r="R140" s="386">
        <f t="shared" si="116"/>
        <v>1.0470341004628709</v>
      </c>
      <c r="S140" s="386">
        <f t="shared" si="117"/>
        <v>8.6000953847310164</v>
      </c>
      <c r="T140" s="386">
        <f t="shared" si="118"/>
        <v>9.6471294851938865</v>
      </c>
      <c r="U140" s="4">
        <f t="shared" si="139"/>
        <v>4.6778342049481196</v>
      </c>
      <c r="V140" s="386">
        <f t="shared" si="119"/>
        <v>4.3764265697965217E-2</v>
      </c>
      <c r="W140" s="386">
        <f t="shared" si="120"/>
        <v>4.3764265697965217E-2</v>
      </c>
      <c r="X140" s="386">
        <f t="shared" si="140"/>
        <v>9.9386836225193225</v>
      </c>
      <c r="Y140" s="386">
        <f t="shared" si="121"/>
        <v>0.19755486429706762</v>
      </c>
      <c r="Z140" s="603">
        <f t="shared" si="122"/>
        <v>0.19755486429706762</v>
      </c>
      <c r="AA140" s="386">
        <f t="shared" si="141"/>
        <v>12.561949310183801</v>
      </c>
      <c r="AB140" s="386">
        <f t="shared" si="142"/>
        <v>0.2998248838960918</v>
      </c>
      <c r="AC140" s="386">
        <f t="shared" si="143"/>
        <v>2.3951866161725301</v>
      </c>
      <c r="AD140">
        <f t="shared" si="144"/>
        <v>0</v>
      </c>
      <c r="AE140" s="386">
        <f t="shared" si="145"/>
        <v>2.8669266926192569</v>
      </c>
      <c r="AF140" s="386">
        <f t="shared" si="146"/>
        <v>16.250524987745944</v>
      </c>
      <c r="AG140" s="386">
        <f t="shared" si="147"/>
        <v>0.5017511685169751</v>
      </c>
      <c r="AH140" s="386">
        <f t="shared" si="148"/>
        <v>0</v>
      </c>
      <c r="AI140" s="386">
        <f t="shared" si="149"/>
        <v>0.55771833363824053</v>
      </c>
      <c r="AJ140" s="386">
        <f t="shared" si="150"/>
        <v>0</v>
      </c>
      <c r="AK140" s="386">
        <f t="shared" si="151"/>
        <v>0</v>
      </c>
      <c r="AL140" s="386">
        <f t="shared" si="152"/>
        <v>0</v>
      </c>
      <c r="AM140">
        <f t="shared" si="153"/>
        <v>0</v>
      </c>
      <c r="AN140" s="386">
        <f t="shared" si="154"/>
        <v>0</v>
      </c>
      <c r="AO140" s="386">
        <f t="shared" si="155"/>
        <v>20.539769542255886</v>
      </c>
      <c r="AP140" s="386">
        <f t="shared" si="156"/>
        <v>0.21094106642449129</v>
      </c>
      <c r="AQ140" s="386">
        <f t="shared" si="157"/>
        <v>0</v>
      </c>
      <c r="AR140" s="386">
        <f t="shared" si="158"/>
        <v>0.22023227250933286</v>
      </c>
      <c r="AS140" s="386">
        <f t="shared" si="159"/>
        <v>0.21094106642449129</v>
      </c>
      <c r="AT140" s="386">
        <f t="shared" si="160"/>
        <v>0.27500000000000002</v>
      </c>
      <c r="AU140" s="386">
        <f t="shared" si="161"/>
        <v>2.3723562500000006</v>
      </c>
      <c r="AV140" s="386">
        <f t="shared" si="162"/>
        <v>0.79223868713206602</v>
      </c>
      <c r="AW140" s="386" t="e">
        <f t="shared" si="163"/>
        <v>#VALUE!</v>
      </c>
      <c r="AX140" s="386">
        <f t="shared" si="164"/>
        <v>3.8400000000000004E-2</v>
      </c>
      <c r="AY140" s="386">
        <f t="shared" si="165"/>
        <v>0.61440000000000006</v>
      </c>
      <c r="AZ140" s="386">
        <f t="shared" si="166"/>
        <v>0.47314285714285709</v>
      </c>
      <c r="BA140" s="386">
        <f t="shared" si="123"/>
        <v>0.65280000000000005</v>
      </c>
      <c r="BB140" s="386" t="e">
        <f t="shared" si="124"/>
        <v>#VALUE!</v>
      </c>
      <c r="BC140">
        <f t="shared" si="167"/>
        <v>256</v>
      </c>
      <c r="BD140" s="604" t="e">
        <f t="shared" si="125"/>
        <v>#VALUE!</v>
      </c>
      <c r="BE140" s="614">
        <f t="shared" si="168"/>
        <v>261.96414713096289</v>
      </c>
      <c r="BF140" s="614">
        <f t="shared" si="169"/>
        <v>27.885916681912025</v>
      </c>
      <c r="BG140" s="9"/>
      <c r="BH140" s="4" t="e">
        <f t="shared" si="126"/>
        <v>#VALUE!</v>
      </c>
      <c r="BI140" s="386">
        <f t="shared" si="127"/>
        <v>9.6471294851938865</v>
      </c>
      <c r="BJ140" s="386">
        <f t="shared" si="128"/>
        <v>6.0172335487668303</v>
      </c>
      <c r="BK140" s="386">
        <f t="shared" si="129"/>
        <v>1.3405958961382409</v>
      </c>
      <c r="BL140" s="386">
        <f t="shared" si="130"/>
        <v>0.79223868713206602</v>
      </c>
    </row>
    <row r="141" spans="7:64" x14ac:dyDescent="0.2">
      <c r="G141">
        <v>132</v>
      </c>
      <c r="H141" s="610">
        <f t="shared" si="131"/>
        <v>34.74</v>
      </c>
      <c r="I141" s="4" t="str">
        <f t="shared" si="132"/>
        <v>BUCK</v>
      </c>
      <c r="J141">
        <f t="shared" si="170"/>
        <v>1</v>
      </c>
      <c r="K141">
        <f t="shared" si="133"/>
        <v>20</v>
      </c>
      <c r="L141" s="4">
        <f t="shared" si="134"/>
        <v>8.1878078423846983</v>
      </c>
      <c r="M141" s="4">
        <f t="shared" si="135"/>
        <v>20</v>
      </c>
      <c r="N141" s="386">
        <f t="shared" si="136"/>
        <v>0.37194827586206897</v>
      </c>
      <c r="O141" s="386">
        <f t="shared" si="171"/>
        <v>0</v>
      </c>
      <c r="P141" s="4">
        <f t="shared" si="137"/>
        <v>16.258751813793108</v>
      </c>
      <c r="Q141" s="386">
        <f t="shared" si="138"/>
        <v>20.543342414154765</v>
      </c>
      <c r="R141" s="386">
        <f t="shared" si="116"/>
        <v>1.0474289188224573</v>
      </c>
      <c r="S141" s="386">
        <f t="shared" si="117"/>
        <v>8.6665871413125934</v>
      </c>
      <c r="T141" s="386">
        <f t="shared" si="118"/>
        <v>9.7140160601350516</v>
      </c>
      <c r="U141" s="4">
        <f t="shared" si="139"/>
        <v>4.6934973681903838</v>
      </c>
      <c r="V141" s="386">
        <f t="shared" si="119"/>
        <v>4.4057835090420119E-2</v>
      </c>
      <c r="W141" s="386">
        <f t="shared" si="120"/>
        <v>4.4057835090420119E-2</v>
      </c>
      <c r="X141" s="386">
        <f t="shared" si="140"/>
        <v>9.929104603496441</v>
      </c>
      <c r="Y141" s="386">
        <f t="shared" si="121"/>
        <v>0.19717423645434842</v>
      </c>
      <c r="Z141" s="603">
        <f t="shared" si="122"/>
        <v>0.19717423645434842</v>
      </c>
      <c r="AA141" s="386">
        <f t="shared" si="141"/>
        <v>12.528883758933841</v>
      </c>
      <c r="AB141" s="386">
        <f t="shared" si="142"/>
        <v>0.2982485636652647</v>
      </c>
      <c r="AC141" s="386">
        <f t="shared" si="143"/>
        <v>2.4087069922082414</v>
      </c>
      <c r="AD141">
        <f t="shared" si="144"/>
        <v>0</v>
      </c>
      <c r="AE141" s="386">
        <f t="shared" si="145"/>
        <v>2.8786672291461262</v>
      </c>
      <c r="AF141" s="386">
        <f t="shared" si="146"/>
        <v>16.280540202964211</v>
      </c>
      <c r="AG141" s="386">
        <f t="shared" si="147"/>
        <v>0.5036063796706346</v>
      </c>
      <c r="AH141" s="386">
        <f t="shared" si="148"/>
        <v>0</v>
      </c>
      <c r="AI141" s="386">
        <f t="shared" si="149"/>
        <v>0.56001144716701312</v>
      </c>
      <c r="AJ141" s="386">
        <f t="shared" si="150"/>
        <v>0</v>
      </c>
      <c r="AK141" s="386">
        <f t="shared" si="151"/>
        <v>0</v>
      </c>
      <c r="AL141" s="386">
        <f t="shared" si="152"/>
        <v>0</v>
      </c>
      <c r="AM141">
        <f t="shared" si="153"/>
        <v>0</v>
      </c>
      <c r="AN141" s="386">
        <f t="shared" si="154"/>
        <v>0</v>
      </c>
      <c r="AO141" s="386">
        <f t="shared" si="155"/>
        <v>20.543342414154765</v>
      </c>
      <c r="AP141" s="386">
        <f t="shared" si="156"/>
        <v>0.21101445877260505</v>
      </c>
      <c r="AQ141" s="386">
        <f t="shared" si="157"/>
        <v>0</v>
      </c>
      <c r="AR141" s="386">
        <f t="shared" si="158"/>
        <v>0.22031227381668289</v>
      </c>
      <c r="AS141" s="386">
        <f t="shared" si="159"/>
        <v>0.21101445877260505</v>
      </c>
      <c r="AT141" s="386">
        <f t="shared" si="160"/>
        <v>0.27500000000000002</v>
      </c>
      <c r="AU141" s="386">
        <f t="shared" si="161"/>
        <v>2.3857625000000007</v>
      </c>
      <c r="AV141" s="386">
        <f t="shared" si="162"/>
        <v>0.79516796790100197</v>
      </c>
      <c r="AW141" s="386" t="e">
        <f t="shared" si="163"/>
        <v>#VALUE!</v>
      </c>
      <c r="AX141" s="386">
        <f t="shared" si="164"/>
        <v>3.8400000000000004E-2</v>
      </c>
      <c r="AY141" s="386">
        <f t="shared" si="165"/>
        <v>0.61440000000000006</v>
      </c>
      <c r="AZ141" s="386">
        <f t="shared" si="166"/>
        <v>0.47314285714285709</v>
      </c>
      <c r="BA141" s="386">
        <f t="shared" si="123"/>
        <v>0.65280000000000005</v>
      </c>
      <c r="BB141" s="386" t="e">
        <f t="shared" si="124"/>
        <v>#VALUE!</v>
      </c>
      <c r="BC141">
        <f t="shared" si="167"/>
        <v>256</v>
      </c>
      <c r="BD141" s="604" t="e">
        <f t="shared" si="125"/>
        <v>#VALUE!</v>
      </c>
      <c r="BE141" s="614">
        <f t="shared" si="168"/>
        <v>263.2214864573063</v>
      </c>
      <c r="BF141" s="614">
        <f t="shared" si="169"/>
        <v>28.000572358350656</v>
      </c>
      <c r="BG141" s="9"/>
      <c r="BH141" s="4" t="e">
        <f t="shared" si="126"/>
        <v>#VALUE!</v>
      </c>
      <c r="BI141" s="386">
        <f t="shared" si="127"/>
        <v>9.7140160601350516</v>
      </c>
      <c r="BJ141" s="386">
        <f t="shared" si="128"/>
        <v>6.0447534501298232</v>
      </c>
      <c r="BK141" s="386">
        <f t="shared" si="129"/>
        <v>1.3473130721670135</v>
      </c>
      <c r="BL141" s="386">
        <f t="shared" si="130"/>
        <v>0.79516796790100197</v>
      </c>
    </row>
    <row r="142" spans="7:64" x14ac:dyDescent="0.2">
      <c r="G142">
        <v>133</v>
      </c>
      <c r="H142" s="610">
        <f t="shared" si="131"/>
        <v>34.935000000000002</v>
      </c>
      <c r="I142" s="4" t="str">
        <f t="shared" si="132"/>
        <v>BUCK</v>
      </c>
      <c r="J142">
        <f t="shared" si="170"/>
        <v>1</v>
      </c>
      <c r="K142">
        <f t="shared" si="133"/>
        <v>20</v>
      </c>
      <c r="L142" s="4">
        <f t="shared" si="134"/>
        <v>8.1421051794602679</v>
      </c>
      <c r="M142" s="4">
        <f t="shared" si="135"/>
        <v>20</v>
      </c>
      <c r="N142" s="386">
        <f t="shared" si="136"/>
        <v>0.36987569652807545</v>
      </c>
      <c r="O142" s="386">
        <f t="shared" si="171"/>
        <v>0</v>
      </c>
      <c r="P142" s="4">
        <f t="shared" si="137"/>
        <v>16.312405918559797</v>
      </c>
      <c r="Q142" s="386">
        <f t="shared" si="138"/>
        <v>20.546886598809127</v>
      </c>
      <c r="R142" s="386">
        <f t="shared" si="116"/>
        <v>1.0478206577038709</v>
      </c>
      <c r="S142" s="386">
        <f t="shared" si="117"/>
        <v>8.7326230371535871</v>
      </c>
      <c r="T142" s="386">
        <f t="shared" si="118"/>
        <v>9.7804436948574587</v>
      </c>
      <c r="U142" s="4">
        <f t="shared" si="139"/>
        <v>4.708985974105472</v>
      </c>
      <c r="V142" s="386">
        <f t="shared" si="119"/>
        <v>4.4349097808644128E-2</v>
      </c>
      <c r="W142" s="386">
        <f t="shared" si="120"/>
        <v>4.4349097808644128E-2</v>
      </c>
      <c r="X142" s="386">
        <f t="shared" si="140"/>
        <v>9.9194373130869096</v>
      </c>
      <c r="Y142" s="386">
        <f t="shared" si="121"/>
        <v>0.19679047321652168</v>
      </c>
      <c r="Z142" s="603">
        <f t="shared" si="122"/>
        <v>0.19679047321652168</v>
      </c>
      <c r="AA142" s="386">
        <f t="shared" si="141"/>
        <v>12.496083599768857</v>
      </c>
      <c r="AB142" s="386">
        <f t="shared" si="142"/>
        <v>0.29668900013158317</v>
      </c>
      <c r="AC142" s="386">
        <f t="shared" si="143"/>
        <v>2.4222273682439521</v>
      </c>
      <c r="AD142">
        <f t="shared" si="144"/>
        <v>0</v>
      </c>
      <c r="AE142" s="386">
        <f t="shared" si="145"/>
        <v>2.8904280074734605</v>
      </c>
      <c r="AF142" s="386">
        <f t="shared" si="146"/>
        <v>16.310194467630051</v>
      </c>
      <c r="AG142" s="386">
        <f t="shared" si="147"/>
        <v>0.50544264278662887</v>
      </c>
      <c r="AH142" s="386">
        <f t="shared" si="148"/>
        <v>0</v>
      </c>
      <c r="AI142" s="386">
        <f t="shared" si="149"/>
        <v>0.56228300432681944</v>
      </c>
      <c r="AJ142" s="386">
        <f t="shared" si="150"/>
        <v>0</v>
      </c>
      <c r="AK142" s="386">
        <f t="shared" si="151"/>
        <v>0</v>
      </c>
      <c r="AL142" s="386">
        <f t="shared" si="152"/>
        <v>0</v>
      </c>
      <c r="AM142">
        <f t="shared" si="153"/>
        <v>0</v>
      </c>
      <c r="AN142" s="386">
        <f t="shared" si="154"/>
        <v>0</v>
      </c>
      <c r="AO142" s="386">
        <f t="shared" si="155"/>
        <v>20.546886598809127</v>
      </c>
      <c r="AP142" s="386">
        <f t="shared" si="156"/>
        <v>0.21108727445216108</v>
      </c>
      <c r="AQ142" s="386">
        <f t="shared" si="157"/>
        <v>0</v>
      </c>
      <c r="AR142" s="386">
        <f t="shared" si="158"/>
        <v>0.22039164894993282</v>
      </c>
      <c r="AS142" s="386">
        <f t="shared" si="159"/>
        <v>0.21108727445216108</v>
      </c>
      <c r="AT142" s="386">
        <f t="shared" si="160"/>
        <v>0.27500000000000002</v>
      </c>
      <c r="AU142" s="386">
        <f t="shared" si="161"/>
        <v>2.3991687500000007</v>
      </c>
      <c r="AV142" s="386">
        <f t="shared" si="162"/>
        <v>0.79806733071572988</v>
      </c>
      <c r="AW142" s="386" t="e">
        <f t="shared" si="163"/>
        <v>#VALUE!</v>
      </c>
      <c r="AX142" s="386">
        <f t="shared" si="164"/>
        <v>3.8400000000000004E-2</v>
      </c>
      <c r="AY142" s="386">
        <f t="shared" si="165"/>
        <v>0.61440000000000006</v>
      </c>
      <c r="AZ142" s="386">
        <f t="shared" si="166"/>
        <v>0.47314285714285709</v>
      </c>
      <c r="BA142" s="386">
        <f t="shared" si="123"/>
        <v>0.65280000000000005</v>
      </c>
      <c r="BB142" s="386" t="e">
        <f t="shared" si="124"/>
        <v>#VALUE!</v>
      </c>
      <c r="BC142">
        <f t="shared" si="167"/>
        <v>256</v>
      </c>
      <c r="BD142" s="604" t="e">
        <f t="shared" si="125"/>
        <v>#VALUE!</v>
      </c>
      <c r="BE142" s="614">
        <f t="shared" si="168"/>
        <v>264.47983787367309</v>
      </c>
      <c r="BF142" s="614">
        <f t="shared" si="169"/>
        <v>28.11415021634097</v>
      </c>
      <c r="BG142" s="9"/>
      <c r="BH142" s="4" t="e">
        <f t="shared" si="126"/>
        <v>#VALUE!</v>
      </c>
      <c r="BI142" s="386">
        <f t="shared" si="127"/>
        <v>9.7804436948574587</v>
      </c>
      <c r="BJ142" s="386">
        <f t="shared" si="128"/>
        <v>6.0722714107502131</v>
      </c>
      <c r="BK142" s="386">
        <f t="shared" si="129"/>
        <v>1.3540086918268197</v>
      </c>
      <c r="BL142" s="386">
        <f t="shared" si="130"/>
        <v>0.79806733071572988</v>
      </c>
    </row>
    <row r="143" spans="7:64" x14ac:dyDescent="0.2">
      <c r="G143">
        <v>134</v>
      </c>
      <c r="H143" s="610">
        <f t="shared" si="131"/>
        <v>35.130000000000003</v>
      </c>
      <c r="I143" s="4" t="str">
        <f t="shared" si="132"/>
        <v>BUCK</v>
      </c>
      <c r="J143">
        <f t="shared" si="170"/>
        <v>1</v>
      </c>
      <c r="K143">
        <f t="shared" si="133"/>
        <v>20</v>
      </c>
      <c r="L143" s="4">
        <f t="shared" si="134"/>
        <v>8.0969098902489147</v>
      </c>
      <c r="M143" s="4">
        <f t="shared" si="135"/>
        <v>20</v>
      </c>
      <c r="N143" s="386">
        <f t="shared" si="136"/>
        <v>0.36782608695652175</v>
      </c>
      <c r="O143" s="386">
        <f t="shared" si="171"/>
        <v>0</v>
      </c>
      <c r="P143" s="4">
        <f t="shared" si="137"/>
        <v>16.365465391304351</v>
      </c>
      <c r="Q143" s="386">
        <f t="shared" si="138"/>
        <v>20.550402383477355</v>
      </c>
      <c r="R143" s="386">
        <f t="shared" si="116"/>
        <v>1.0482093466913192</v>
      </c>
      <c r="S143" s="386">
        <f t="shared" si="117"/>
        <v>8.7982062158245622</v>
      </c>
      <c r="T143" s="386">
        <f t="shared" si="118"/>
        <v>9.8464155625158813</v>
      </c>
      <c r="U143" s="4">
        <f t="shared" si="139"/>
        <v>4.7243029245415356</v>
      </c>
      <c r="V143" s="386">
        <f t="shared" si="119"/>
        <v>4.4638076245663412E-2</v>
      </c>
      <c r="W143" s="386">
        <f t="shared" si="120"/>
        <v>4.4638076245663412E-2</v>
      </c>
      <c r="X143" s="386">
        <f t="shared" si="140"/>
        <v>9.9096856602387771</v>
      </c>
      <c r="Y143" s="386">
        <f t="shared" si="121"/>
        <v>0.19640373976948411</v>
      </c>
      <c r="Z143" s="603">
        <f t="shared" si="122"/>
        <v>0.19640373976948411</v>
      </c>
      <c r="AA143" s="386">
        <f t="shared" si="141"/>
        <v>12.463545211534452</v>
      </c>
      <c r="AB143" s="386">
        <f t="shared" si="142"/>
        <v>0.29514592255593042</v>
      </c>
      <c r="AC143" s="386">
        <f t="shared" si="143"/>
        <v>2.4357477442796633</v>
      </c>
      <c r="AD143">
        <f t="shared" si="144"/>
        <v>0</v>
      </c>
      <c r="AE143" s="386">
        <f t="shared" si="145"/>
        <v>2.9022086784030106</v>
      </c>
      <c r="AF143" s="386">
        <f t="shared" si="146"/>
        <v>16.3394944500394</v>
      </c>
      <c r="AG143" s="386">
        <f t="shared" si="147"/>
        <v>0.50726024987744989</v>
      </c>
      <c r="AH143" s="386">
        <f t="shared" si="148"/>
        <v>0</v>
      </c>
      <c r="AI143" s="386">
        <f t="shared" si="149"/>
        <v>0.56453331162083575</v>
      </c>
      <c r="AJ143" s="386">
        <f t="shared" si="150"/>
        <v>0</v>
      </c>
      <c r="AK143" s="386">
        <f t="shared" si="151"/>
        <v>0</v>
      </c>
      <c r="AL143" s="386">
        <f t="shared" si="152"/>
        <v>0</v>
      </c>
      <c r="AM143">
        <f t="shared" si="153"/>
        <v>0</v>
      </c>
      <c r="AN143" s="386">
        <f t="shared" si="154"/>
        <v>0</v>
      </c>
      <c r="AO143" s="386">
        <f t="shared" si="155"/>
        <v>20.550402383477355</v>
      </c>
      <c r="AP143" s="386">
        <f t="shared" si="156"/>
        <v>0.21115951906141586</v>
      </c>
      <c r="AQ143" s="386">
        <f t="shared" si="157"/>
        <v>0</v>
      </c>
      <c r="AR143" s="386">
        <f t="shared" si="158"/>
        <v>0.22047040395468534</v>
      </c>
      <c r="AS143" s="386">
        <f t="shared" si="159"/>
        <v>0.21115951906141586</v>
      </c>
      <c r="AT143" s="386">
        <f t="shared" si="160"/>
        <v>0.27500000000000002</v>
      </c>
      <c r="AU143" s="386">
        <f t="shared" si="161"/>
        <v>2.4125750000000008</v>
      </c>
      <c r="AV143" s="386">
        <f t="shared" si="162"/>
        <v>0.80093723664860506</v>
      </c>
      <c r="AW143" s="386" t="e">
        <f t="shared" si="163"/>
        <v>#VALUE!</v>
      </c>
      <c r="AX143" s="386">
        <f t="shared" si="164"/>
        <v>3.8400000000000004E-2</v>
      </c>
      <c r="AY143" s="386">
        <f t="shared" si="165"/>
        <v>0.61440000000000006</v>
      </c>
      <c r="AZ143" s="386">
        <f t="shared" si="166"/>
        <v>0.47314285714285709</v>
      </c>
      <c r="BA143" s="386">
        <f t="shared" si="123"/>
        <v>0.65280000000000005</v>
      </c>
      <c r="BB143" s="386" t="e">
        <f t="shared" si="124"/>
        <v>#VALUE!</v>
      </c>
      <c r="BC143">
        <f t="shared" si="167"/>
        <v>256</v>
      </c>
      <c r="BD143" s="604" t="e">
        <f t="shared" si="125"/>
        <v>#VALUE!</v>
      </c>
      <c r="BE143" s="614">
        <f t="shared" si="168"/>
        <v>265.73918392015059</v>
      </c>
      <c r="BF143" s="614">
        <f t="shared" si="169"/>
        <v>28.226665581041786</v>
      </c>
      <c r="BG143" s="9"/>
      <c r="BH143" s="4" t="e">
        <f t="shared" si="126"/>
        <v>#VALUE!</v>
      </c>
      <c r="BI143" s="386">
        <f t="shared" si="127"/>
        <v>9.8464155625158813</v>
      </c>
      <c r="BJ143" s="386">
        <f t="shared" si="128"/>
        <v>6.0997873939785325</v>
      </c>
      <c r="BK143" s="386">
        <f t="shared" si="129"/>
        <v>1.3606830616208361</v>
      </c>
      <c r="BL143" s="386">
        <f t="shared" si="130"/>
        <v>0.80093723664860506</v>
      </c>
    </row>
    <row r="144" spans="7:64" x14ac:dyDescent="0.2">
      <c r="G144">
        <v>135</v>
      </c>
      <c r="H144" s="610">
        <f t="shared" si="131"/>
        <v>35.325000000000003</v>
      </c>
      <c r="I144" s="4" t="str">
        <f t="shared" si="132"/>
        <v>BUCK</v>
      </c>
      <c r="J144">
        <f t="shared" si="170"/>
        <v>1</v>
      </c>
      <c r="K144">
        <f t="shared" si="133"/>
        <v>20</v>
      </c>
      <c r="L144" s="4">
        <f t="shared" si="134"/>
        <v>8.0522135723834225</v>
      </c>
      <c r="M144" s="4">
        <f t="shared" si="135"/>
        <v>20</v>
      </c>
      <c r="N144" s="386">
        <f t="shared" si="136"/>
        <v>0.36579906740144125</v>
      </c>
      <c r="O144" s="386">
        <f t="shared" si="171"/>
        <v>0</v>
      </c>
      <c r="P144" s="4">
        <f t="shared" si="137"/>
        <v>16.417940062738452</v>
      </c>
      <c r="Q144" s="386">
        <f t="shared" si="138"/>
        <v>20.553890053352578</v>
      </c>
      <c r="R144" s="386">
        <f t="shared" si="116"/>
        <v>1.0485950151864816</v>
      </c>
      <c r="S144" s="386">
        <f t="shared" si="117"/>
        <v>8.8633398421104701</v>
      </c>
      <c r="T144" s="386">
        <f t="shared" si="118"/>
        <v>9.9119348572969521</v>
      </c>
      <c r="U144" s="4">
        <f t="shared" si="139"/>
        <v>4.7394510573805935</v>
      </c>
      <c r="V144" s="386">
        <f t="shared" si="119"/>
        <v>4.4924792650612048E-2</v>
      </c>
      <c r="W144" s="386">
        <f t="shared" si="120"/>
        <v>4.4924792650612048E-2</v>
      </c>
      <c r="X144" s="386">
        <f t="shared" si="140"/>
        <v>9.8998534162517569</v>
      </c>
      <c r="Y144" s="386">
        <f t="shared" si="121"/>
        <v>0.19601419532654316</v>
      </c>
      <c r="Z144" s="603">
        <f t="shared" si="122"/>
        <v>0.19601419532654316</v>
      </c>
      <c r="AA144" s="386">
        <f t="shared" si="141"/>
        <v>12.431265043750576</v>
      </c>
      <c r="AB144" s="386">
        <f t="shared" si="142"/>
        <v>0.29361906611715255</v>
      </c>
      <c r="AC144" s="386">
        <f t="shared" si="143"/>
        <v>2.4492681203153746</v>
      </c>
      <c r="AD144">
        <f t="shared" si="144"/>
        <v>0</v>
      </c>
      <c r="AE144" s="386">
        <f t="shared" si="145"/>
        <v>2.9140089008579215</v>
      </c>
      <c r="AF144" s="386">
        <f t="shared" si="146"/>
        <v>16.368446650104922</v>
      </c>
      <c r="AG144" s="386">
        <f t="shared" si="147"/>
        <v>0.50905948690092895</v>
      </c>
      <c r="AH144" s="386">
        <f t="shared" si="148"/>
        <v>0</v>
      </c>
      <c r="AI144" s="386">
        <f t="shared" si="149"/>
        <v>0.56676266966364397</v>
      </c>
      <c r="AJ144" s="386">
        <f t="shared" si="150"/>
        <v>0</v>
      </c>
      <c r="AK144" s="386">
        <f t="shared" si="151"/>
        <v>0</v>
      </c>
      <c r="AL144" s="386">
        <f t="shared" si="152"/>
        <v>0</v>
      </c>
      <c r="AM144">
        <f t="shared" si="153"/>
        <v>0</v>
      </c>
      <c r="AN144" s="386">
        <f t="shared" si="154"/>
        <v>0</v>
      </c>
      <c r="AO144" s="386">
        <f t="shared" si="155"/>
        <v>20.553890053352578</v>
      </c>
      <c r="AP144" s="386">
        <f t="shared" si="156"/>
        <v>0.21123119816265301</v>
      </c>
      <c r="AQ144" s="386">
        <f t="shared" si="157"/>
        <v>0</v>
      </c>
      <c r="AR144" s="386">
        <f t="shared" si="158"/>
        <v>0.22054854483850647</v>
      </c>
      <c r="AS144" s="386">
        <f t="shared" si="159"/>
        <v>0.21123119816265301</v>
      </c>
      <c r="AT144" s="386">
        <f t="shared" si="160"/>
        <v>0.27500000000000002</v>
      </c>
      <c r="AU144" s="386">
        <f t="shared" si="161"/>
        <v>2.4259812500000004</v>
      </c>
      <c r="AV144" s="386">
        <f t="shared" si="162"/>
        <v>0.80377813721199309</v>
      </c>
      <c r="AW144" s="386" t="e">
        <f t="shared" si="163"/>
        <v>#VALUE!</v>
      </c>
      <c r="AX144" s="386">
        <f t="shared" si="164"/>
        <v>3.8400000000000004E-2</v>
      </c>
      <c r="AY144" s="386">
        <f t="shared" si="165"/>
        <v>0.61440000000000006</v>
      </c>
      <c r="AZ144" s="386">
        <f t="shared" si="166"/>
        <v>0.47314285714285709</v>
      </c>
      <c r="BA144" s="386">
        <f t="shared" si="123"/>
        <v>0.65280000000000005</v>
      </c>
      <c r="BB144" s="386" t="e">
        <f t="shared" si="124"/>
        <v>#VALUE!</v>
      </c>
      <c r="BC144">
        <f t="shared" si="167"/>
        <v>256</v>
      </c>
      <c r="BD144" s="604" t="e">
        <f t="shared" si="125"/>
        <v>#VALUE!</v>
      </c>
      <c r="BE144" s="614">
        <f t="shared" si="168"/>
        <v>266.99950754289608</v>
      </c>
      <c r="BF144" s="614">
        <f t="shared" si="169"/>
        <v>28.338133483182197</v>
      </c>
      <c r="BG144" s="9"/>
      <c r="BH144" s="4" t="e">
        <f t="shared" si="126"/>
        <v>#VALUE!</v>
      </c>
      <c r="BI144" s="386">
        <f t="shared" si="127"/>
        <v>9.9119348572969521</v>
      </c>
      <c r="BJ144" s="386">
        <f t="shared" si="128"/>
        <v>6.1273013653600721</v>
      </c>
      <c r="BK144" s="386">
        <f t="shared" si="129"/>
        <v>1.367336482163644</v>
      </c>
      <c r="BL144" s="386">
        <f t="shared" si="130"/>
        <v>0.80377813721199309</v>
      </c>
    </row>
    <row r="145" spans="7:64" x14ac:dyDescent="0.2">
      <c r="G145">
        <v>136</v>
      </c>
      <c r="H145" s="610">
        <f t="shared" si="131"/>
        <v>35.520000000000003</v>
      </c>
      <c r="I145" s="4" t="str">
        <f t="shared" si="132"/>
        <v>BUCK</v>
      </c>
      <c r="J145">
        <f t="shared" si="170"/>
        <v>1</v>
      </c>
      <c r="K145">
        <f t="shared" si="133"/>
        <v>20</v>
      </c>
      <c r="L145" s="4">
        <f t="shared" si="134"/>
        <v>8.0080080080080069</v>
      </c>
      <c r="M145" s="4">
        <f t="shared" si="135"/>
        <v>20</v>
      </c>
      <c r="N145" s="386">
        <f t="shared" si="136"/>
        <v>0.36379426644182122</v>
      </c>
      <c r="O145" s="386">
        <f t="shared" si="171"/>
        <v>0</v>
      </c>
      <c r="P145" s="4">
        <f t="shared" si="137"/>
        <v>16.469839548060712</v>
      </c>
      <c r="Q145" s="386">
        <f t="shared" si="138"/>
        <v>20.557349891500415</v>
      </c>
      <c r="R145" s="386">
        <f t="shared" si="116"/>
        <v>1.0489776924008041</v>
      </c>
      <c r="S145" s="386">
        <f t="shared" si="117"/>
        <v>8.9280270991642023</v>
      </c>
      <c r="T145" s="386">
        <f t="shared" si="118"/>
        <v>9.9770047915650064</v>
      </c>
      <c r="U145" s="4">
        <f t="shared" si="139"/>
        <v>4.7544331482913984</v>
      </c>
      <c r="V145" s="386">
        <f t="shared" si="119"/>
        <v>4.5209269123144116E-2</v>
      </c>
      <c r="W145" s="386">
        <f t="shared" si="120"/>
        <v>4.5209269123144116E-2</v>
      </c>
      <c r="X145" s="386">
        <f t="shared" si="140"/>
        <v>9.8899442200877132</v>
      </c>
      <c r="Y145" s="386">
        <f t="shared" si="121"/>
        <v>0.19562199335289274</v>
      </c>
      <c r="Z145" s="603">
        <f t="shared" si="122"/>
        <v>0.19562199335289274</v>
      </c>
      <c r="AA145" s="386">
        <f t="shared" si="141"/>
        <v>12.399239614800621</v>
      </c>
      <c r="AB145" s="386">
        <f t="shared" si="142"/>
        <v>0.292108171747958</v>
      </c>
      <c r="AC145" s="386">
        <f t="shared" si="143"/>
        <v>2.4627884963510862</v>
      </c>
      <c r="AD145">
        <f t="shared" si="144"/>
        <v>0</v>
      </c>
      <c r="AE145" s="386">
        <f t="shared" si="145"/>
        <v>2.925828341644257</v>
      </c>
      <c r="AF145" s="386">
        <f t="shared" si="146"/>
        <v>16.397057404800748</v>
      </c>
      <c r="AG145" s="386">
        <f t="shared" si="147"/>
        <v>0.5108406339190289</v>
      </c>
      <c r="AH145" s="386">
        <f t="shared" si="148"/>
        <v>0</v>
      </c>
      <c r="AI145" s="386">
        <f t="shared" si="149"/>
        <v>0.56897137332528247</v>
      </c>
      <c r="AJ145" s="386">
        <f t="shared" si="150"/>
        <v>0</v>
      </c>
      <c r="AK145" s="386">
        <f t="shared" si="151"/>
        <v>0</v>
      </c>
      <c r="AL145" s="386">
        <f t="shared" si="152"/>
        <v>0</v>
      </c>
      <c r="AM145">
        <f t="shared" si="153"/>
        <v>0</v>
      </c>
      <c r="AN145" s="386">
        <f t="shared" si="154"/>
        <v>0</v>
      </c>
      <c r="AO145" s="386">
        <f t="shared" si="155"/>
        <v>20.557349891500415</v>
      </c>
      <c r="AP145" s="386">
        <f t="shared" si="156"/>
        <v>0.21130231728078608</v>
      </c>
      <c r="AQ145" s="386">
        <f t="shared" si="157"/>
        <v>0</v>
      </c>
      <c r="AR145" s="386">
        <f t="shared" si="158"/>
        <v>0.22062607756938227</v>
      </c>
      <c r="AS145" s="386">
        <f t="shared" si="159"/>
        <v>0.21130231728078608</v>
      </c>
      <c r="AT145" s="386">
        <f t="shared" si="160"/>
        <v>0.27500000000000002</v>
      </c>
      <c r="AU145" s="386">
        <f t="shared" si="161"/>
        <v>2.4393875000000005</v>
      </c>
      <c r="AV145" s="386">
        <f t="shared" si="162"/>
        <v>0.80659047460899314</v>
      </c>
      <c r="AW145" s="386" t="e">
        <f t="shared" si="163"/>
        <v>#VALUE!</v>
      </c>
      <c r="AX145" s="386">
        <f t="shared" si="164"/>
        <v>3.8400000000000004E-2</v>
      </c>
      <c r="AY145" s="386">
        <f t="shared" si="165"/>
        <v>0.61440000000000006</v>
      </c>
      <c r="AZ145" s="386">
        <f t="shared" si="166"/>
        <v>0.47314285714285709</v>
      </c>
      <c r="BA145" s="386">
        <f t="shared" si="123"/>
        <v>0.65280000000000005</v>
      </c>
      <c r="BB145" s="386" t="e">
        <f t="shared" si="124"/>
        <v>#VALUE!</v>
      </c>
      <c r="BC145">
        <f t="shared" si="167"/>
        <v>256</v>
      </c>
      <c r="BD145" s="604" t="e">
        <f t="shared" si="125"/>
        <v>#VALUE!</v>
      </c>
      <c r="BE145" s="614">
        <f t="shared" si="168"/>
        <v>268.2607920822129</v>
      </c>
      <c r="BF145" s="614">
        <f t="shared" si="169"/>
        <v>28.448568666264123</v>
      </c>
      <c r="BG145" s="9"/>
      <c r="BH145" s="4" t="e">
        <f t="shared" si="126"/>
        <v>#VALUE!</v>
      </c>
      <c r="BI145" s="386">
        <f t="shared" si="127"/>
        <v>9.9770047915650064</v>
      </c>
      <c r="BJ145" s="386">
        <f t="shared" si="128"/>
        <v>6.1548132925389218</v>
      </c>
      <c r="BK145" s="386">
        <f t="shared" si="129"/>
        <v>1.3739692483252828</v>
      </c>
      <c r="BL145" s="386">
        <f t="shared" si="130"/>
        <v>0.80659047460899314</v>
      </c>
    </row>
    <row r="146" spans="7:64" x14ac:dyDescent="0.2">
      <c r="G146">
        <v>137</v>
      </c>
      <c r="H146" s="610">
        <f t="shared" si="131"/>
        <v>35.715000000000003</v>
      </c>
      <c r="I146" s="4" t="str">
        <f t="shared" si="132"/>
        <v>BUCK</v>
      </c>
      <c r="J146">
        <f t="shared" si="170"/>
        <v>1</v>
      </c>
      <c r="K146">
        <f t="shared" si="133"/>
        <v>20</v>
      </c>
      <c r="L146" s="4">
        <f t="shared" si="134"/>
        <v>7.9642851587412693</v>
      </c>
      <c r="M146" s="4">
        <f t="shared" si="135"/>
        <v>20</v>
      </c>
      <c r="N146" s="386">
        <f t="shared" si="136"/>
        <v>0.36181132075471695</v>
      </c>
      <c r="O146" s="386">
        <f t="shared" si="171"/>
        <v>0</v>
      </c>
      <c r="P146" s="4">
        <f t="shared" si="137"/>
        <v>16.521173252830192</v>
      </c>
      <c r="Q146" s="386">
        <f t="shared" si="138"/>
        <v>20.560782178802665</v>
      </c>
      <c r="R146" s="386">
        <f t="shared" si="116"/>
        <v>1.0493574073484568</v>
      </c>
      <c r="S146" s="386">
        <f t="shared" si="117"/>
        <v>8.9922711858198188</v>
      </c>
      <c r="T146" s="386">
        <f t="shared" si="118"/>
        <v>10.041628593168276</v>
      </c>
      <c r="U146" s="4">
        <f t="shared" si="139"/>
        <v>4.7692519124249788</v>
      </c>
      <c r="V146" s="386">
        <f t="shared" si="119"/>
        <v>4.549152760833864E-2</v>
      </c>
      <c r="W146" s="386">
        <f t="shared" si="120"/>
        <v>4.549152760833864E-2</v>
      </c>
      <c r="X146" s="386">
        <f t="shared" si="140"/>
        <v>9.8799615834479972</v>
      </c>
      <c r="Y146" s="386">
        <f t="shared" si="121"/>
        <v>0.19522728178081653</v>
      </c>
      <c r="Z146" s="603">
        <f t="shared" si="122"/>
        <v>0.19522728178081653</v>
      </c>
      <c r="AA146" s="386">
        <f t="shared" si="141"/>
        <v>12.367465510178231</v>
      </c>
      <c r="AB146" s="386">
        <f t="shared" si="142"/>
        <v>0.29061298597635138</v>
      </c>
      <c r="AC146" s="386">
        <f t="shared" si="143"/>
        <v>2.4763088723867974</v>
      </c>
      <c r="AD146">
        <f t="shared" si="144"/>
        <v>0</v>
      </c>
      <c r="AE146" s="386">
        <f t="shared" si="145"/>
        <v>2.9376666752209872</v>
      </c>
      <c r="AF146" s="386">
        <f t="shared" si="146"/>
        <v>16.425332893391268</v>
      </c>
      <c r="AG146" s="386">
        <f t="shared" si="147"/>
        <v>0.51260396525157015</v>
      </c>
      <c r="AH146" s="386">
        <f t="shared" si="148"/>
        <v>0</v>
      </c>
      <c r="AI146" s="386">
        <f t="shared" si="149"/>
        <v>0.57115971187097092</v>
      </c>
      <c r="AJ146" s="386">
        <f t="shared" si="150"/>
        <v>0</v>
      </c>
      <c r="AK146" s="386">
        <f t="shared" si="151"/>
        <v>0</v>
      </c>
      <c r="AL146" s="386">
        <f t="shared" si="152"/>
        <v>0</v>
      </c>
      <c r="AM146">
        <f t="shared" si="153"/>
        <v>0</v>
      </c>
      <c r="AN146" s="386">
        <f t="shared" si="154"/>
        <v>0</v>
      </c>
      <c r="AO146" s="386">
        <f t="shared" si="155"/>
        <v>20.560782178802665</v>
      </c>
      <c r="AP146" s="386">
        <f t="shared" si="156"/>
        <v>0.21137288190208464</v>
      </c>
      <c r="AQ146" s="386">
        <f t="shared" si="157"/>
        <v>0</v>
      </c>
      <c r="AR146" s="386">
        <f t="shared" si="158"/>
        <v>0.22070300807430981</v>
      </c>
      <c r="AS146" s="386">
        <f t="shared" si="159"/>
        <v>0.21137288190208464</v>
      </c>
      <c r="AT146" s="386">
        <f t="shared" si="160"/>
        <v>0.27500000000000002</v>
      </c>
      <c r="AU146" s="386">
        <f t="shared" si="161"/>
        <v>2.4527937500000005</v>
      </c>
      <c r="AV146" s="386">
        <f t="shared" si="162"/>
        <v>0.80937468197616347</v>
      </c>
      <c r="AW146" s="386" t="e">
        <f t="shared" si="163"/>
        <v>#VALUE!</v>
      </c>
      <c r="AX146" s="386">
        <f t="shared" si="164"/>
        <v>3.8400000000000004E-2</v>
      </c>
      <c r="AY146" s="386">
        <f t="shared" si="165"/>
        <v>0.61440000000000006</v>
      </c>
      <c r="AZ146" s="386">
        <f t="shared" si="166"/>
        <v>0.47314285714285709</v>
      </c>
      <c r="BA146" s="386">
        <f t="shared" si="123"/>
        <v>0.65280000000000005</v>
      </c>
      <c r="BB146" s="386" t="e">
        <f t="shared" si="124"/>
        <v>#VALUE!</v>
      </c>
      <c r="BC146">
        <f t="shared" si="167"/>
        <v>256</v>
      </c>
      <c r="BD146" s="604" t="e">
        <f t="shared" si="125"/>
        <v>#VALUE!</v>
      </c>
      <c r="BE146" s="614">
        <f t="shared" si="168"/>
        <v>269.52302126104939</v>
      </c>
      <c r="BF146" s="614">
        <f t="shared" si="169"/>
        <v>28.557985593548548</v>
      </c>
      <c r="BG146" s="9"/>
      <c r="BH146" s="4" t="e">
        <f t="shared" si="126"/>
        <v>#VALUE!</v>
      </c>
      <c r="BI146" s="386">
        <f t="shared" si="127"/>
        <v>10.041628593168276</v>
      </c>
      <c r="BJ146" s="386">
        <f t="shared" si="128"/>
        <v>6.1823231451662686</v>
      </c>
      <c r="BK146" s="386">
        <f t="shared" si="129"/>
        <v>1.3805816493709711</v>
      </c>
      <c r="BL146" s="386">
        <f t="shared" si="130"/>
        <v>0.80937468197616347</v>
      </c>
    </row>
    <row r="147" spans="7:64" x14ac:dyDescent="0.2">
      <c r="G147">
        <v>138</v>
      </c>
      <c r="H147" s="610">
        <f t="shared" si="131"/>
        <v>35.909999999999997</v>
      </c>
      <c r="I147" s="4" t="str">
        <f t="shared" si="132"/>
        <v>BUCK</v>
      </c>
      <c r="J147">
        <f t="shared" si="170"/>
        <v>1</v>
      </c>
      <c r="K147">
        <f t="shared" si="133"/>
        <v>20</v>
      </c>
      <c r="L147" s="4">
        <f t="shared" si="134"/>
        <v>7.9210371608032437</v>
      </c>
      <c r="M147" s="4">
        <f t="shared" si="135"/>
        <v>20</v>
      </c>
      <c r="N147" s="386">
        <f t="shared" si="136"/>
        <v>0.35984987489574649</v>
      </c>
      <c r="O147" s="386">
        <f t="shared" si="171"/>
        <v>0</v>
      </c>
      <c r="P147" s="4">
        <f t="shared" si="137"/>
        <v>16.571950378648875</v>
      </c>
      <c r="Q147" s="386">
        <f t="shared" si="138"/>
        <v>20.56418719390663</v>
      </c>
      <c r="R147" s="386">
        <f t="shared" si="116"/>
        <v>1.049734188839919</v>
      </c>
      <c r="S147" s="386">
        <f t="shared" si="117"/>
        <v>9.0560753140567307</v>
      </c>
      <c r="T147" s="386">
        <f t="shared" si="118"/>
        <v>10.105809502896649</v>
      </c>
      <c r="U147" s="4">
        <f t="shared" si="139"/>
        <v>4.7839100060550246</v>
      </c>
      <c r="V147" s="386">
        <f t="shared" si="119"/>
        <v>4.5771589892066769E-2</v>
      </c>
      <c r="W147" s="386">
        <f t="shared" si="120"/>
        <v>4.5771589892066769E-2</v>
      </c>
      <c r="X147" s="386">
        <f t="shared" si="140"/>
        <v>9.8699088956293135</v>
      </c>
      <c r="Y147" s="386">
        <f t="shared" si="121"/>
        <v>0.1948302032160453</v>
      </c>
      <c r="Z147" s="603">
        <f t="shared" si="122"/>
        <v>0.1948302032160453</v>
      </c>
      <c r="AA147" s="386">
        <f t="shared" si="141"/>
        <v>12.335939380789712</v>
      </c>
      <c r="AB147" s="386">
        <f t="shared" si="142"/>
        <v>0.2891332607723851</v>
      </c>
      <c r="AC147" s="386">
        <f t="shared" si="143"/>
        <v>2.4898292484225077</v>
      </c>
      <c r="AD147">
        <f t="shared" si="144"/>
        <v>0</v>
      </c>
      <c r="AE147" s="386">
        <f t="shared" si="145"/>
        <v>2.9495235834781082</v>
      </c>
      <c r="AF147" s="386">
        <f t="shared" si="146"/>
        <v>16.453279142454097</v>
      </c>
      <c r="AG147" s="386">
        <f t="shared" si="147"/>
        <v>0.51434974962507851</v>
      </c>
      <c r="AH147" s="386">
        <f t="shared" si="148"/>
        <v>0</v>
      </c>
      <c r="AI147" s="386">
        <f t="shared" si="149"/>
        <v>0.57332796909666317</v>
      </c>
      <c r="AJ147" s="386">
        <f t="shared" si="150"/>
        <v>0</v>
      </c>
      <c r="AK147" s="386">
        <f t="shared" si="151"/>
        <v>0</v>
      </c>
      <c r="AL147" s="386">
        <f t="shared" si="152"/>
        <v>0</v>
      </c>
      <c r="AM147">
        <f t="shared" si="153"/>
        <v>0</v>
      </c>
      <c r="AN147" s="386">
        <f t="shared" si="154"/>
        <v>0</v>
      </c>
      <c r="AO147" s="386">
        <f t="shared" si="155"/>
        <v>20.56418719390663</v>
      </c>
      <c r="AP147" s="386">
        <f t="shared" si="156"/>
        <v>0.21144289747301673</v>
      </c>
      <c r="AQ147" s="386">
        <f t="shared" si="157"/>
        <v>0</v>
      </c>
      <c r="AR147" s="386">
        <f t="shared" si="158"/>
        <v>0.22077934223801526</v>
      </c>
      <c r="AS147" s="386">
        <f t="shared" si="159"/>
        <v>0.21144289747301673</v>
      </c>
      <c r="AT147" s="386">
        <f t="shared" si="160"/>
        <v>0.27500000000000002</v>
      </c>
      <c r="AU147" s="386">
        <f t="shared" si="161"/>
        <v>2.4662000000000002</v>
      </c>
      <c r="AV147" s="386">
        <f t="shared" si="162"/>
        <v>0.81213118361854497</v>
      </c>
      <c r="AW147" s="386" t="e">
        <f t="shared" si="163"/>
        <v>#VALUE!</v>
      </c>
      <c r="AX147" s="386">
        <f t="shared" si="164"/>
        <v>3.8400000000000004E-2</v>
      </c>
      <c r="AY147" s="386">
        <f t="shared" si="165"/>
        <v>0.61440000000000006</v>
      </c>
      <c r="AZ147" s="386">
        <f t="shared" si="166"/>
        <v>0.47314285714285709</v>
      </c>
      <c r="BA147" s="386">
        <f t="shared" si="123"/>
        <v>0.65280000000000005</v>
      </c>
      <c r="BB147" s="386" t="e">
        <f t="shared" si="124"/>
        <v>#VALUE!</v>
      </c>
      <c r="BC147">
        <f t="shared" si="167"/>
        <v>256</v>
      </c>
      <c r="BD147" s="604" t="e">
        <f t="shared" si="125"/>
        <v>#VALUE!</v>
      </c>
      <c r="BE147" s="614">
        <f t="shared" si="168"/>
        <v>270.7861791739054</v>
      </c>
      <c r="BF147" s="614">
        <f t="shared" si="169"/>
        <v>28.666398454833157</v>
      </c>
      <c r="BG147" s="9"/>
      <c r="BH147" s="4" t="e">
        <f t="shared" si="126"/>
        <v>#VALUE!</v>
      </c>
      <c r="BI147" s="386">
        <f t="shared" si="127"/>
        <v>10.105809502896649</v>
      </c>
      <c r="BJ147" s="386">
        <f t="shared" si="128"/>
        <v>6.2098308948127867</v>
      </c>
      <c r="BK147" s="386">
        <f t="shared" si="129"/>
        <v>1.3871739690966631</v>
      </c>
      <c r="BL147" s="386">
        <f t="shared" si="130"/>
        <v>0.81213118361854497</v>
      </c>
    </row>
    <row r="148" spans="7:64" x14ac:dyDescent="0.2">
      <c r="G148">
        <v>139</v>
      </c>
      <c r="H148" s="610">
        <f t="shared" si="131"/>
        <v>36.104999999999997</v>
      </c>
      <c r="I148" s="4" t="str">
        <f t="shared" si="132"/>
        <v>BUCK</v>
      </c>
      <c r="J148">
        <f t="shared" si="170"/>
        <v>1</v>
      </c>
      <c r="K148">
        <f t="shared" si="133"/>
        <v>20</v>
      </c>
      <c r="L148" s="4">
        <f t="shared" si="134"/>
        <v>7.8782563203003599</v>
      </c>
      <c r="M148" s="4">
        <f t="shared" si="135"/>
        <v>20</v>
      </c>
      <c r="N148" s="386">
        <f t="shared" si="136"/>
        <v>0.35790958108668608</v>
      </c>
      <c r="O148" s="386">
        <f t="shared" si="171"/>
        <v>0</v>
      </c>
      <c r="P148" s="4">
        <f t="shared" si="137"/>
        <v>16.622179928660309</v>
      </c>
      <c r="Q148" s="386">
        <f t="shared" si="138"/>
        <v>20.56756521317962</v>
      </c>
      <c r="R148" s="386">
        <f t="shared" si="116"/>
        <v>1.0501080654761377</v>
      </c>
      <c r="S148" s="386">
        <f t="shared" si="117"/>
        <v>9.1194427066075399</v>
      </c>
      <c r="T148" s="386">
        <f t="shared" si="118"/>
        <v>10.169550772083678</v>
      </c>
      <c r="U148" s="4">
        <f t="shared" si="139"/>
        <v>4.798410028165212</v>
      </c>
      <c r="V148" s="386">
        <f t="shared" si="119"/>
        <v>4.604947759679294E-2</v>
      </c>
      <c r="W148" s="386">
        <f t="shared" si="120"/>
        <v>4.604947759679294E-2</v>
      </c>
      <c r="X148" s="386">
        <f t="shared" si="140"/>
        <v>9.859789428169071</v>
      </c>
      <c r="Y148" s="386">
        <f t="shared" si="121"/>
        <v>0.19443089513566916</v>
      </c>
      <c r="Z148" s="603">
        <f t="shared" si="122"/>
        <v>0.19443089513566916</v>
      </c>
      <c r="AA148" s="386">
        <f t="shared" si="141"/>
        <v>12.304657941309822</v>
      </c>
      <c r="AB148" s="386">
        <f t="shared" si="142"/>
        <v>0.2876687534000138</v>
      </c>
      <c r="AC148" s="386">
        <f t="shared" si="143"/>
        <v>2.503349624458219</v>
      </c>
      <c r="AD148">
        <f t="shared" si="144"/>
        <v>0</v>
      </c>
      <c r="AE148" s="386">
        <f t="shared" si="145"/>
        <v>2.961398755522537</v>
      </c>
      <c r="AF148" s="386">
        <f t="shared" si="146"/>
        <v>16.480902030706861</v>
      </c>
      <c r="AG148" s="386">
        <f t="shared" si="147"/>
        <v>0.51607825031693932</v>
      </c>
      <c r="AH148" s="386">
        <f t="shared" si="148"/>
        <v>0</v>
      </c>
      <c r="AI148" s="386">
        <f t="shared" si="149"/>
        <v>0.57547642346057615</v>
      </c>
      <c r="AJ148" s="386">
        <f t="shared" si="150"/>
        <v>0</v>
      </c>
      <c r="AK148" s="386">
        <f t="shared" si="151"/>
        <v>0</v>
      </c>
      <c r="AL148" s="386">
        <f t="shared" si="152"/>
        <v>0</v>
      </c>
      <c r="AM148">
        <f t="shared" si="153"/>
        <v>0</v>
      </c>
      <c r="AN148" s="386">
        <f t="shared" si="154"/>
        <v>0</v>
      </c>
      <c r="AO148" s="386">
        <f t="shared" si="155"/>
        <v>20.56756521317962</v>
      </c>
      <c r="AP148" s="386">
        <f t="shared" si="156"/>
        <v>0.21151236939919821</v>
      </c>
      <c r="AQ148" s="386">
        <f t="shared" si="157"/>
        <v>0</v>
      </c>
      <c r="AR148" s="386">
        <f t="shared" si="158"/>
        <v>0.22085508590178834</v>
      </c>
      <c r="AS148" s="386">
        <f t="shared" si="159"/>
        <v>0.21151236939919821</v>
      </c>
      <c r="AT148" s="386">
        <f t="shared" si="160"/>
        <v>0.27500000000000002</v>
      </c>
      <c r="AU148" s="386">
        <f t="shared" si="161"/>
        <v>2.4796062500000002</v>
      </c>
      <c r="AV148" s="386">
        <f t="shared" si="162"/>
        <v>0.81486039523727261</v>
      </c>
      <c r="AW148" s="386" t="e">
        <f t="shared" si="163"/>
        <v>#VALUE!</v>
      </c>
      <c r="AX148" s="386">
        <f t="shared" si="164"/>
        <v>3.8400000000000004E-2</v>
      </c>
      <c r="AY148" s="386">
        <f t="shared" si="165"/>
        <v>0.61440000000000006</v>
      </c>
      <c r="AZ148" s="386">
        <f t="shared" si="166"/>
        <v>0.47314285714285709</v>
      </c>
      <c r="BA148" s="386">
        <f t="shared" si="123"/>
        <v>0.65280000000000005</v>
      </c>
      <c r="BB148" s="386" t="e">
        <f t="shared" si="124"/>
        <v>#VALUE!</v>
      </c>
      <c r="BC148">
        <f t="shared" si="167"/>
        <v>256</v>
      </c>
      <c r="BD148" s="604" t="e">
        <f t="shared" si="125"/>
        <v>#VALUE!</v>
      </c>
      <c r="BE148" s="614">
        <f t="shared" si="168"/>
        <v>272.05025027612686</v>
      </c>
      <c r="BF148" s="614">
        <f t="shared" si="169"/>
        <v>28.773821173028807</v>
      </c>
      <c r="BG148" s="9"/>
      <c r="BH148" s="4" t="e">
        <f t="shared" si="126"/>
        <v>#VALUE!</v>
      </c>
      <c r="BI148" s="386">
        <f t="shared" si="127"/>
        <v>10.169550772083678</v>
      </c>
      <c r="BJ148" s="386">
        <f t="shared" si="128"/>
        <v>6.2373365148849018</v>
      </c>
      <c r="BK148" s="386">
        <f t="shared" si="129"/>
        <v>1.3937464859605764</v>
      </c>
      <c r="BL148" s="386">
        <f t="shared" si="130"/>
        <v>0.81486039523727261</v>
      </c>
    </row>
    <row r="149" spans="7:64" x14ac:dyDescent="0.2">
      <c r="G149">
        <v>140</v>
      </c>
      <c r="H149" s="610">
        <f t="shared" si="131"/>
        <v>36.299999999999997</v>
      </c>
      <c r="I149" s="4" t="str">
        <f t="shared" si="132"/>
        <v>BUCK</v>
      </c>
      <c r="J149">
        <f t="shared" si="170"/>
        <v>1</v>
      </c>
      <c r="K149">
        <f t="shared" si="133"/>
        <v>20</v>
      </c>
      <c r="L149" s="4">
        <f t="shared" si="134"/>
        <v>7.8359351086623814</v>
      </c>
      <c r="M149" s="4">
        <f t="shared" si="135"/>
        <v>20</v>
      </c>
      <c r="N149" s="386">
        <f t="shared" si="136"/>
        <v>0.35599009900990103</v>
      </c>
      <c r="O149" s="386">
        <f t="shared" si="171"/>
        <v>0</v>
      </c>
      <c r="P149" s="4">
        <f t="shared" si="137"/>
        <v>16.671870712871289</v>
      </c>
      <c r="Q149" s="386">
        <f t="shared" si="138"/>
        <v>20.570916510668436</v>
      </c>
      <c r="R149" s="386">
        <f t="shared" si="116"/>
        <v>1.0504790656432468</v>
      </c>
      <c r="S149" s="386">
        <f t="shared" si="117"/>
        <v>9.182376594701708</v>
      </c>
      <c r="T149" s="386">
        <f t="shared" si="118"/>
        <v>10.232855660344955</v>
      </c>
      <c r="U149" s="4">
        <f t="shared" si="139"/>
        <v>4.8127545219854388</v>
      </c>
      <c r="V149" s="386">
        <f t="shared" si="119"/>
        <v>4.6325212177782585E-2</v>
      </c>
      <c r="W149" s="386">
        <f t="shared" si="120"/>
        <v>4.6325212177782585E-2</v>
      </c>
      <c r="X149" s="386">
        <f t="shared" si="140"/>
        <v>9.849606339290645</v>
      </c>
      <c r="Y149" s="386">
        <f t="shared" si="121"/>
        <v>0.19402949007798892</v>
      </c>
      <c r="Z149" s="603">
        <f t="shared" si="122"/>
        <v>0.19402949007798892</v>
      </c>
      <c r="AA149" s="386">
        <f t="shared" si="141"/>
        <v>12.273617968589058</v>
      </c>
      <c r="AB149" s="386">
        <f t="shared" si="142"/>
        <v>0.28621922627385715</v>
      </c>
      <c r="AC149" s="386">
        <f t="shared" si="143"/>
        <v>2.5168700004939306</v>
      </c>
      <c r="AD149">
        <f t="shared" si="144"/>
        <v>0</v>
      </c>
      <c r="AE149" s="386">
        <f t="shared" si="145"/>
        <v>2.973291887471472</v>
      </c>
      <c r="AF149" s="386">
        <f t="shared" si="146"/>
        <v>16.508207293646976</v>
      </c>
      <c r="AG149" s="386">
        <f t="shared" si="147"/>
        <v>0.51778972529503653</v>
      </c>
      <c r="AH149" s="386">
        <f t="shared" si="148"/>
        <v>0</v>
      </c>
      <c r="AI149" s="386">
        <f t="shared" si="149"/>
        <v>0.57760534821084386</v>
      </c>
      <c r="AJ149" s="386">
        <f t="shared" si="150"/>
        <v>0</v>
      </c>
      <c r="AK149" s="386">
        <f t="shared" si="151"/>
        <v>0</v>
      </c>
      <c r="AL149" s="386">
        <f t="shared" si="152"/>
        <v>0</v>
      </c>
      <c r="AM149">
        <f t="shared" si="153"/>
        <v>0</v>
      </c>
      <c r="AN149" s="386">
        <f t="shared" si="154"/>
        <v>0</v>
      </c>
      <c r="AO149" s="386">
        <f t="shared" si="155"/>
        <v>20.570916510668436</v>
      </c>
      <c r="AP149" s="386">
        <f t="shared" si="156"/>
        <v>0.21158130304444564</v>
      </c>
      <c r="AQ149" s="386">
        <f t="shared" si="157"/>
        <v>0</v>
      </c>
      <c r="AR149" s="386">
        <f t="shared" si="158"/>
        <v>0.22093024486242993</v>
      </c>
      <c r="AS149" s="386">
        <f t="shared" si="159"/>
        <v>0.21158130304444564</v>
      </c>
      <c r="AT149" s="386">
        <f t="shared" si="160"/>
        <v>0.27500000000000002</v>
      </c>
      <c r="AU149" s="386">
        <f t="shared" si="161"/>
        <v>2.4930125000000003</v>
      </c>
      <c r="AV149" s="386">
        <f t="shared" si="162"/>
        <v>0.81756272415005771</v>
      </c>
      <c r="AW149" s="386" t="e">
        <f t="shared" si="163"/>
        <v>#VALUE!</v>
      </c>
      <c r="AX149" s="386">
        <f t="shared" si="164"/>
        <v>3.8400000000000004E-2</v>
      </c>
      <c r="AY149" s="386">
        <f t="shared" si="165"/>
        <v>0.61440000000000006</v>
      </c>
      <c r="AZ149" s="386">
        <f t="shared" si="166"/>
        <v>0.47314285714285709</v>
      </c>
      <c r="BA149" s="386">
        <f t="shared" si="123"/>
        <v>0.65280000000000005</v>
      </c>
      <c r="BB149" s="386" t="e">
        <f t="shared" si="124"/>
        <v>#VALUE!</v>
      </c>
      <c r="BC149">
        <f t="shared" si="167"/>
        <v>256</v>
      </c>
      <c r="BD149" s="604" t="e">
        <f t="shared" si="125"/>
        <v>#VALUE!</v>
      </c>
      <c r="BE149" s="614">
        <f t="shared" si="168"/>
        <v>273.31521937357365</v>
      </c>
      <c r="BF149" s="614">
        <f t="shared" si="169"/>
        <v>28.880267410542192</v>
      </c>
      <c r="BG149" s="9"/>
      <c r="BH149" s="4" t="e">
        <f t="shared" si="126"/>
        <v>#VALUE!</v>
      </c>
      <c r="BI149" s="386">
        <f t="shared" si="127"/>
        <v>10.232855660344955</v>
      </c>
      <c r="BJ149" s="386">
        <f t="shared" si="128"/>
        <v>6.2648399805447461</v>
      </c>
      <c r="BK149" s="386">
        <f t="shared" si="129"/>
        <v>1.400299473210844</v>
      </c>
      <c r="BL149" s="386">
        <f t="shared" si="130"/>
        <v>0.81756272415005771</v>
      </c>
    </row>
    <row r="150" spans="7:64" x14ac:dyDescent="0.2">
      <c r="G150">
        <v>141</v>
      </c>
      <c r="H150" s="610">
        <f t="shared" si="131"/>
        <v>36.494999999999997</v>
      </c>
      <c r="I150" s="4" t="str">
        <f t="shared" si="132"/>
        <v>BUCK</v>
      </c>
      <c r="J150">
        <f t="shared" si="170"/>
        <v>1</v>
      </c>
      <c r="K150">
        <f t="shared" si="133"/>
        <v>20</v>
      </c>
      <c r="L150" s="4">
        <f t="shared" si="134"/>
        <v>7.7940661582256316</v>
      </c>
      <c r="M150" s="4">
        <f t="shared" si="135"/>
        <v>20</v>
      </c>
      <c r="N150" s="386">
        <f t="shared" si="136"/>
        <v>0.35409109560935581</v>
      </c>
      <c r="O150" s="386">
        <f t="shared" si="171"/>
        <v>0</v>
      </c>
      <c r="P150" s="4">
        <f t="shared" si="137"/>
        <v>16.721031353303243</v>
      </c>
      <c r="Q150" s="386">
        <f t="shared" si="138"/>
        <v>20.574241358063382</v>
      </c>
      <c r="R150" s="386">
        <f t="shared" si="116"/>
        <v>1.0508472175077903</v>
      </c>
      <c r="S150" s="386">
        <f t="shared" si="117"/>
        <v>9.2448802159383234</v>
      </c>
      <c r="T150" s="386">
        <f t="shared" si="118"/>
        <v>10.295727433446114</v>
      </c>
      <c r="U150" s="4">
        <f t="shared" si="139"/>
        <v>4.8269459764788998</v>
      </c>
      <c r="V150" s="386">
        <f t="shared" si="119"/>
        <v>4.6598814919691679E-2</v>
      </c>
      <c r="W150" s="386">
        <f t="shared" si="120"/>
        <v>4.6598814919691679E-2</v>
      </c>
      <c r="X150" s="386">
        <f t="shared" si="140"/>
        <v>9.8393626781582952</v>
      </c>
      <c r="Y150" s="386">
        <f t="shared" si="121"/>
        <v>0.19362611582466877</v>
      </c>
      <c r="Z150" s="603">
        <f t="shared" si="122"/>
        <v>0.19362611582466877</v>
      </c>
      <c r="AA150" s="386">
        <f t="shared" si="141"/>
        <v>12.242816300110361</v>
      </c>
      <c r="AB150" s="386">
        <f t="shared" si="142"/>
        <v>0.28478444682067106</v>
      </c>
      <c r="AC150" s="386">
        <f t="shared" si="143"/>
        <v>2.5303903765296418</v>
      </c>
      <c r="AD150">
        <f t="shared" si="144"/>
        <v>0</v>
      </c>
      <c r="AE150" s="386">
        <f t="shared" si="145"/>
        <v>2.985202682252909</v>
      </c>
      <c r="AF150" s="386">
        <f t="shared" si="146"/>
        <v>16.535200528012894</v>
      </c>
      <c r="AG150" s="386">
        <f t="shared" si="147"/>
        <v>0.51948442735303602</v>
      </c>
      <c r="AH150" s="386">
        <f t="shared" si="148"/>
        <v>0</v>
      </c>
      <c r="AI150" s="386">
        <f t="shared" si="149"/>
        <v>0.57971501150942228</v>
      </c>
      <c r="AJ150" s="386">
        <f t="shared" si="150"/>
        <v>0</v>
      </c>
      <c r="AK150" s="386">
        <f t="shared" si="151"/>
        <v>0</v>
      </c>
      <c r="AL150" s="386">
        <f t="shared" si="152"/>
        <v>0</v>
      </c>
      <c r="AM150">
        <f t="shared" si="153"/>
        <v>0</v>
      </c>
      <c r="AN150" s="386">
        <f t="shared" si="154"/>
        <v>0</v>
      </c>
      <c r="AO150" s="386">
        <f t="shared" si="155"/>
        <v>20.574241358063382</v>
      </c>
      <c r="AP150" s="386">
        <f t="shared" si="156"/>
        <v>0.21164970372992289</v>
      </c>
      <c r="AQ150" s="386">
        <f t="shared" si="157"/>
        <v>0</v>
      </c>
      <c r="AR150" s="386">
        <f t="shared" si="158"/>
        <v>0.2210048248713018</v>
      </c>
      <c r="AS150" s="386">
        <f t="shared" si="159"/>
        <v>0.21164970372992289</v>
      </c>
      <c r="AT150" s="386">
        <f t="shared" si="160"/>
        <v>0.27500000000000002</v>
      </c>
      <c r="AU150" s="386">
        <f t="shared" si="161"/>
        <v>2.5064187500000004</v>
      </c>
      <c r="AV150" s="386">
        <f t="shared" si="162"/>
        <v>0.82023856950479368</v>
      </c>
      <c r="AW150" s="386" t="e">
        <f t="shared" si="163"/>
        <v>#VALUE!</v>
      </c>
      <c r="AX150" s="386">
        <f t="shared" si="164"/>
        <v>3.8400000000000004E-2</v>
      </c>
      <c r="AY150" s="386">
        <f t="shared" si="165"/>
        <v>0.61440000000000006</v>
      </c>
      <c r="AZ150" s="386">
        <f t="shared" si="166"/>
        <v>0.47314285714285709</v>
      </c>
      <c r="BA150" s="386">
        <f t="shared" si="123"/>
        <v>0.65280000000000005</v>
      </c>
      <c r="BB150" s="386" t="e">
        <f t="shared" si="124"/>
        <v>#VALUE!</v>
      </c>
      <c r="BC150">
        <f t="shared" si="167"/>
        <v>256</v>
      </c>
      <c r="BD150" s="604" t="e">
        <f t="shared" si="125"/>
        <v>#VALUE!</v>
      </c>
      <c r="BE150" s="614">
        <f t="shared" si="168"/>
        <v>274.58107161264547</v>
      </c>
      <c r="BF150" s="614">
        <f t="shared" si="169"/>
        <v>28.985750575471116</v>
      </c>
      <c r="BG150" s="9"/>
      <c r="BH150" s="4" t="e">
        <f t="shared" si="126"/>
        <v>#VALUE!</v>
      </c>
      <c r="BI150" s="386">
        <f t="shared" si="127"/>
        <v>10.295727433446114</v>
      </c>
      <c r="BJ150" s="386">
        <f t="shared" si="128"/>
        <v>6.2923412686336331</v>
      </c>
      <c r="BK150" s="386">
        <f t="shared" si="129"/>
        <v>1.4068331990094225</v>
      </c>
      <c r="BL150" s="386">
        <f t="shared" si="130"/>
        <v>0.82023856950479368</v>
      </c>
    </row>
    <row r="151" spans="7:64" x14ac:dyDescent="0.2">
      <c r="G151">
        <v>142</v>
      </c>
      <c r="H151" s="610">
        <f t="shared" si="131"/>
        <v>36.69</v>
      </c>
      <c r="I151" s="4" t="str">
        <f t="shared" si="132"/>
        <v>BUCK</v>
      </c>
      <c r="J151">
        <f t="shared" si="170"/>
        <v>1</v>
      </c>
      <c r="K151">
        <f t="shared" si="133"/>
        <v>20</v>
      </c>
      <c r="L151" s="4">
        <f t="shared" si="134"/>
        <v>7.7526422579570573</v>
      </c>
      <c r="M151" s="4">
        <f t="shared" si="135"/>
        <v>20</v>
      </c>
      <c r="N151" s="386">
        <f t="shared" si="136"/>
        <v>0.35221224489795921</v>
      </c>
      <c r="O151" s="386">
        <f t="shared" si="171"/>
        <v>0</v>
      </c>
      <c r="P151" s="4">
        <f t="shared" si="137"/>
        <v>16.769670288979594</v>
      </c>
      <c r="Q151" s="386">
        <f t="shared" si="138"/>
        <v>20.577540024666629</v>
      </c>
      <c r="R151" s="386">
        <f t="shared" si="116"/>
        <v>1.051212549012436</v>
      </c>
      <c r="S151" s="386">
        <f t="shared" si="117"/>
        <v>9.306956812281225</v>
      </c>
      <c r="T151" s="386">
        <f t="shared" si="118"/>
        <v>10.358169361293662</v>
      </c>
      <c r="U151" s="4">
        <f t="shared" si="139"/>
        <v>4.8409868277818191</v>
      </c>
      <c r="V151" s="386">
        <f t="shared" si="119"/>
        <v>4.6870306933514155E-2</v>
      </c>
      <c r="W151" s="386">
        <f t="shared" si="120"/>
        <v>4.6870306933514155E-2</v>
      </c>
      <c r="X151" s="386">
        <f t="shared" si="140"/>
        <v>9.8290613889510627</v>
      </c>
      <c r="Y151" s="386">
        <f t="shared" si="121"/>
        <v>0.19322089557553718</v>
      </c>
      <c r="Z151" s="603">
        <f t="shared" si="122"/>
        <v>0.19322089557553718</v>
      </c>
      <c r="AA151" s="386">
        <f t="shared" si="141"/>
        <v>12.212249832493537</v>
      </c>
      <c r="AB151" s="386">
        <f t="shared" si="142"/>
        <v>0.28336418734535301</v>
      </c>
      <c r="AC151" s="386">
        <f t="shared" si="143"/>
        <v>2.543910752565353</v>
      </c>
      <c r="AD151">
        <f t="shared" si="144"/>
        <v>0</v>
      </c>
      <c r="AE151" s="386">
        <f t="shared" si="145"/>
        <v>2.9971308494130282</v>
      </c>
      <c r="AF151" s="386">
        <f t="shared" si="146"/>
        <v>16.561887196075169</v>
      </c>
      <c r="AG151" s="386">
        <f t="shared" si="147"/>
        <v>0.52116260424148542</v>
      </c>
      <c r="AH151" s="386">
        <f t="shared" si="148"/>
        <v>0</v>
      </c>
      <c r="AI151" s="386">
        <f t="shared" si="149"/>
        <v>0.58180567655239002</v>
      </c>
      <c r="AJ151" s="386">
        <f t="shared" si="150"/>
        <v>0</v>
      </c>
      <c r="AK151" s="386">
        <f t="shared" si="151"/>
        <v>0</v>
      </c>
      <c r="AL151" s="386">
        <f t="shared" si="152"/>
        <v>0</v>
      </c>
      <c r="AM151">
        <f t="shared" si="153"/>
        <v>0</v>
      </c>
      <c r="AN151" s="386">
        <f t="shared" si="154"/>
        <v>0</v>
      </c>
      <c r="AO151" s="386">
        <f t="shared" si="155"/>
        <v>20.577540024666629</v>
      </c>
      <c r="AP151" s="386">
        <f t="shared" si="156"/>
        <v>0.21171757673337854</v>
      </c>
      <c r="AQ151" s="386">
        <f t="shared" si="157"/>
        <v>0</v>
      </c>
      <c r="AR151" s="386">
        <f t="shared" si="158"/>
        <v>0.22107883163347575</v>
      </c>
      <c r="AS151" s="386">
        <f t="shared" si="159"/>
        <v>0.21171757673337854</v>
      </c>
      <c r="AT151" s="386">
        <f t="shared" si="160"/>
        <v>0.27500000000000002</v>
      </c>
      <c r="AU151" s="386">
        <f t="shared" si="161"/>
        <v>2.5198250000000004</v>
      </c>
      <c r="AV151" s="386">
        <f t="shared" si="162"/>
        <v>0.82288832248655597</v>
      </c>
      <c r="AW151" s="386" t="e">
        <f t="shared" si="163"/>
        <v>#VALUE!</v>
      </c>
      <c r="AX151" s="386">
        <f t="shared" si="164"/>
        <v>3.8400000000000004E-2</v>
      </c>
      <c r="AY151" s="386">
        <f t="shared" si="165"/>
        <v>0.61440000000000006</v>
      </c>
      <c r="AZ151" s="386">
        <f t="shared" si="166"/>
        <v>0.47314285714285709</v>
      </c>
      <c r="BA151" s="386">
        <f t="shared" si="123"/>
        <v>0.65280000000000005</v>
      </c>
      <c r="BB151" s="386" t="e">
        <f t="shared" si="124"/>
        <v>#VALUE!</v>
      </c>
      <c r="BC151">
        <f t="shared" si="167"/>
        <v>256</v>
      </c>
      <c r="BD151" s="604" t="e">
        <f t="shared" si="125"/>
        <v>#VALUE!</v>
      </c>
      <c r="BE151" s="614">
        <f t="shared" si="168"/>
        <v>275.84779247065143</v>
      </c>
      <c r="BF151" s="614">
        <f t="shared" si="169"/>
        <v>29.090283827619501</v>
      </c>
      <c r="BG151" s="9"/>
      <c r="BH151" s="4" t="e">
        <f t="shared" si="126"/>
        <v>#VALUE!</v>
      </c>
      <c r="BI151" s="386">
        <f t="shared" si="127"/>
        <v>10.358169361293662</v>
      </c>
      <c r="BJ151" s="386">
        <f t="shared" si="128"/>
        <v>6.3198403575988946</v>
      </c>
      <c r="BK151" s="386">
        <f t="shared" si="129"/>
        <v>1.4133479265523903</v>
      </c>
      <c r="BL151" s="386">
        <f t="shared" si="130"/>
        <v>0.82288832248655597</v>
      </c>
    </row>
    <row r="152" spans="7:64" x14ac:dyDescent="0.2">
      <c r="G152">
        <v>143</v>
      </c>
      <c r="H152" s="610">
        <f t="shared" si="131"/>
        <v>36.884999999999998</v>
      </c>
      <c r="I152" s="4" t="str">
        <f t="shared" si="132"/>
        <v>BUCK</v>
      </c>
      <c r="J152">
        <f t="shared" si="170"/>
        <v>1</v>
      </c>
      <c r="K152">
        <f t="shared" si="133"/>
        <v>20</v>
      </c>
      <c r="L152" s="4">
        <f t="shared" si="134"/>
        <v>7.7116563493139338</v>
      </c>
      <c r="M152" s="4">
        <f t="shared" si="135"/>
        <v>20</v>
      </c>
      <c r="N152" s="386">
        <f t="shared" si="136"/>
        <v>0.35035322777101102</v>
      </c>
      <c r="O152" s="386">
        <f t="shared" si="171"/>
        <v>0</v>
      </c>
      <c r="P152" s="4">
        <f t="shared" si="137"/>
        <v>16.81779578075518</v>
      </c>
      <c r="Q152" s="386">
        <f t="shared" si="138"/>
        <v>20.580812777364557</v>
      </c>
      <c r="R152" s="386">
        <f t="shared" si="116"/>
        <v>1.0515750878721346</v>
      </c>
      <c r="S152" s="386">
        <f t="shared" si="117"/>
        <v>9.3686096281700717</v>
      </c>
      <c r="T152" s="386">
        <f t="shared" si="118"/>
        <v>10.420184716042206</v>
      </c>
      <c r="U152" s="4">
        <f t="shared" si="139"/>
        <v>4.8548794605975782</v>
      </c>
      <c r="V152" s="386">
        <f t="shared" si="119"/>
        <v>4.7139709153864465E-2</v>
      </c>
      <c r="W152" s="386">
        <f t="shared" si="120"/>
        <v>4.7139709153864465E-2</v>
      </c>
      <c r="X152" s="386">
        <f t="shared" si="140"/>
        <v>9.818705314764328</v>
      </c>
      <c r="Y152" s="386">
        <f t="shared" si="121"/>
        <v>0.19281394811636252</v>
      </c>
      <c r="Z152" s="603">
        <f t="shared" si="122"/>
        <v>0.19281394811636252</v>
      </c>
      <c r="AA152" s="386">
        <f t="shared" si="141"/>
        <v>12.181915520045521</v>
      </c>
      <c r="AB152" s="386">
        <f t="shared" si="142"/>
        <v>0.28195822490129929</v>
      </c>
      <c r="AC152" s="386">
        <f t="shared" si="143"/>
        <v>2.5574311286010638</v>
      </c>
      <c r="AD152">
        <f t="shared" si="144"/>
        <v>0</v>
      </c>
      <c r="AE152" s="386">
        <f t="shared" si="145"/>
        <v>3.0090761049301684</v>
      </c>
      <c r="AF152" s="386">
        <f t="shared" si="146"/>
        <v>16.588272629764866</v>
      </c>
      <c r="AG152" s="386">
        <f t="shared" si="147"/>
        <v>0.52282449879487169</v>
      </c>
      <c r="AH152" s="386">
        <f t="shared" si="148"/>
        <v>0</v>
      </c>
      <c r="AI152" s="386">
        <f t="shared" si="149"/>
        <v>0.58387760168675784</v>
      </c>
      <c r="AJ152" s="386">
        <f t="shared" si="150"/>
        <v>0</v>
      </c>
      <c r="AK152" s="386">
        <f t="shared" si="151"/>
        <v>0</v>
      </c>
      <c r="AL152" s="386">
        <f t="shared" si="152"/>
        <v>0</v>
      </c>
      <c r="AM152">
        <f t="shared" si="153"/>
        <v>0</v>
      </c>
      <c r="AN152" s="386">
        <f t="shared" si="154"/>
        <v>0</v>
      </c>
      <c r="AO152" s="386">
        <f t="shared" si="155"/>
        <v>20.580812777364557</v>
      </c>
      <c r="AP152" s="386">
        <f t="shared" si="156"/>
        <v>0.2117849272884661</v>
      </c>
      <c r="AQ152" s="386">
        <f t="shared" si="157"/>
        <v>0</v>
      </c>
      <c r="AR152" s="386">
        <f t="shared" si="158"/>
        <v>0.22115227080697286</v>
      </c>
      <c r="AS152" s="386">
        <f t="shared" si="159"/>
        <v>0.2117849272884661</v>
      </c>
      <c r="AT152" s="386">
        <f t="shared" si="160"/>
        <v>0.27500000000000002</v>
      </c>
      <c r="AU152" s="386">
        <f t="shared" si="161"/>
        <v>2.5332312500000005</v>
      </c>
      <c r="AV152" s="386">
        <f t="shared" si="162"/>
        <v>0.82551236651821847</v>
      </c>
      <c r="AW152" s="386" t="e">
        <f t="shared" si="163"/>
        <v>#VALUE!</v>
      </c>
      <c r="AX152" s="386">
        <f t="shared" si="164"/>
        <v>3.8400000000000004E-2</v>
      </c>
      <c r="AY152" s="386">
        <f t="shared" si="165"/>
        <v>0.61440000000000006</v>
      </c>
      <c r="AZ152" s="386">
        <f t="shared" si="166"/>
        <v>0.47314285714285709</v>
      </c>
      <c r="BA152" s="386">
        <f t="shared" si="123"/>
        <v>0.65280000000000005</v>
      </c>
      <c r="BB152" s="386" t="e">
        <f t="shared" si="124"/>
        <v>#VALUE!</v>
      </c>
      <c r="BC152">
        <f t="shared" si="167"/>
        <v>256</v>
      </c>
      <c r="BD152" s="604" t="e">
        <f t="shared" si="125"/>
        <v>#VALUE!</v>
      </c>
      <c r="BE152" s="614">
        <f t="shared" si="168"/>
        <v>277.11536774650847</v>
      </c>
      <c r="BF152" s="614">
        <f t="shared" si="169"/>
        <v>29.193880084337891</v>
      </c>
      <c r="BG152" s="9"/>
      <c r="BH152" s="4" t="e">
        <f t="shared" si="126"/>
        <v>#VALUE!</v>
      </c>
      <c r="BI152" s="386">
        <f t="shared" si="127"/>
        <v>10.420184716042206</v>
      </c>
      <c r="BJ152" s="386">
        <f t="shared" si="128"/>
        <v>6.3473372274238997</v>
      </c>
      <c r="BK152" s="386">
        <f t="shared" si="129"/>
        <v>1.419843914186758</v>
      </c>
      <c r="BL152" s="386">
        <f t="shared" si="130"/>
        <v>0.82551236651821847</v>
      </c>
    </row>
    <row r="153" spans="7:64" x14ac:dyDescent="0.2">
      <c r="G153">
        <v>144</v>
      </c>
      <c r="H153" s="610">
        <f t="shared" si="131"/>
        <v>37.08</v>
      </c>
      <c r="I153" s="4" t="str">
        <f t="shared" si="132"/>
        <v>BUCK</v>
      </c>
      <c r="J153">
        <f t="shared" si="170"/>
        <v>1</v>
      </c>
      <c r="K153">
        <f t="shared" si="133"/>
        <v>20</v>
      </c>
      <c r="L153" s="4">
        <f t="shared" si="134"/>
        <v>7.671101522234208</v>
      </c>
      <c r="M153" s="4">
        <f t="shared" si="135"/>
        <v>20</v>
      </c>
      <c r="N153" s="386">
        <f t="shared" si="136"/>
        <v>0.34851373182552509</v>
      </c>
      <c r="O153" s="386">
        <f t="shared" si="171"/>
        <v>0</v>
      </c>
      <c r="P153" s="4">
        <f t="shared" si="137"/>
        <v>16.865415915993541</v>
      </c>
      <c r="Q153" s="386">
        <f t="shared" si="138"/>
        <v>20.584059880603906</v>
      </c>
      <c r="R153" s="386">
        <f t="shared" si="116"/>
        <v>1.0519348615707103</v>
      </c>
      <c r="S153" s="386">
        <f t="shared" si="117"/>
        <v>9.4298419087415652</v>
      </c>
      <c r="T153" s="386">
        <f t="shared" si="118"/>
        <v>10.481776770312276</v>
      </c>
      <c r="U153" s="4">
        <f t="shared" si="139"/>
        <v>4.8686262095469353</v>
      </c>
      <c r="V153" s="386">
        <f t="shared" si="119"/>
        <v>4.7407042336574723E-2</v>
      </c>
      <c r="W153" s="386">
        <f t="shared" si="120"/>
        <v>4.7407042336574723E-2</v>
      </c>
      <c r="X153" s="386">
        <f t="shared" si="140"/>
        <v>9.8082972013473757</v>
      </c>
      <c r="Y153" s="386">
        <f t="shared" si="121"/>
        <v>0.19240538797991752</v>
      </c>
      <c r="Z153" s="603">
        <f t="shared" si="122"/>
        <v>0.19240538797991752</v>
      </c>
      <c r="AA153" s="386">
        <f t="shared" si="141"/>
        <v>12.151810373354877</v>
      </c>
      <c r="AB153" s="386">
        <f t="shared" si="142"/>
        <v>0.28056634116495288</v>
      </c>
      <c r="AC153" s="386">
        <f t="shared" si="143"/>
        <v>2.570951504636775</v>
      </c>
      <c r="AD153">
        <f t="shared" si="144"/>
        <v>0</v>
      </c>
      <c r="AE153" s="386">
        <f t="shared" si="145"/>
        <v>3.0210381710351251</v>
      </c>
      <c r="AF153" s="386">
        <f t="shared" si="146"/>
        <v>16.614362034646774</v>
      </c>
      <c r="AG153" s="386">
        <f t="shared" si="147"/>
        <v>0.52447034905479295</v>
      </c>
      <c r="AH153" s="386">
        <f t="shared" si="148"/>
        <v>0</v>
      </c>
      <c r="AI153" s="386">
        <f t="shared" si="149"/>
        <v>0.5859310405239162</v>
      </c>
      <c r="AJ153" s="386">
        <f t="shared" si="150"/>
        <v>0</v>
      </c>
      <c r="AK153" s="386">
        <f t="shared" si="151"/>
        <v>0</v>
      </c>
      <c r="AL153" s="386">
        <f t="shared" si="152"/>
        <v>0</v>
      </c>
      <c r="AM153">
        <f t="shared" si="153"/>
        <v>0</v>
      </c>
      <c r="AN153" s="386">
        <f t="shared" si="154"/>
        <v>0</v>
      </c>
      <c r="AO153" s="386">
        <f t="shared" si="155"/>
        <v>20.584059880603906</v>
      </c>
      <c r="AP153" s="386">
        <f t="shared" si="156"/>
        <v>0.21185176058414365</v>
      </c>
      <c r="AQ153" s="386">
        <f t="shared" si="157"/>
        <v>0</v>
      </c>
      <c r="AR153" s="386">
        <f t="shared" si="158"/>
        <v>0.22122514800208973</v>
      </c>
      <c r="AS153" s="386">
        <f t="shared" si="159"/>
        <v>0.21185176058414365</v>
      </c>
      <c r="AT153" s="386">
        <f t="shared" si="160"/>
        <v>0.27500000000000002</v>
      </c>
      <c r="AU153" s="386">
        <f t="shared" si="161"/>
        <v>2.5466375000000001</v>
      </c>
      <c r="AV153" s="386">
        <f t="shared" si="162"/>
        <v>0.82811107745493628</v>
      </c>
      <c r="AW153" s="386" t="e">
        <f t="shared" si="163"/>
        <v>#VALUE!</v>
      </c>
      <c r="AX153" s="386">
        <f t="shared" si="164"/>
        <v>3.8400000000000004E-2</v>
      </c>
      <c r="AY153" s="386">
        <f t="shared" si="165"/>
        <v>0.61440000000000006</v>
      </c>
      <c r="AZ153" s="386">
        <f t="shared" si="166"/>
        <v>0.47314285714285709</v>
      </c>
      <c r="BA153" s="386">
        <f t="shared" si="123"/>
        <v>0.65280000000000005</v>
      </c>
      <c r="BB153" s="386" t="e">
        <f t="shared" si="124"/>
        <v>#VALUE!</v>
      </c>
      <c r="BC153">
        <f t="shared" si="167"/>
        <v>256</v>
      </c>
      <c r="BD153" s="604" t="e">
        <f t="shared" si="125"/>
        <v>#VALUE!</v>
      </c>
      <c r="BE153" s="614">
        <f t="shared" si="168"/>
        <v>278.38378355175627</v>
      </c>
      <c r="BF153" s="614">
        <f t="shared" si="169"/>
        <v>29.296552026195812</v>
      </c>
      <c r="BG153" s="9"/>
      <c r="BH153" s="4" t="e">
        <f t="shared" si="126"/>
        <v>#VALUE!</v>
      </c>
      <c r="BI153" s="386">
        <f t="shared" si="127"/>
        <v>10.481776770312276</v>
      </c>
      <c r="BJ153" s="386">
        <f t="shared" si="128"/>
        <v>6.3748318595611311</v>
      </c>
      <c r="BK153" s="386">
        <f t="shared" si="129"/>
        <v>1.4263214155239163</v>
      </c>
      <c r="BL153" s="386">
        <f t="shared" si="130"/>
        <v>0.82811107745493628</v>
      </c>
    </row>
    <row r="154" spans="7:64" x14ac:dyDescent="0.2">
      <c r="G154">
        <v>145</v>
      </c>
      <c r="H154" s="610">
        <f t="shared" si="131"/>
        <v>37.274999999999999</v>
      </c>
      <c r="I154" s="4" t="str">
        <f t="shared" si="132"/>
        <v>BUCK</v>
      </c>
      <c r="J154">
        <f t="shared" si="170"/>
        <v>1</v>
      </c>
      <c r="K154">
        <f t="shared" si="133"/>
        <v>20</v>
      </c>
      <c r="L154" s="4">
        <f t="shared" si="134"/>
        <v>7.6309710112527016</v>
      </c>
      <c r="M154" s="4">
        <f t="shared" si="135"/>
        <v>20</v>
      </c>
      <c r="N154" s="386">
        <f t="shared" si="136"/>
        <v>0.346693451185215</v>
      </c>
      <c r="O154" s="386">
        <f t="shared" si="171"/>
        <v>0</v>
      </c>
      <c r="P154" s="4">
        <f t="shared" si="137"/>
        <v>16.912538613097635</v>
      </c>
      <c r="Q154" s="386">
        <f t="shared" si="138"/>
        <v>20.587281596371415</v>
      </c>
      <c r="R154" s="386">
        <f t="shared" si="116"/>
        <v>1.0522918973578435</v>
      </c>
      <c r="S154" s="386">
        <f t="shared" si="117"/>
        <v>9.4906568981550876</v>
      </c>
      <c r="T154" s="386">
        <f t="shared" si="118"/>
        <v>10.542948795512931</v>
      </c>
      <c r="U154" s="4">
        <f t="shared" si="139"/>
        <v>4.8822293604759297</v>
      </c>
      <c r="V154" s="386">
        <f t="shared" si="119"/>
        <v>4.767232705658641E-2</v>
      </c>
      <c r="W154" s="386">
        <f t="shared" si="120"/>
        <v>4.767232705658641E-2</v>
      </c>
      <c r="X154" s="386">
        <f t="shared" si="140"/>
        <v>9.7978397006847189</v>
      </c>
      <c r="Y154" s="386">
        <f t="shared" si="121"/>
        <v>0.19199532560062724</v>
      </c>
      <c r="Z154" s="603">
        <f t="shared" si="122"/>
        <v>0.19199532560062724</v>
      </c>
      <c r="AA154" s="386">
        <f t="shared" si="141"/>
        <v>12.121931457928854</v>
      </c>
      <c r="AB154" s="386">
        <f t="shared" si="142"/>
        <v>0.27918832231437779</v>
      </c>
      <c r="AC154" s="386">
        <f t="shared" si="143"/>
        <v>2.5844718806724867</v>
      </c>
      <c r="AD154">
        <f t="shared" si="144"/>
        <v>0</v>
      </c>
      <c r="AE154" s="386">
        <f t="shared" si="145"/>
        <v>3.03301677603752</v>
      </c>
      <c r="AF154" s="386">
        <f t="shared" si="146"/>
        <v>16.640160493744286</v>
      </c>
      <c r="AG154" s="386">
        <f t="shared" si="147"/>
        <v>0.52610038838937934</v>
      </c>
      <c r="AH154" s="386">
        <f t="shared" si="148"/>
        <v>0</v>
      </c>
      <c r="AI154" s="386">
        <f t="shared" si="149"/>
        <v>0.58796624204983139</v>
      </c>
      <c r="AJ154" s="386">
        <f t="shared" si="150"/>
        <v>0</v>
      </c>
      <c r="AK154" s="386">
        <f t="shared" si="151"/>
        <v>0</v>
      </c>
      <c r="AL154" s="386">
        <f t="shared" si="152"/>
        <v>0</v>
      </c>
      <c r="AM154">
        <f t="shared" si="153"/>
        <v>0</v>
      </c>
      <c r="AN154" s="386">
        <f t="shared" si="154"/>
        <v>0</v>
      </c>
      <c r="AO154" s="386">
        <f t="shared" si="155"/>
        <v>20.587281596371415</v>
      </c>
      <c r="AP154" s="386">
        <f t="shared" si="156"/>
        <v>0.21191808176414659</v>
      </c>
      <c r="AQ154" s="386">
        <f t="shared" si="157"/>
        <v>0</v>
      </c>
      <c r="AR154" s="386">
        <f t="shared" si="158"/>
        <v>0.22129746878080442</v>
      </c>
      <c r="AS154" s="386">
        <f t="shared" si="159"/>
        <v>0.21191808176414659</v>
      </c>
      <c r="AT154" s="386">
        <f t="shared" si="160"/>
        <v>0.27500000000000002</v>
      </c>
      <c r="AU154" s="386">
        <f t="shared" si="161"/>
        <v>2.5600437500000002</v>
      </c>
      <c r="AV154" s="386">
        <f t="shared" si="162"/>
        <v>0.83068482377270425</v>
      </c>
      <c r="AW154" s="386" t="e">
        <f t="shared" si="163"/>
        <v>#VALUE!</v>
      </c>
      <c r="AX154" s="386">
        <f t="shared" si="164"/>
        <v>3.8400000000000004E-2</v>
      </c>
      <c r="AY154" s="386">
        <f t="shared" si="165"/>
        <v>0.61440000000000006</v>
      </c>
      <c r="AZ154" s="386">
        <f t="shared" si="166"/>
        <v>0.47314285714285709</v>
      </c>
      <c r="BA154" s="386">
        <f t="shared" si="123"/>
        <v>0.65280000000000005</v>
      </c>
      <c r="BB154" s="386" t="e">
        <f t="shared" si="124"/>
        <v>#VALUE!</v>
      </c>
      <c r="BC154">
        <f t="shared" si="167"/>
        <v>256</v>
      </c>
      <c r="BD154" s="604" t="e">
        <f t="shared" si="125"/>
        <v>#VALUE!</v>
      </c>
      <c r="BE154" s="614">
        <f t="shared" si="168"/>
        <v>279.65302630187603</v>
      </c>
      <c r="BF154" s="614">
        <f t="shared" si="169"/>
        <v>29.39831210249157</v>
      </c>
      <c r="BG154" s="9"/>
      <c r="BH154" s="4" t="e">
        <f t="shared" si="126"/>
        <v>#VALUE!</v>
      </c>
      <c r="BI154" s="386">
        <f t="shared" si="127"/>
        <v>10.542948795512931</v>
      </c>
      <c r="BJ154" s="386">
        <f t="shared" si="128"/>
        <v>6.4023242368681554</v>
      </c>
      <c r="BK154" s="386">
        <f t="shared" si="129"/>
        <v>1.4327806795498315</v>
      </c>
      <c r="BL154" s="386">
        <f t="shared" si="130"/>
        <v>0.83068482377270425</v>
      </c>
    </row>
    <row r="155" spans="7:64" x14ac:dyDescent="0.2">
      <c r="G155">
        <v>146</v>
      </c>
      <c r="H155" s="610">
        <f t="shared" si="131"/>
        <v>37.47</v>
      </c>
      <c r="I155" s="4" t="str">
        <f t="shared" si="132"/>
        <v>BUCK</v>
      </c>
      <c r="J155">
        <f t="shared" si="170"/>
        <v>1</v>
      </c>
      <c r="K155">
        <f t="shared" si="133"/>
        <v>20</v>
      </c>
      <c r="L155" s="4">
        <f t="shared" si="134"/>
        <v>7.591258191738576</v>
      </c>
      <c r="M155" s="4">
        <f t="shared" si="135"/>
        <v>20</v>
      </c>
      <c r="N155" s="386">
        <f t="shared" si="136"/>
        <v>0.34489208633093527</v>
      </c>
      <c r="O155" s="386">
        <f t="shared" si="171"/>
        <v>0</v>
      </c>
      <c r="P155" s="4">
        <f t="shared" si="137"/>
        <v>16.959171625899284</v>
      </c>
      <c r="Q155" s="386">
        <f t="shared" si="138"/>
        <v>20.590478184176757</v>
      </c>
      <c r="R155" s="386">
        <f t="shared" si="116"/>
        <v>1.0526462222464306</v>
      </c>
      <c r="S155" s="386">
        <f t="shared" si="117"/>
        <v>9.551057838017373</v>
      </c>
      <c r="T155" s="386">
        <f t="shared" si="118"/>
        <v>10.603704060263803</v>
      </c>
      <c r="U155" s="4">
        <f t="shared" si="139"/>
        <v>4.8956911517230077</v>
      </c>
      <c r="V155" s="386">
        <f t="shared" si="119"/>
        <v>4.7935583706117904E-2</v>
      </c>
      <c r="W155" s="386">
        <f t="shared" si="120"/>
        <v>4.7935583706117904E-2</v>
      </c>
      <c r="X155" s="386">
        <f t="shared" si="140"/>
        <v>9.7873353744286486</v>
      </c>
      <c r="Y155" s="386">
        <f t="shared" si="121"/>
        <v>0.19158386746308476</v>
      </c>
      <c r="Z155" s="603">
        <f t="shared" si="122"/>
        <v>0.19158386746308476</v>
      </c>
      <c r="AA155" s="386">
        <f t="shared" si="141"/>
        <v>12.092275892871498</v>
      </c>
      <c r="AB155" s="386">
        <f t="shared" si="142"/>
        <v>0.2778239589117103</v>
      </c>
      <c r="AC155" s="386">
        <f t="shared" si="143"/>
        <v>2.5979922567081979</v>
      </c>
      <c r="AD155">
        <f t="shared" si="144"/>
        <v>0</v>
      </c>
      <c r="AE155" s="386">
        <f t="shared" si="145"/>
        <v>3.0450116541580026</v>
      </c>
      <c r="AF155" s="386">
        <f t="shared" si="146"/>
        <v>16.665672971222545</v>
      </c>
      <c r="AG155" s="386">
        <f t="shared" si="147"/>
        <v>0.52771484560910165</v>
      </c>
      <c r="AH155" s="386">
        <f t="shared" si="148"/>
        <v>0</v>
      </c>
      <c r="AI155" s="386">
        <f t="shared" si="149"/>
        <v>0.58998345073210523</v>
      </c>
      <c r="AJ155" s="386">
        <f t="shared" si="150"/>
        <v>0</v>
      </c>
      <c r="AK155" s="386">
        <f t="shared" si="151"/>
        <v>0</v>
      </c>
      <c r="AL155" s="386">
        <f t="shared" si="152"/>
        <v>0</v>
      </c>
      <c r="AM155">
        <f t="shared" si="153"/>
        <v>0</v>
      </c>
      <c r="AN155" s="386">
        <f t="shared" si="154"/>
        <v>0</v>
      </c>
      <c r="AO155" s="386">
        <f t="shared" si="155"/>
        <v>20.590478184176757</v>
      </c>
      <c r="AP155" s="386">
        <f t="shared" si="156"/>
        <v>0.21198389592652947</v>
      </c>
      <c r="AQ155" s="386">
        <f t="shared" si="157"/>
        <v>0</v>
      </c>
      <c r="AR155" s="386">
        <f t="shared" si="158"/>
        <v>0.22136923865625813</v>
      </c>
      <c r="AS155" s="386">
        <f t="shared" si="159"/>
        <v>0.21198389592652947</v>
      </c>
      <c r="AT155" s="386">
        <f t="shared" si="160"/>
        <v>0.27500000000000002</v>
      </c>
      <c r="AU155" s="386">
        <f t="shared" si="161"/>
        <v>2.5734500000000002</v>
      </c>
      <c r="AV155" s="386">
        <f t="shared" si="162"/>
        <v>0.8332339667512132</v>
      </c>
      <c r="AW155" s="386" t="e">
        <f t="shared" si="163"/>
        <v>#VALUE!</v>
      </c>
      <c r="AX155" s="386">
        <f t="shared" si="164"/>
        <v>3.8400000000000004E-2</v>
      </c>
      <c r="AY155" s="386">
        <f t="shared" si="165"/>
        <v>0.61440000000000006</v>
      </c>
      <c r="AZ155" s="386">
        <f t="shared" si="166"/>
        <v>0.47314285714285709</v>
      </c>
      <c r="BA155" s="386">
        <f t="shared" si="123"/>
        <v>0.65280000000000005</v>
      </c>
      <c r="BB155" s="386" t="e">
        <f t="shared" si="124"/>
        <v>#VALUE!</v>
      </c>
      <c r="BC155">
        <f t="shared" si="167"/>
        <v>256</v>
      </c>
      <c r="BD155" s="604" t="e">
        <f t="shared" si="125"/>
        <v>#VALUE!</v>
      </c>
      <c r="BE155" s="614">
        <f t="shared" si="168"/>
        <v>280.92308270790011</v>
      </c>
      <c r="BF155" s="614">
        <f t="shared" si="169"/>
        <v>29.499172536605261</v>
      </c>
      <c r="BG155" s="9"/>
      <c r="BH155" s="4" t="e">
        <f t="shared" si="126"/>
        <v>#VALUE!</v>
      </c>
      <c r="BI155" s="386">
        <f t="shared" si="127"/>
        <v>10.603704060263803</v>
      </c>
      <c r="BJ155" s="386">
        <f t="shared" si="128"/>
        <v>6.4298143435463659</v>
      </c>
      <c r="BK155" s="386">
        <f t="shared" si="129"/>
        <v>1.4392219507321053</v>
      </c>
      <c r="BL155" s="386">
        <f t="shared" si="130"/>
        <v>0.8332339667512132</v>
      </c>
    </row>
    <row r="156" spans="7:64" x14ac:dyDescent="0.2">
      <c r="G156">
        <v>147</v>
      </c>
      <c r="H156" s="610">
        <f t="shared" si="131"/>
        <v>37.664999999999999</v>
      </c>
      <c r="I156" s="4" t="str">
        <f t="shared" si="132"/>
        <v>BUCK</v>
      </c>
      <c r="J156">
        <f t="shared" si="170"/>
        <v>1</v>
      </c>
      <c r="K156">
        <f t="shared" si="133"/>
        <v>20</v>
      </c>
      <c r="L156" s="4">
        <f t="shared" si="134"/>
        <v>7.5519565762496867</v>
      </c>
      <c r="M156" s="4">
        <f t="shared" si="135"/>
        <v>20</v>
      </c>
      <c r="N156" s="386">
        <f t="shared" si="136"/>
        <v>0.34310934393638171</v>
      </c>
      <c r="O156" s="386">
        <f t="shared" si="171"/>
        <v>0</v>
      </c>
      <c r="P156" s="4">
        <f t="shared" si="137"/>
        <v>17.005322547912527</v>
      </c>
      <c r="Q156" s="386">
        <f t="shared" si="138"/>
        <v>20.593649901038553</v>
      </c>
      <c r="R156" s="386">
        <f t="shared" si="116"/>
        <v>1.0529978630102912</v>
      </c>
      <c r="S156" s="386">
        <f t="shared" si="117"/>
        <v>9.6110479659011112</v>
      </c>
      <c r="T156" s="386">
        <f t="shared" si="118"/>
        <v>10.664045828911402</v>
      </c>
      <c r="U156" s="4">
        <f t="shared" si="139"/>
        <v>4.9090137753468559</v>
      </c>
      <c r="V156" s="386">
        <f t="shared" si="119"/>
        <v>4.8196832493090383E-2</v>
      </c>
      <c r="W156" s="386">
        <f t="shared" si="120"/>
        <v>4.8196832493090383E-2</v>
      </c>
      <c r="X156" s="386">
        <f t="shared" si="140"/>
        <v>9.7767866971899711</v>
      </c>
      <c r="Y156" s="386">
        <f t="shared" si="121"/>
        <v>0.19117111624470159</v>
      </c>
      <c r="Z156" s="603">
        <f t="shared" si="122"/>
        <v>0.19117111624470159</v>
      </c>
      <c r="AA156" s="386">
        <f t="shared" si="141"/>
        <v>12.062840849601335</v>
      </c>
      <c r="AB156" s="386">
        <f t="shared" si="142"/>
        <v>0.27647304578934023</v>
      </c>
      <c r="AC156" s="386">
        <f t="shared" si="143"/>
        <v>2.6115126327439091</v>
      </c>
      <c r="AD156">
        <f t="shared" si="144"/>
        <v>0</v>
      </c>
      <c r="AE156" s="386">
        <f t="shared" si="145"/>
        <v>3.0570225453660562</v>
      </c>
      <c r="AF156" s="386">
        <f t="shared" si="146"/>
        <v>16.690904315936109</v>
      </c>
      <c r="AG156" s="386">
        <f t="shared" si="147"/>
        <v>0.5293139450790959</v>
      </c>
      <c r="AH156" s="386">
        <f t="shared" si="148"/>
        <v>0</v>
      </c>
      <c r="AI156" s="386">
        <f t="shared" si="149"/>
        <v>0.59198290662400432</v>
      </c>
      <c r="AJ156" s="386">
        <f t="shared" si="150"/>
        <v>0</v>
      </c>
      <c r="AK156" s="386">
        <f t="shared" si="151"/>
        <v>0</v>
      </c>
      <c r="AL156" s="386">
        <f t="shared" si="152"/>
        <v>0</v>
      </c>
      <c r="AM156">
        <f t="shared" si="153"/>
        <v>0</v>
      </c>
      <c r="AN156" s="386">
        <f t="shared" si="154"/>
        <v>0</v>
      </c>
      <c r="AO156" s="386">
        <f t="shared" si="155"/>
        <v>20.593649901038553</v>
      </c>
      <c r="AP156" s="386">
        <f t="shared" si="156"/>
        <v>0.2120492081232726</v>
      </c>
      <c r="AQ156" s="386">
        <f t="shared" si="157"/>
        <v>0</v>
      </c>
      <c r="AR156" s="386">
        <f t="shared" si="158"/>
        <v>0.22144046309230753</v>
      </c>
      <c r="AS156" s="386">
        <f t="shared" si="159"/>
        <v>0.2120492081232726</v>
      </c>
      <c r="AT156" s="386">
        <f t="shared" si="160"/>
        <v>0.27500000000000002</v>
      </c>
      <c r="AU156" s="386">
        <f t="shared" si="161"/>
        <v>2.5868562500000003</v>
      </c>
      <c r="AV156" s="386">
        <f t="shared" si="162"/>
        <v>0.83575886065120397</v>
      </c>
      <c r="AW156" s="386" t="e">
        <f t="shared" si="163"/>
        <v>#VALUE!</v>
      </c>
      <c r="AX156" s="386">
        <f t="shared" si="164"/>
        <v>3.8400000000000004E-2</v>
      </c>
      <c r="AY156" s="386">
        <f t="shared" si="165"/>
        <v>0.61440000000000006</v>
      </c>
      <c r="AZ156" s="386">
        <f t="shared" si="166"/>
        <v>0.47314285714285709</v>
      </c>
      <c r="BA156" s="386">
        <f t="shared" si="123"/>
        <v>0.65280000000000005</v>
      </c>
      <c r="BB156" s="386" t="e">
        <f t="shared" si="124"/>
        <v>#VALUE!</v>
      </c>
      <c r="BC156">
        <f t="shared" si="167"/>
        <v>256</v>
      </c>
      <c r="BD156" s="604" t="e">
        <f t="shared" si="125"/>
        <v>#VALUE!</v>
      </c>
      <c r="BE156" s="614">
        <f t="shared" si="168"/>
        <v>282.19393976830281</v>
      </c>
      <c r="BF156" s="614">
        <f t="shared" si="169"/>
        <v>29.599145331200216</v>
      </c>
      <c r="BG156" s="9"/>
      <c r="BH156" s="4" t="e">
        <f t="shared" si="126"/>
        <v>#VALUE!</v>
      </c>
      <c r="BI156" s="386">
        <f t="shared" si="127"/>
        <v>10.664045828911402</v>
      </c>
      <c r="BJ156" s="386">
        <f t="shared" si="128"/>
        <v>6.4573021650823677</v>
      </c>
      <c r="BK156" s="386">
        <f t="shared" si="129"/>
        <v>1.4456454691240044</v>
      </c>
      <c r="BL156" s="386">
        <f t="shared" si="130"/>
        <v>0.83575886065120397</v>
      </c>
    </row>
    <row r="157" spans="7:64" x14ac:dyDescent="0.2">
      <c r="G157">
        <v>148</v>
      </c>
      <c r="H157" s="610">
        <f t="shared" si="131"/>
        <v>37.86</v>
      </c>
      <c r="I157" s="4" t="str">
        <f t="shared" si="132"/>
        <v>BUCK</v>
      </c>
      <c r="J157">
        <f t="shared" si="170"/>
        <v>1</v>
      </c>
      <c r="K157">
        <f t="shared" si="133"/>
        <v>20</v>
      </c>
      <c r="L157" s="4">
        <f t="shared" si="134"/>
        <v>7.5130598109995894</v>
      </c>
      <c r="M157" s="4">
        <f t="shared" si="135"/>
        <v>20</v>
      </c>
      <c r="N157" s="386">
        <f t="shared" si="136"/>
        <v>0.34134493670886079</v>
      </c>
      <c r="O157" s="386">
        <f t="shared" si="171"/>
        <v>0</v>
      </c>
      <c r="P157" s="4">
        <f t="shared" si="137"/>
        <v>17.050998816455699</v>
      </c>
      <c r="Q157" s="386">
        <f t="shared" si="138"/>
        <v>20.596797001473259</v>
      </c>
      <c r="R157" s="386">
        <f t="shared" si="116"/>
        <v>1.0533468461822038</v>
      </c>
      <c r="S157" s="386">
        <f t="shared" si="117"/>
        <v>9.6706305139527675</v>
      </c>
      <c r="T157" s="386">
        <f t="shared" si="118"/>
        <v>10.72397736013497</v>
      </c>
      <c r="U157" s="4">
        <f t="shared" si="139"/>
        <v>4.9221993783163445</v>
      </c>
      <c r="V157" s="386">
        <f t="shared" si="119"/>
        <v>4.8456093439795615E-2</v>
      </c>
      <c r="W157" s="386">
        <f t="shared" si="120"/>
        <v>4.8456093439795615E-2</v>
      </c>
      <c r="X157" s="386">
        <f t="shared" si="140"/>
        <v>9.7661960596936161</v>
      </c>
      <c r="Y157" s="386">
        <f t="shared" si="121"/>
        <v>0.19075717095275022</v>
      </c>
      <c r="Z157" s="603">
        <f t="shared" si="122"/>
        <v>0.19075717095275022</v>
      </c>
      <c r="AA157" s="386">
        <f t="shared" si="141"/>
        <v>12.033623550607157</v>
      </c>
      <c r="AB157" s="386">
        <f t="shared" si="142"/>
        <v>0.27513538193968168</v>
      </c>
      <c r="AC157" s="386">
        <f t="shared" si="143"/>
        <v>2.6250330087796203</v>
      </c>
      <c r="AD157">
        <f t="shared" si="144"/>
        <v>0</v>
      </c>
      <c r="AE157" s="386">
        <f t="shared" si="145"/>
        <v>3.0690491952231826</v>
      </c>
      <c r="AF157" s="386">
        <f t="shared" si="146"/>
        <v>16.715859264846983</v>
      </c>
      <c r="AG157" s="386">
        <f t="shared" si="147"/>
        <v>0.53089790682812443</v>
      </c>
      <c r="AH157" s="386">
        <f t="shared" si="148"/>
        <v>0</v>
      </c>
      <c r="AI157" s="386">
        <f t="shared" si="149"/>
        <v>0.59396484546555517</v>
      </c>
      <c r="AJ157" s="386">
        <f t="shared" si="150"/>
        <v>0</v>
      </c>
      <c r="AK157" s="386">
        <f t="shared" si="151"/>
        <v>0</v>
      </c>
      <c r="AL157" s="386">
        <f t="shared" si="152"/>
        <v>0</v>
      </c>
      <c r="AM157">
        <f t="shared" si="153"/>
        <v>0</v>
      </c>
      <c r="AN157" s="386">
        <f t="shared" si="154"/>
        <v>0</v>
      </c>
      <c r="AO157" s="386">
        <f t="shared" si="155"/>
        <v>20.596797001473259</v>
      </c>
      <c r="AP157" s="386">
        <f t="shared" si="156"/>
        <v>0.21211402335994894</v>
      </c>
      <c r="AQ157" s="386">
        <f t="shared" si="157"/>
        <v>0</v>
      </c>
      <c r="AR157" s="386">
        <f t="shared" si="158"/>
        <v>0.2215111475031431</v>
      </c>
      <c r="AS157" s="386">
        <f t="shared" si="159"/>
        <v>0.21211402335994894</v>
      </c>
      <c r="AT157" s="386">
        <f t="shared" si="160"/>
        <v>0.27500000000000002</v>
      </c>
      <c r="AU157" s="386">
        <f t="shared" si="161"/>
        <v>2.6002625000000004</v>
      </c>
      <c r="AV157" s="386">
        <f t="shared" si="162"/>
        <v>0.83825985288651217</v>
      </c>
      <c r="AW157" s="386" t="e">
        <f t="shared" si="163"/>
        <v>#VALUE!</v>
      </c>
      <c r="AX157" s="386">
        <f t="shared" si="164"/>
        <v>3.8400000000000004E-2</v>
      </c>
      <c r="AY157" s="386">
        <f t="shared" si="165"/>
        <v>0.61440000000000006</v>
      </c>
      <c r="AZ157" s="386">
        <f t="shared" si="166"/>
        <v>0.47314285714285709</v>
      </c>
      <c r="BA157" s="386">
        <f t="shared" si="123"/>
        <v>0.65280000000000005</v>
      </c>
      <c r="BB157" s="386" t="e">
        <f t="shared" si="124"/>
        <v>#VALUE!</v>
      </c>
      <c r="BC157">
        <f t="shared" si="167"/>
        <v>256</v>
      </c>
      <c r="BD157" s="604" t="e">
        <f t="shared" si="125"/>
        <v>#VALUE!</v>
      </c>
      <c r="BE157" s="614">
        <f t="shared" si="168"/>
        <v>283.46558476115911</v>
      </c>
      <c r="BF157" s="614">
        <f t="shared" si="169"/>
        <v>29.69824227327776</v>
      </c>
      <c r="BG157" s="9"/>
      <c r="BH157" s="4" t="e">
        <f t="shared" si="126"/>
        <v>#VALUE!</v>
      </c>
      <c r="BI157" s="386">
        <f t="shared" si="127"/>
        <v>10.72397736013497</v>
      </c>
      <c r="BJ157" s="386">
        <f t="shared" si="128"/>
        <v>6.4847876881918811</v>
      </c>
      <c r="BK157" s="386">
        <f t="shared" si="129"/>
        <v>1.4520514704655554</v>
      </c>
      <c r="BL157" s="386">
        <f t="shared" si="130"/>
        <v>0.83825985288651217</v>
      </c>
    </row>
    <row r="158" spans="7:64" x14ac:dyDescent="0.2">
      <c r="G158">
        <v>149</v>
      </c>
      <c r="H158" s="610">
        <f t="shared" si="131"/>
        <v>38.055</v>
      </c>
      <c r="I158" s="4" t="str">
        <f t="shared" si="132"/>
        <v>BUCK</v>
      </c>
      <c r="J158">
        <f t="shared" si="170"/>
        <v>1</v>
      </c>
      <c r="K158">
        <f t="shared" si="133"/>
        <v>20</v>
      </c>
      <c r="L158" s="4">
        <f t="shared" si="134"/>
        <v>7.4745616724331745</v>
      </c>
      <c r="M158" s="4">
        <f t="shared" si="135"/>
        <v>20</v>
      </c>
      <c r="N158" s="386">
        <f t="shared" si="136"/>
        <v>0.3395985832349469</v>
      </c>
      <c r="O158" s="386">
        <f t="shared" si="171"/>
        <v>0</v>
      </c>
      <c r="P158" s="4">
        <f t="shared" si="137"/>
        <v>17.096207716646994</v>
      </c>
      <c r="Q158" s="386">
        <f t="shared" si="138"/>
        <v>20.599919737486722</v>
      </c>
      <c r="R158" s="386">
        <f t="shared" si="116"/>
        <v>1.0536931980522461</v>
      </c>
      <c r="S158" s="386">
        <f t="shared" si="117"/>
        <v>9.7298087075847874</v>
      </c>
      <c r="T158" s="386">
        <f t="shared" si="118"/>
        <v>10.783501905637033</v>
      </c>
      <c r="U158" s="4">
        <f t="shared" si="139"/>
        <v>4.9352500636639496</v>
      </c>
      <c r="V158" s="386">
        <f t="shared" si="119"/>
        <v>4.8713386381790041E-2</v>
      </c>
      <c r="W158" s="386">
        <f t="shared" si="120"/>
        <v>4.8713386381790041E-2</v>
      </c>
      <c r="X158" s="386">
        <f t="shared" si="140"/>
        <v>9.7555657718053546</v>
      </c>
      <c r="Y158" s="386">
        <f t="shared" si="121"/>
        <v>0.19034212705604039</v>
      </c>
      <c r="Z158" s="603">
        <f t="shared" si="122"/>
        <v>0.19034212705604039</v>
      </c>
      <c r="AA158" s="386">
        <f t="shared" si="141"/>
        <v>12.004621268240617</v>
      </c>
      <c r="AB158" s="386">
        <f t="shared" si="142"/>
        <v>0.27381077040840041</v>
      </c>
      <c r="AC158" s="386">
        <f t="shared" si="143"/>
        <v>2.6385533848153315</v>
      </c>
      <c r="AD158">
        <f t="shared" si="144"/>
        <v>0</v>
      </c>
      <c r="AE158" s="386">
        <f t="shared" si="145"/>
        <v>3.0810913547312575</v>
      </c>
      <c r="AF158" s="386">
        <f t="shared" si="146"/>
        <v>16.740542446318759</v>
      </c>
      <c r="AG158" s="386">
        <f t="shared" si="147"/>
        <v>0.53246694665430017</v>
      </c>
      <c r="AH158" s="386">
        <f t="shared" si="148"/>
        <v>0</v>
      </c>
      <c r="AI158" s="386">
        <f t="shared" si="149"/>
        <v>0.59592949878181645</v>
      </c>
      <c r="AJ158" s="386">
        <f t="shared" si="150"/>
        <v>0</v>
      </c>
      <c r="AK158" s="386">
        <f t="shared" si="151"/>
        <v>0</v>
      </c>
      <c r="AL158" s="386">
        <f t="shared" si="152"/>
        <v>0</v>
      </c>
      <c r="AM158">
        <f t="shared" si="153"/>
        <v>0</v>
      </c>
      <c r="AN158" s="386">
        <f t="shared" si="154"/>
        <v>0</v>
      </c>
      <c r="AO158" s="386">
        <f t="shared" si="155"/>
        <v>20.599919737486722</v>
      </c>
      <c r="AP158" s="386">
        <f t="shared" si="156"/>
        <v>0.21217834659544751</v>
      </c>
      <c r="AQ158" s="386">
        <f t="shared" si="157"/>
        <v>0</v>
      </c>
      <c r="AR158" s="386">
        <f t="shared" si="158"/>
        <v>0.22158129725296941</v>
      </c>
      <c r="AS158" s="386">
        <f t="shared" si="159"/>
        <v>0.21217834659544751</v>
      </c>
      <c r="AT158" s="386">
        <f t="shared" si="160"/>
        <v>0.27500000000000002</v>
      </c>
      <c r="AU158" s="386">
        <f t="shared" si="161"/>
        <v>2.6136687500000004</v>
      </c>
      <c r="AV158" s="386">
        <f t="shared" si="162"/>
        <v>0.84073728419100024</v>
      </c>
      <c r="AW158" s="386" t="e">
        <f t="shared" si="163"/>
        <v>#VALUE!</v>
      </c>
      <c r="AX158" s="386">
        <f t="shared" si="164"/>
        <v>3.8400000000000004E-2</v>
      </c>
      <c r="AY158" s="386">
        <f t="shared" si="165"/>
        <v>0.61440000000000006</v>
      </c>
      <c r="AZ158" s="386">
        <f t="shared" si="166"/>
        <v>0.47314285714285709</v>
      </c>
      <c r="BA158" s="386">
        <f t="shared" si="123"/>
        <v>0.65280000000000005</v>
      </c>
      <c r="BB158" s="386" t="e">
        <f t="shared" si="124"/>
        <v>#VALUE!</v>
      </c>
      <c r="BC158">
        <f t="shared" si="167"/>
        <v>256</v>
      </c>
      <c r="BD158" s="604" t="e">
        <f t="shared" si="125"/>
        <v>#VALUE!</v>
      </c>
      <c r="BE158" s="614">
        <f t="shared" si="168"/>
        <v>284.73800523656291</v>
      </c>
      <c r="BF158" s="614">
        <f t="shared" si="169"/>
        <v>29.796474939090821</v>
      </c>
      <c r="BG158" s="9"/>
      <c r="BH158" s="4" t="e">
        <f t="shared" si="126"/>
        <v>#VALUE!</v>
      </c>
      <c r="BI158" s="386">
        <f t="shared" si="127"/>
        <v>10.783501905637033</v>
      </c>
      <c r="BJ158" s="386">
        <f t="shared" si="128"/>
        <v>6.512270900766044</v>
      </c>
      <c r="BK158" s="386">
        <f t="shared" si="129"/>
        <v>1.4584401862818166</v>
      </c>
      <c r="BL158" s="386">
        <f t="shared" si="130"/>
        <v>0.84073728419100024</v>
      </c>
    </row>
    <row r="159" spans="7:64" x14ac:dyDescent="0.2">
      <c r="G159">
        <v>150</v>
      </c>
      <c r="H159" s="610">
        <f t="shared" si="131"/>
        <v>38.25</v>
      </c>
      <c r="I159" s="4" t="str">
        <f t="shared" si="132"/>
        <v>BUCK</v>
      </c>
      <c r="J159">
        <f t="shared" si="170"/>
        <v>1</v>
      </c>
      <c r="K159">
        <f t="shared" si="133"/>
        <v>20</v>
      </c>
      <c r="L159" s="4">
        <f t="shared" si="134"/>
        <v>7.4364560639070429</v>
      </c>
      <c r="M159" s="4">
        <f t="shared" si="135"/>
        <v>20</v>
      </c>
      <c r="N159" s="386">
        <f t="shared" si="136"/>
        <v>0.33787000783085358</v>
      </c>
      <c r="O159" s="386">
        <f t="shared" si="171"/>
        <v>0</v>
      </c>
      <c r="P159" s="4">
        <f t="shared" si="137"/>
        <v>17.140956385277999</v>
      </c>
      <c r="Q159" s="386">
        <f t="shared" si="138"/>
        <v>20.603018358568246</v>
      </c>
      <c r="R159" s="386">
        <f t="shared" si="116"/>
        <v>1.0540369446664257</v>
      </c>
      <c r="S159" s="386">
        <f t="shared" si="117"/>
        <v>9.7885857642482073</v>
      </c>
      <c r="T159" s="386">
        <f t="shared" si="118"/>
        <v>10.842622708914632</v>
      </c>
      <c r="U159" s="4">
        <f t="shared" si="139"/>
        <v>4.9481678916039442</v>
      </c>
      <c r="V159" s="386">
        <f t="shared" si="119"/>
        <v>4.8968730967000447E-2</v>
      </c>
      <c r="W159" s="386">
        <f t="shared" si="120"/>
        <v>4.8968730967000447E-2</v>
      </c>
      <c r="X159" s="386">
        <f t="shared" si="140"/>
        <v>9.7448980654356063</v>
      </c>
      <c r="Y159" s="386">
        <f t="shared" si="121"/>
        <v>0.18992607661146124</v>
      </c>
      <c r="Z159" s="603">
        <f t="shared" si="122"/>
        <v>0.18992607661146124</v>
      </c>
      <c r="AA159" s="386">
        <f t="shared" si="141"/>
        <v>11.975831323544313</v>
      </c>
      <c r="AB159" s="386">
        <f t="shared" si="142"/>
        <v>0.27249901819097178</v>
      </c>
      <c r="AC159" s="386">
        <f t="shared" si="143"/>
        <v>2.6520737608510427</v>
      </c>
      <c r="AD159">
        <f t="shared" si="144"/>
        <v>0</v>
      </c>
      <c r="AE159" s="386">
        <f t="shared" si="145"/>
        <v>3.0931487801858646</v>
      </c>
      <c r="AF159" s="386">
        <f t="shared" si="146"/>
        <v>16.764958383292068</v>
      </c>
      <c r="AG159" s="386">
        <f t="shared" si="147"/>
        <v>0.53402127622767848</v>
      </c>
      <c r="AH159" s="386">
        <f t="shared" si="148"/>
        <v>0</v>
      </c>
      <c r="AI159" s="386">
        <f t="shared" si="149"/>
        <v>0.59787709397840749</v>
      </c>
      <c r="AJ159" s="386">
        <f t="shared" si="150"/>
        <v>0</v>
      </c>
      <c r="AK159" s="386">
        <f t="shared" si="151"/>
        <v>0</v>
      </c>
      <c r="AL159" s="386">
        <f t="shared" si="152"/>
        <v>0</v>
      </c>
      <c r="AM159">
        <f t="shared" si="153"/>
        <v>0</v>
      </c>
      <c r="AN159" s="386">
        <f t="shared" si="154"/>
        <v>0</v>
      </c>
      <c r="AO159" s="386">
        <f t="shared" si="155"/>
        <v>20.603018358568246</v>
      </c>
      <c r="AP159" s="386">
        <f t="shared" si="156"/>
        <v>0.21224218274175011</v>
      </c>
      <c r="AQ159" s="386">
        <f t="shared" si="157"/>
        <v>0</v>
      </c>
      <c r="AR159" s="386">
        <f t="shared" si="158"/>
        <v>0.22165091765574349</v>
      </c>
      <c r="AS159" s="386">
        <f t="shared" si="159"/>
        <v>0.21224218274175011</v>
      </c>
      <c r="AT159" s="386">
        <f t="shared" si="160"/>
        <v>0.27500000000000002</v>
      </c>
      <c r="AU159" s="386">
        <f t="shared" si="161"/>
        <v>2.6270750000000005</v>
      </c>
      <c r="AV159" s="386">
        <f t="shared" si="162"/>
        <v>0.84319148878054495</v>
      </c>
      <c r="AW159" s="386" t="e">
        <f t="shared" si="163"/>
        <v>#VALUE!</v>
      </c>
      <c r="AX159" s="386">
        <f t="shared" si="164"/>
        <v>3.8400000000000004E-2</v>
      </c>
      <c r="AY159" s="386">
        <f t="shared" si="165"/>
        <v>0.61440000000000006</v>
      </c>
      <c r="AZ159" s="386">
        <f t="shared" si="166"/>
        <v>0.47314285714285709</v>
      </c>
      <c r="BA159" s="386">
        <f t="shared" si="123"/>
        <v>0.65280000000000005</v>
      </c>
      <c r="BB159" s="386" t="e">
        <f t="shared" si="124"/>
        <v>#VALUE!</v>
      </c>
      <c r="BC159">
        <f t="shared" si="167"/>
        <v>256</v>
      </c>
      <c r="BD159" s="604" t="e">
        <f t="shared" si="125"/>
        <v>#VALUE!</v>
      </c>
      <c r="BE159" s="614">
        <f t="shared" si="168"/>
        <v>286.01118900929328</v>
      </c>
      <c r="BF159" s="614">
        <f t="shared" si="169"/>
        <v>29.893854698920375</v>
      </c>
      <c r="BG159" s="9"/>
      <c r="BH159" s="4" t="e">
        <f t="shared" si="126"/>
        <v>#VALUE!</v>
      </c>
      <c r="BI159" s="386">
        <f t="shared" si="127"/>
        <v>10.842622708914632</v>
      </c>
      <c r="BJ159" s="386">
        <f t="shared" si="128"/>
        <v>6.5397517918200165</v>
      </c>
      <c r="BK159" s="386">
        <f t="shared" si="129"/>
        <v>1.4648118439784077</v>
      </c>
      <c r="BL159" s="386">
        <f t="shared" si="130"/>
        <v>0.84319148878054495</v>
      </c>
    </row>
    <row r="160" spans="7:64" x14ac:dyDescent="0.2">
      <c r="G160">
        <v>151</v>
      </c>
      <c r="H160" s="610">
        <f t="shared" si="131"/>
        <v>38.445</v>
      </c>
      <c r="I160" s="4" t="str">
        <f t="shared" si="132"/>
        <v>BUCK</v>
      </c>
      <c r="J160">
        <f t="shared" si="170"/>
        <v>1</v>
      </c>
      <c r="K160">
        <f t="shared" si="133"/>
        <v>20</v>
      </c>
      <c r="L160" s="4">
        <f t="shared" si="134"/>
        <v>7.3987370124709173</v>
      </c>
      <c r="M160" s="4">
        <f t="shared" si="135"/>
        <v>20</v>
      </c>
      <c r="N160" s="386">
        <f t="shared" si="136"/>
        <v>0.336158940397351</v>
      </c>
      <c r="O160" s="386">
        <f t="shared" si="171"/>
        <v>0</v>
      </c>
      <c r="P160" s="4">
        <f t="shared" si="137"/>
        <v>17.18525181456954</v>
      </c>
      <c r="Q160" s="386">
        <f t="shared" si="138"/>
        <v>20.606093111686985</v>
      </c>
      <c r="R160" s="386">
        <f t="shared" si="116"/>
        <v>1.0543781118255768</v>
      </c>
      <c r="S160" s="386">
        <f t="shared" si="117"/>
        <v>9.8469648922812318</v>
      </c>
      <c r="T160" s="386">
        <f t="shared" si="118"/>
        <v>10.901343004106808</v>
      </c>
      <c r="U160" s="4">
        <f t="shared" si="139"/>
        <v>4.9609548806166144</v>
      </c>
      <c r="V160" s="386">
        <f t="shared" si="119"/>
        <v>4.9222146655027617E-2</v>
      </c>
      <c r="W160" s="386">
        <f t="shared" si="120"/>
        <v>4.9222146655027617E-2</v>
      </c>
      <c r="X160" s="386">
        <f t="shared" si="140"/>
        <v>9.7341950973260136</v>
      </c>
      <c r="Y160" s="386">
        <f t="shared" si="121"/>
        <v>0.18950910838561161</v>
      </c>
      <c r="Z160" s="603">
        <f t="shared" si="122"/>
        <v>0.18950910838561161</v>
      </c>
      <c r="AA160" s="386">
        <f t="shared" si="141"/>
        <v>11.947251085114054</v>
      </c>
      <c r="AB160" s="386">
        <f t="shared" si="142"/>
        <v>0.27119993613244198</v>
      </c>
      <c r="AC160" s="386">
        <f t="shared" si="143"/>
        <v>2.665594136886754</v>
      </c>
      <c r="AD160">
        <f t="shared" si="144"/>
        <v>0</v>
      </c>
      <c r="AE160" s="386">
        <f t="shared" si="145"/>
        <v>3.1052212330344022</v>
      </c>
      <c r="AF160" s="386">
        <f t="shared" si="146"/>
        <v>16.789111496346518</v>
      </c>
      <c r="AG160" s="386">
        <f t="shared" si="147"/>
        <v>0.53556110318983419</v>
      </c>
      <c r="AH160" s="386">
        <f t="shared" si="148"/>
        <v>0</v>
      </c>
      <c r="AI160" s="386">
        <f t="shared" si="149"/>
        <v>0.59980785443439677</v>
      </c>
      <c r="AJ160" s="386">
        <f t="shared" si="150"/>
        <v>0</v>
      </c>
      <c r="AK160" s="386">
        <f t="shared" si="151"/>
        <v>0</v>
      </c>
      <c r="AL160" s="386">
        <f t="shared" si="152"/>
        <v>0</v>
      </c>
      <c r="AM160">
        <f t="shared" si="153"/>
        <v>0</v>
      </c>
      <c r="AN160" s="386">
        <f t="shared" si="154"/>
        <v>0</v>
      </c>
      <c r="AO160" s="386">
        <f t="shared" si="155"/>
        <v>20.606093111686985</v>
      </c>
      <c r="AP160" s="386">
        <f t="shared" si="156"/>
        <v>0.2123055366637569</v>
      </c>
      <c r="AQ160" s="386">
        <f t="shared" si="157"/>
        <v>0</v>
      </c>
      <c r="AR160" s="386">
        <f t="shared" si="158"/>
        <v>0.22172001397496713</v>
      </c>
      <c r="AS160" s="386">
        <f t="shared" si="159"/>
        <v>0.2123055366637569</v>
      </c>
      <c r="AT160" s="386">
        <f t="shared" si="160"/>
        <v>0.27500000000000002</v>
      </c>
      <c r="AU160" s="386">
        <f t="shared" si="161"/>
        <v>2.6404812500000006</v>
      </c>
      <c r="AV160" s="386">
        <f t="shared" si="162"/>
        <v>0.84562279451026456</v>
      </c>
      <c r="AW160" s="386" t="e">
        <f t="shared" si="163"/>
        <v>#VALUE!</v>
      </c>
      <c r="AX160" s="386">
        <f t="shared" si="164"/>
        <v>3.8400000000000004E-2</v>
      </c>
      <c r="AY160" s="386">
        <f t="shared" si="165"/>
        <v>0.61440000000000006</v>
      </c>
      <c r="AZ160" s="386">
        <f t="shared" si="166"/>
        <v>0.47314285714285709</v>
      </c>
      <c r="BA160" s="386">
        <f t="shared" si="123"/>
        <v>0.65280000000000005</v>
      </c>
      <c r="BB160" s="386" t="e">
        <f t="shared" si="124"/>
        <v>#VALUE!</v>
      </c>
      <c r="BC160">
        <f t="shared" si="167"/>
        <v>256</v>
      </c>
      <c r="BD160" s="604" t="e">
        <f t="shared" si="125"/>
        <v>#VALUE!</v>
      </c>
      <c r="BE160" s="614">
        <f t="shared" si="168"/>
        <v>287.28512415172014</v>
      </c>
      <c r="BF160" s="614">
        <f t="shared" si="169"/>
        <v>29.990392721719839</v>
      </c>
      <c r="BG160" s="9"/>
      <c r="BH160" s="4" t="e">
        <f t="shared" si="126"/>
        <v>#VALUE!</v>
      </c>
      <c r="BI160" s="386">
        <f t="shared" si="127"/>
        <v>10.901343004106808</v>
      </c>
      <c r="BJ160" s="386">
        <f t="shared" si="128"/>
        <v>6.5672303514437669</v>
      </c>
      <c r="BK160" s="386">
        <f t="shared" si="129"/>
        <v>1.471166666934397</v>
      </c>
      <c r="BL160" s="386">
        <f t="shared" si="130"/>
        <v>0.84562279451026456</v>
      </c>
    </row>
    <row r="161" spans="7:64" x14ac:dyDescent="0.2">
      <c r="G161">
        <v>152</v>
      </c>
      <c r="H161" s="610">
        <f t="shared" si="131"/>
        <v>38.64</v>
      </c>
      <c r="I161" s="4" t="str">
        <f t="shared" si="132"/>
        <v>BUCK</v>
      </c>
      <c r="J161">
        <f t="shared" si="170"/>
        <v>1</v>
      </c>
      <c r="K161">
        <f t="shared" si="133"/>
        <v>20</v>
      </c>
      <c r="L161" s="4">
        <f t="shared" si="134"/>
        <v>7.3613986657464912</v>
      </c>
      <c r="M161" s="4">
        <f t="shared" si="135"/>
        <v>20</v>
      </c>
      <c r="N161" s="386">
        <f t="shared" si="136"/>
        <v>0.33446511627906977</v>
      </c>
      <c r="O161" s="386">
        <f t="shared" si="171"/>
        <v>0</v>
      </c>
      <c r="P161" s="4">
        <f t="shared" si="137"/>
        <v>17.229100855813957</v>
      </c>
      <c r="Q161" s="386">
        <f t="shared" si="138"/>
        <v>20.609144241290501</v>
      </c>
      <c r="R161" s="386">
        <f t="shared" si="116"/>
        <v>1.0547167250845069</v>
      </c>
      <c r="S161" s="386">
        <f t="shared" si="117"/>
        <v>9.9049492898300215</v>
      </c>
      <c r="T161" s="386">
        <f t="shared" si="118"/>
        <v>10.959666014914529</v>
      </c>
      <c r="U161" s="4">
        <f t="shared" si="139"/>
        <v>4.9736130084996999</v>
      </c>
      <c r="V161" s="386">
        <f t="shared" si="119"/>
        <v>4.9473652716634876E-2</v>
      </c>
      <c r="W161" s="386">
        <f t="shared" si="120"/>
        <v>4.9473652716634876E-2</v>
      </c>
      <c r="X161" s="386">
        <f t="shared" si="140"/>
        <v>9.7234589517240675</v>
      </c>
      <c r="Y161" s="386">
        <f t="shared" si="121"/>
        <v>0.1890913079717258</v>
      </c>
      <c r="Z161" s="603">
        <f t="shared" si="122"/>
        <v>0.1890913079717258</v>
      </c>
      <c r="AA161" s="386">
        <f t="shared" si="141"/>
        <v>11.918877967994206</v>
      </c>
      <c r="AB161" s="386">
        <f t="shared" si="142"/>
        <v>0.26991333883028162</v>
      </c>
      <c r="AC161" s="386">
        <f t="shared" si="143"/>
        <v>2.6791145129224652</v>
      </c>
      <c r="AD161">
        <f t="shared" si="144"/>
        <v>0</v>
      </c>
      <c r="AE161" s="386">
        <f t="shared" si="145"/>
        <v>3.1173084797387962</v>
      </c>
      <c r="AF161" s="386">
        <f t="shared" si="146"/>
        <v>16.813006106653852</v>
      </c>
      <c r="AG161" s="386">
        <f t="shared" si="147"/>
        <v>0.53708663125052147</v>
      </c>
      <c r="AH161" s="386">
        <f t="shared" si="148"/>
        <v>0</v>
      </c>
      <c r="AI161" s="386">
        <f t="shared" si="149"/>
        <v>0.60172199959262784</v>
      </c>
      <c r="AJ161" s="386">
        <f t="shared" si="150"/>
        <v>0</v>
      </c>
      <c r="AK161" s="386">
        <f t="shared" si="151"/>
        <v>0</v>
      </c>
      <c r="AL161" s="386">
        <f t="shared" si="152"/>
        <v>0</v>
      </c>
      <c r="AM161">
        <f t="shared" si="153"/>
        <v>0</v>
      </c>
      <c r="AN161" s="386">
        <f t="shared" si="154"/>
        <v>0</v>
      </c>
      <c r="AO161" s="386">
        <f t="shared" si="155"/>
        <v>20.609144241290501</v>
      </c>
      <c r="AP161" s="386">
        <f t="shared" si="156"/>
        <v>0.21236841317915872</v>
      </c>
      <c r="AQ161" s="386">
        <f t="shared" si="157"/>
        <v>0</v>
      </c>
      <c r="AR161" s="386">
        <f t="shared" si="158"/>
        <v>0.22178859142352988</v>
      </c>
      <c r="AS161" s="386">
        <f t="shared" si="159"/>
        <v>0.21236841317915872</v>
      </c>
      <c r="AT161" s="386">
        <f t="shared" si="160"/>
        <v>0.27500000000000002</v>
      </c>
      <c r="AU161" s="386">
        <f t="shared" si="161"/>
        <v>2.6538875000000006</v>
      </c>
      <c r="AV161" s="386">
        <f t="shared" si="162"/>
        <v>0.84803152302713913</v>
      </c>
      <c r="AW161" s="386" t="e">
        <f t="shared" si="163"/>
        <v>#VALUE!</v>
      </c>
      <c r="AX161" s="386">
        <f t="shared" si="164"/>
        <v>3.8400000000000004E-2</v>
      </c>
      <c r="AY161" s="386">
        <f t="shared" si="165"/>
        <v>0.61440000000000006</v>
      </c>
      <c r="AZ161" s="386">
        <f t="shared" si="166"/>
        <v>0.47314285714285709</v>
      </c>
      <c r="BA161" s="386">
        <f t="shared" si="123"/>
        <v>0.65280000000000005</v>
      </c>
      <c r="BB161" s="386" t="e">
        <f t="shared" si="124"/>
        <v>#VALUE!</v>
      </c>
      <c r="BC161">
        <f t="shared" si="167"/>
        <v>256</v>
      </c>
      <c r="BD161" s="604" t="e">
        <f t="shared" si="125"/>
        <v>#VALUE!</v>
      </c>
      <c r="BE161" s="614">
        <f t="shared" si="168"/>
        <v>288.55979898693988</v>
      </c>
      <c r="BF161" s="614">
        <f t="shared" si="169"/>
        <v>30.086099979631392</v>
      </c>
      <c r="BG161" s="9"/>
      <c r="BH161" s="4" t="e">
        <f t="shared" si="126"/>
        <v>#VALUE!</v>
      </c>
      <c r="BI161" s="386">
        <f t="shared" si="127"/>
        <v>10.959666014914529</v>
      </c>
      <c r="BJ161" s="386">
        <f t="shared" si="128"/>
        <v>6.5947065707549548</v>
      </c>
      <c r="BK161" s="386">
        <f t="shared" si="129"/>
        <v>1.4775048745926282</v>
      </c>
      <c r="BL161" s="386">
        <f t="shared" si="130"/>
        <v>0.84803152302713913</v>
      </c>
    </row>
    <row r="162" spans="7:64" x14ac:dyDescent="0.2">
      <c r="G162">
        <v>153</v>
      </c>
      <c r="H162" s="610">
        <f t="shared" si="131"/>
        <v>38.835000000000001</v>
      </c>
      <c r="I162" s="4" t="str">
        <f t="shared" si="132"/>
        <v>BUCK</v>
      </c>
      <c r="J162">
        <f t="shared" si="170"/>
        <v>1</v>
      </c>
      <c r="K162">
        <f t="shared" si="133"/>
        <v>20</v>
      </c>
      <c r="L162" s="4">
        <f t="shared" si="134"/>
        <v>7.3244352889003324</v>
      </c>
      <c r="M162" s="4">
        <f t="shared" si="135"/>
        <v>20</v>
      </c>
      <c r="N162" s="386">
        <f t="shared" si="136"/>
        <v>0.33278827612803702</v>
      </c>
      <c r="O162" s="386">
        <f t="shared" si="171"/>
        <v>0</v>
      </c>
      <c r="P162" s="4">
        <f t="shared" si="137"/>
        <v>17.27251022290783</v>
      </c>
      <c r="Q162" s="386">
        <f t="shared" si="138"/>
        <v>20.612171989305363</v>
      </c>
      <c r="R162" s="386">
        <f t="shared" si="116"/>
        <v>1.0550528097513814</v>
      </c>
      <c r="S162" s="386">
        <f t="shared" si="117"/>
        <v>9.9625421438379629</v>
      </c>
      <c r="T162" s="386">
        <f t="shared" si="118"/>
        <v>11.017594953589345</v>
      </c>
      <c r="U162" s="4">
        <f t="shared" si="139"/>
        <v>4.986144213388199</v>
      </c>
      <c r="V162" s="386">
        <f t="shared" si="119"/>
        <v>4.9723268233409244E-2</v>
      </c>
      <c r="W162" s="386">
        <f t="shared" si="120"/>
        <v>4.9723268233409244E-2</v>
      </c>
      <c r="X162" s="386">
        <f t="shared" si="140"/>
        <v>9.7126916429509418</v>
      </c>
      <c r="Y162" s="386">
        <f t="shared" si="121"/>
        <v>0.18867275790209814</v>
      </c>
      <c r="Z162" s="603">
        <f t="shared" si="122"/>
        <v>0.18867275790209814</v>
      </c>
      <c r="AA162" s="386">
        <f t="shared" si="141"/>
        <v>11.89070943260489</v>
      </c>
      <c r="AB162" s="386">
        <f t="shared" si="142"/>
        <v>0.26863904454021392</v>
      </c>
      <c r="AC162" s="386">
        <f t="shared" si="143"/>
        <v>2.6926348889581764</v>
      </c>
      <c r="AD162">
        <f t="shared" si="144"/>
        <v>0</v>
      </c>
      <c r="AE162" s="386">
        <f t="shared" si="145"/>
        <v>3.1294102916426279</v>
      </c>
      <c r="AF162" s="386">
        <f t="shared" si="146"/>
        <v>16.836646438826996</v>
      </c>
      <c r="AG162" s="386">
        <f t="shared" si="147"/>
        <v>0.53859806028152502</v>
      </c>
      <c r="AH162" s="386">
        <f t="shared" si="148"/>
        <v>0</v>
      </c>
      <c r="AI162" s="386">
        <f t="shared" si="149"/>
        <v>0.60361974504757554</v>
      </c>
      <c r="AJ162" s="386">
        <f t="shared" si="150"/>
        <v>0</v>
      </c>
      <c r="AK162" s="386">
        <f t="shared" si="151"/>
        <v>0</v>
      </c>
      <c r="AL162" s="386">
        <f t="shared" si="152"/>
        <v>0</v>
      </c>
      <c r="AM162">
        <f t="shared" si="153"/>
        <v>0</v>
      </c>
      <c r="AN162" s="386">
        <f t="shared" si="154"/>
        <v>0</v>
      </c>
      <c r="AO162" s="386">
        <f t="shared" si="155"/>
        <v>20.612171989305363</v>
      </c>
      <c r="AP162" s="386">
        <f t="shared" si="156"/>
        <v>0.21243081705835229</v>
      </c>
      <c r="AQ162" s="386">
        <f t="shared" si="157"/>
        <v>0</v>
      </c>
      <c r="AR162" s="386">
        <f t="shared" si="158"/>
        <v>0.22185665516359959</v>
      </c>
      <c r="AS162" s="386">
        <f t="shared" si="159"/>
        <v>0.21243081705835229</v>
      </c>
      <c r="AT162" s="386">
        <f t="shared" si="160"/>
        <v>0.27500000000000002</v>
      </c>
      <c r="AU162" s="386">
        <f t="shared" si="161"/>
        <v>2.6672937500000007</v>
      </c>
      <c r="AV162" s="386">
        <f t="shared" si="162"/>
        <v>0.85041798991819739</v>
      </c>
      <c r="AW162" s="386" t="e">
        <f t="shared" si="163"/>
        <v>#VALUE!</v>
      </c>
      <c r="AX162" s="386">
        <f t="shared" si="164"/>
        <v>3.8400000000000004E-2</v>
      </c>
      <c r="AY162" s="386">
        <f t="shared" si="165"/>
        <v>0.61440000000000006</v>
      </c>
      <c r="AZ162" s="386">
        <f t="shared" si="166"/>
        <v>0.47314285714285709</v>
      </c>
      <c r="BA162" s="386">
        <f t="shared" si="123"/>
        <v>0.65280000000000005</v>
      </c>
      <c r="BB162" s="386" t="e">
        <f t="shared" si="124"/>
        <v>#VALUE!</v>
      </c>
      <c r="BC162">
        <f t="shared" si="167"/>
        <v>256</v>
      </c>
      <c r="BD162" s="604" t="e">
        <f t="shared" si="125"/>
        <v>#VALUE!</v>
      </c>
      <c r="BE162" s="614">
        <f t="shared" si="168"/>
        <v>289.83520208213145</v>
      </c>
      <c r="BF162" s="614">
        <f t="shared" si="169"/>
        <v>30.180987252378777</v>
      </c>
      <c r="BG162" s="9"/>
      <c r="BH162" s="4" t="e">
        <f t="shared" si="126"/>
        <v>#VALUE!</v>
      </c>
      <c r="BI162" s="386">
        <f t="shared" si="127"/>
        <v>11.017594953589345</v>
      </c>
      <c r="BJ162" s="386">
        <f t="shared" si="128"/>
        <v>6.6221804418538035</v>
      </c>
      <c r="BK162" s="386">
        <f t="shared" si="129"/>
        <v>1.4838266825475759</v>
      </c>
      <c r="BL162" s="386">
        <f t="shared" si="130"/>
        <v>0.85041798991819739</v>
      </c>
    </row>
    <row r="163" spans="7:64" x14ac:dyDescent="0.2">
      <c r="G163">
        <v>154</v>
      </c>
      <c r="H163" s="610">
        <f t="shared" si="131"/>
        <v>39.03</v>
      </c>
      <c r="I163" s="4" t="str">
        <f t="shared" si="132"/>
        <v>BUCK</v>
      </c>
      <c r="J163">
        <f t="shared" si="170"/>
        <v>1</v>
      </c>
      <c r="K163">
        <f t="shared" si="133"/>
        <v>20</v>
      </c>
      <c r="L163" s="4">
        <f t="shared" si="134"/>
        <v>7.2878412617075181</v>
      </c>
      <c r="M163" s="4">
        <f t="shared" si="135"/>
        <v>20</v>
      </c>
      <c r="N163" s="386">
        <f t="shared" si="136"/>
        <v>0.331128165771297</v>
      </c>
      <c r="O163" s="386">
        <f t="shared" si="171"/>
        <v>0</v>
      </c>
      <c r="P163" s="4">
        <f t="shared" si="137"/>
        <v>17.315486495778973</v>
      </c>
      <c r="Q163" s="386">
        <f t="shared" si="138"/>
        <v>20.615176595139612</v>
      </c>
      <c r="R163" s="386">
        <f t="shared" si="116"/>
        <v>1.0553863908873269</v>
      </c>
      <c r="S163" s="386">
        <f t="shared" si="117"/>
        <v>10.019746629099854</v>
      </c>
      <c r="T163" s="386">
        <f t="shared" si="118"/>
        <v>11.075133019987181</v>
      </c>
      <c r="U163" s="4">
        <f t="shared" si="139"/>
        <v>4.9985503947436607</v>
      </c>
      <c r="V163" s="386">
        <f t="shared" si="119"/>
        <v>4.9971012097584019E-2</v>
      </c>
      <c r="W163" s="386">
        <f t="shared" si="120"/>
        <v>4.9971012097584019E-2</v>
      </c>
      <c r="X163" s="386">
        <f t="shared" si="140"/>
        <v>9.7018951178673003</v>
      </c>
      <c r="Y163" s="386">
        <f t="shared" si="121"/>
        <v>0.18825353775619472</v>
      </c>
      <c r="Z163" s="603">
        <f t="shared" si="122"/>
        <v>0.18825353775619472</v>
      </c>
      <c r="AA163" s="386">
        <f t="shared" si="141"/>
        <v>11.862742983699974</v>
      </c>
      <c r="AB163" s="386">
        <f t="shared" si="142"/>
        <v>0.26737687508491359</v>
      </c>
      <c r="AC163" s="386">
        <f t="shared" si="143"/>
        <v>2.7061552649938876</v>
      </c>
      <c r="AD163">
        <f t="shared" si="144"/>
        <v>0</v>
      </c>
      <c r="AE163" s="386">
        <f t="shared" si="145"/>
        <v>3.1415264448425235</v>
      </c>
      <c r="AF163" s="386">
        <f t="shared" si="146"/>
        <v>16.86003662366927</v>
      </c>
      <c r="AG163" s="386">
        <f t="shared" si="147"/>
        <v>0.54009558640779121</v>
      </c>
      <c r="AH163" s="386">
        <f t="shared" si="148"/>
        <v>0</v>
      </c>
      <c r="AI163" s="386">
        <f t="shared" si="149"/>
        <v>0.60550130263080437</v>
      </c>
      <c r="AJ163" s="386">
        <f t="shared" si="150"/>
        <v>0</v>
      </c>
      <c r="AK163" s="386">
        <f t="shared" si="151"/>
        <v>0</v>
      </c>
      <c r="AL163" s="386">
        <f t="shared" si="152"/>
        <v>0</v>
      </c>
      <c r="AM163">
        <f t="shared" si="153"/>
        <v>0</v>
      </c>
      <c r="AN163" s="386">
        <f t="shared" si="154"/>
        <v>0</v>
      </c>
      <c r="AO163" s="386">
        <f t="shared" si="155"/>
        <v>20.615176595139612</v>
      </c>
      <c r="AP163" s="386">
        <f t="shared" si="156"/>
        <v>0.21249275302439602</v>
      </c>
      <c r="AQ163" s="386">
        <f t="shared" si="157"/>
        <v>0</v>
      </c>
      <c r="AR163" s="386">
        <f t="shared" si="158"/>
        <v>0.2219242103065571</v>
      </c>
      <c r="AS163" s="386">
        <f t="shared" si="159"/>
        <v>0.21249275302439602</v>
      </c>
      <c r="AT163" s="386">
        <f t="shared" si="160"/>
        <v>0.27500000000000002</v>
      </c>
      <c r="AU163" s="386">
        <f t="shared" si="161"/>
        <v>2.6807000000000003</v>
      </c>
      <c r="AV163" s="386">
        <f t="shared" si="162"/>
        <v>0.85278250485440721</v>
      </c>
      <c r="AW163" s="386" t="e">
        <f t="shared" si="163"/>
        <v>#VALUE!</v>
      </c>
      <c r="AX163" s="386">
        <f t="shared" si="164"/>
        <v>3.8400000000000004E-2</v>
      </c>
      <c r="AY163" s="386">
        <f t="shared" si="165"/>
        <v>0.61440000000000006</v>
      </c>
      <c r="AZ163" s="386">
        <f t="shared" si="166"/>
        <v>0.47314285714285709</v>
      </c>
      <c r="BA163" s="386">
        <f t="shared" si="123"/>
        <v>0.65280000000000005</v>
      </c>
      <c r="BB163" s="386" t="e">
        <f t="shared" si="124"/>
        <v>#VALUE!</v>
      </c>
      <c r="BC163">
        <f t="shared" si="167"/>
        <v>256</v>
      </c>
      <c r="BD163" s="604" t="e">
        <f t="shared" si="125"/>
        <v>#VALUE!</v>
      </c>
      <c r="BE163" s="614">
        <f t="shared" si="168"/>
        <v>291.11132224212622</v>
      </c>
      <c r="BF163" s="614">
        <f t="shared" si="169"/>
        <v>30.27506513154022</v>
      </c>
      <c r="BG163" s="9"/>
      <c r="BH163" s="4" t="e">
        <f t="shared" si="126"/>
        <v>#VALUE!</v>
      </c>
      <c r="BI163" s="386">
        <f t="shared" si="127"/>
        <v>11.075133019987181</v>
      </c>
      <c r="BJ163" s="386">
        <f t="shared" si="128"/>
        <v>6.6496519577798852</v>
      </c>
      <c r="BK163" s="386">
        <f t="shared" si="129"/>
        <v>1.4901323026308044</v>
      </c>
      <c r="BL163" s="386">
        <f t="shared" si="130"/>
        <v>0.85278250485440721</v>
      </c>
    </row>
    <row r="164" spans="7:64" x14ac:dyDescent="0.2">
      <c r="G164">
        <v>155</v>
      </c>
      <c r="H164" s="610">
        <f t="shared" si="131"/>
        <v>39.225000000000001</v>
      </c>
      <c r="I164" s="4" t="str">
        <f t="shared" si="132"/>
        <v>BUCK</v>
      </c>
      <c r="J164">
        <f t="shared" si="170"/>
        <v>1</v>
      </c>
      <c r="K164">
        <f t="shared" si="133"/>
        <v>20</v>
      </c>
      <c r="L164" s="4">
        <f t="shared" si="134"/>
        <v>7.2516110757028533</v>
      </c>
      <c r="M164" s="4">
        <f t="shared" si="135"/>
        <v>20</v>
      </c>
      <c r="N164" s="386">
        <f t="shared" si="136"/>
        <v>0.32948453608247424</v>
      </c>
      <c r="O164" s="386">
        <f t="shared" si="171"/>
        <v>0</v>
      </c>
      <c r="P164" s="4">
        <f t="shared" si="137"/>
        <v>17.358036123711344</v>
      </c>
      <c r="Q164" s="386">
        <f t="shared" si="138"/>
        <v>20.618158295686975</v>
      </c>
      <c r="R164" s="386">
        <f t="shared" si="116"/>
        <v>1.0557174933062348</v>
      </c>
      <c r="S164" s="386">
        <f t="shared" si="117"/>
        <v>10.07656590737772</v>
      </c>
      <c r="T164" s="386">
        <f t="shared" si="118"/>
        <v>11.132283400683955</v>
      </c>
      <c r="U164" s="4">
        <f t="shared" si="139"/>
        <v>5.0108334143139963</v>
      </c>
      <c r="V164" s="386">
        <f t="shared" si="119"/>
        <v>5.0216903012011323E-2</v>
      </c>
      <c r="W164" s="386">
        <f t="shared" si="120"/>
        <v>5.0216903012011323E-2</v>
      </c>
      <c r="X164" s="386">
        <f t="shared" si="140"/>
        <v>9.6910712582416867</v>
      </c>
      <c r="Y164" s="386">
        <f t="shared" si="121"/>
        <v>0.18783372426463621</v>
      </c>
      <c r="Z164" s="603">
        <f t="shared" si="122"/>
        <v>0.18783372426463621</v>
      </c>
      <c r="AA164" s="386">
        <f t="shared" si="141"/>
        <v>11.834976169354768</v>
      </c>
      <c r="AB164" s="386">
        <f t="shared" si="142"/>
        <v>0.26612665576547095</v>
      </c>
      <c r="AC164" s="386">
        <f t="shared" si="143"/>
        <v>2.7196756410295988</v>
      </c>
      <c r="AD164">
        <f t="shared" si="144"/>
        <v>0</v>
      </c>
      <c r="AE164" s="386">
        <f t="shared" si="145"/>
        <v>3.1536567200636378</v>
      </c>
      <c r="AF164" s="386">
        <f t="shared" si="146"/>
        <v>16.883180700827982</v>
      </c>
      <c r="AG164" s="386">
        <f t="shared" si="147"/>
        <v>0.5415794020959398</v>
      </c>
      <c r="AH164" s="386">
        <f t="shared" si="148"/>
        <v>0</v>
      </c>
      <c r="AI164" s="386">
        <f t="shared" si="149"/>
        <v>0.60736688049411569</v>
      </c>
      <c r="AJ164" s="386">
        <f t="shared" si="150"/>
        <v>0</v>
      </c>
      <c r="AK164" s="386">
        <f t="shared" si="151"/>
        <v>0</v>
      </c>
      <c r="AL164" s="386">
        <f t="shared" si="152"/>
        <v>0</v>
      </c>
      <c r="AM164">
        <f t="shared" si="153"/>
        <v>0</v>
      </c>
      <c r="AN164" s="386">
        <f t="shared" si="154"/>
        <v>0</v>
      </c>
      <c r="AO164" s="386">
        <f t="shared" si="155"/>
        <v>20.618158295686975</v>
      </c>
      <c r="AP164" s="386">
        <f t="shared" si="156"/>
        <v>0.21255422575300281</v>
      </c>
      <c r="AQ164" s="386">
        <f t="shared" si="157"/>
        <v>0</v>
      </c>
      <c r="AR164" s="386">
        <f t="shared" si="158"/>
        <v>0.22199126191297155</v>
      </c>
      <c r="AS164" s="386">
        <f t="shared" si="159"/>
        <v>0.21255422575300281</v>
      </c>
      <c r="AT164" s="386">
        <f t="shared" si="160"/>
        <v>0.27500000000000002</v>
      </c>
      <c r="AU164" s="386">
        <f t="shared" si="161"/>
        <v>2.6941062500000004</v>
      </c>
      <c r="AV164" s="386">
        <f t="shared" si="162"/>
        <v>0.85512537173043124</v>
      </c>
      <c r="AW164" s="386" t="e">
        <f t="shared" si="163"/>
        <v>#VALUE!</v>
      </c>
      <c r="AX164" s="386">
        <f t="shared" si="164"/>
        <v>3.8400000000000004E-2</v>
      </c>
      <c r="AY164" s="386">
        <f t="shared" si="165"/>
        <v>0.61440000000000006</v>
      </c>
      <c r="AZ164" s="386">
        <f t="shared" si="166"/>
        <v>0.47314285714285709</v>
      </c>
      <c r="BA164" s="386">
        <f t="shared" si="123"/>
        <v>0.65280000000000005</v>
      </c>
      <c r="BB164" s="386" t="e">
        <f t="shared" si="124"/>
        <v>#VALUE!</v>
      </c>
      <c r="BC164">
        <f t="shared" si="167"/>
        <v>256</v>
      </c>
      <c r="BD164" s="604" t="e">
        <f t="shared" si="125"/>
        <v>#VALUE!</v>
      </c>
      <c r="BE164" s="614">
        <f t="shared" si="168"/>
        <v>292.38814850318187</v>
      </c>
      <c r="BF164" s="614">
        <f t="shared" si="169"/>
        <v>30.368344024705785</v>
      </c>
      <c r="BG164" s="9"/>
      <c r="BH164" s="4" t="e">
        <f t="shared" si="126"/>
        <v>#VALUE!</v>
      </c>
      <c r="BI164" s="386">
        <f t="shared" si="127"/>
        <v>11.132283400683955</v>
      </c>
      <c r="BJ164" s="386">
        <f t="shared" si="128"/>
        <v>6.6771211124707257</v>
      </c>
      <c r="BK164" s="386">
        <f t="shared" si="129"/>
        <v>1.4964219429941159</v>
      </c>
      <c r="BL164" s="386">
        <f t="shared" si="130"/>
        <v>0.85512537173043124</v>
      </c>
    </row>
    <row r="165" spans="7:64" x14ac:dyDescent="0.2">
      <c r="G165">
        <v>156</v>
      </c>
      <c r="H165" s="610">
        <f t="shared" si="131"/>
        <v>39.42</v>
      </c>
      <c r="I165" s="4" t="str">
        <f t="shared" si="132"/>
        <v>BUCK</v>
      </c>
      <c r="J165">
        <f t="shared" si="170"/>
        <v>1</v>
      </c>
      <c r="K165">
        <f t="shared" si="133"/>
        <v>20</v>
      </c>
      <c r="L165" s="4">
        <f t="shared" si="134"/>
        <v>7.2157393314166525</v>
      </c>
      <c r="M165" s="4">
        <f t="shared" si="135"/>
        <v>20</v>
      </c>
      <c r="N165" s="386">
        <f t="shared" si="136"/>
        <v>0.32785714285714285</v>
      </c>
      <c r="O165" s="386">
        <f t="shared" si="171"/>
        <v>0</v>
      </c>
      <c r="P165" s="4">
        <f t="shared" si="137"/>
        <v>17.40016542857143</v>
      </c>
      <c r="Q165" s="386">
        <f t="shared" si="138"/>
        <v>20.62111732533273</v>
      </c>
      <c r="R165" s="386">
        <f t="shared" si="116"/>
        <v>1.0560461415747635</v>
      </c>
      <c r="S165" s="386">
        <f t="shared" si="117"/>
        <v>10.133003126575103</v>
      </c>
      <c r="T165" s="386">
        <f t="shared" si="118"/>
        <v>11.189049268149866</v>
      </c>
      <c r="U165" s="4">
        <f t="shared" si="139"/>
        <v>5.022995097064868</v>
      </c>
      <c r="V165" s="386">
        <f t="shared" si="119"/>
        <v>5.046095949027541E-2</v>
      </c>
      <c r="W165" s="386">
        <f t="shared" si="120"/>
        <v>5.046095949027541E-2</v>
      </c>
      <c r="X165" s="386">
        <f t="shared" si="140"/>
        <v>9.6802218830258386</v>
      </c>
      <c r="Y165" s="386">
        <f t="shared" si="121"/>
        <v>0.18741339140922464</v>
      </c>
      <c r="Z165" s="603">
        <f t="shared" si="122"/>
        <v>0.18741339140922464</v>
      </c>
      <c r="AA165" s="386">
        <f t="shared" si="141"/>
        <v>11.807406579982455</v>
      </c>
      <c r="AB165" s="386">
        <f t="shared" si="142"/>
        <v>0.2648882152755247</v>
      </c>
      <c r="AC165" s="386">
        <f t="shared" si="143"/>
        <v>2.73319601706531</v>
      </c>
      <c r="AD165">
        <f t="shared" si="144"/>
        <v>0</v>
      </c>
      <c r="AE165" s="386">
        <f t="shared" si="145"/>
        <v>3.165800902539079</v>
      </c>
      <c r="AF165" s="386">
        <f t="shared" si="146"/>
        <v>16.906082621356276</v>
      </c>
      <c r="AG165" s="386">
        <f t="shared" si="147"/>
        <v>0.54304969624023691</v>
      </c>
      <c r="AH165" s="386">
        <f t="shared" si="148"/>
        <v>0</v>
      </c>
      <c r="AI165" s="386">
        <f t="shared" si="149"/>
        <v>0.60921668319044842</v>
      </c>
      <c r="AJ165" s="386">
        <f t="shared" si="150"/>
        <v>0</v>
      </c>
      <c r="AK165" s="386">
        <f t="shared" si="151"/>
        <v>0</v>
      </c>
      <c r="AL165" s="386">
        <f t="shared" si="152"/>
        <v>0</v>
      </c>
      <c r="AM165">
        <f t="shared" si="153"/>
        <v>0</v>
      </c>
      <c r="AN165" s="386">
        <f t="shared" si="154"/>
        <v>0</v>
      </c>
      <c r="AO165" s="386">
        <f t="shared" si="155"/>
        <v>20.62111732533273</v>
      </c>
      <c r="AP165" s="386">
        <f t="shared" si="156"/>
        <v>0.21261523987256883</v>
      </c>
      <c r="AQ165" s="386">
        <f t="shared" si="157"/>
        <v>0</v>
      </c>
      <c r="AR165" s="386">
        <f t="shared" si="158"/>
        <v>0.22205781499261554</v>
      </c>
      <c r="AS165" s="386">
        <f t="shared" si="159"/>
        <v>0.21261523987256883</v>
      </c>
      <c r="AT165" s="386">
        <f t="shared" si="160"/>
        <v>0.27500000000000002</v>
      </c>
      <c r="AU165" s="386">
        <f t="shared" si="161"/>
        <v>2.7075125000000004</v>
      </c>
      <c r="AV165" s="386">
        <f t="shared" si="162"/>
        <v>0.85744688880037401</v>
      </c>
      <c r="AW165" s="386" t="e">
        <f t="shared" si="163"/>
        <v>#VALUE!</v>
      </c>
      <c r="AX165" s="386">
        <f t="shared" si="164"/>
        <v>3.8400000000000004E-2</v>
      </c>
      <c r="AY165" s="386">
        <f t="shared" si="165"/>
        <v>0.61440000000000006</v>
      </c>
      <c r="AZ165" s="386">
        <f t="shared" si="166"/>
        <v>0.47314285714285709</v>
      </c>
      <c r="BA165" s="386">
        <f t="shared" si="123"/>
        <v>0.65280000000000005</v>
      </c>
      <c r="BB165" s="386" t="e">
        <f t="shared" si="124"/>
        <v>#VALUE!</v>
      </c>
      <c r="BC165">
        <f t="shared" si="167"/>
        <v>256</v>
      </c>
      <c r="BD165" s="604" t="e">
        <f t="shared" si="125"/>
        <v>#VALUE!</v>
      </c>
      <c r="BE165" s="614">
        <f t="shared" si="168"/>
        <v>293.66567012695396</v>
      </c>
      <c r="BF165" s="614">
        <f t="shared" si="169"/>
        <v>30.46083415952242</v>
      </c>
      <c r="BG165" s="9"/>
      <c r="BH165" s="4" t="e">
        <f t="shared" si="126"/>
        <v>#VALUE!</v>
      </c>
      <c r="BI165" s="386">
        <f t="shared" si="127"/>
        <v>11.189049268149866</v>
      </c>
      <c r="BJ165" s="386">
        <f t="shared" si="128"/>
        <v>6.7045879007221432</v>
      </c>
      <c r="BK165" s="386">
        <f t="shared" si="129"/>
        <v>1.5026958081904485</v>
      </c>
      <c r="BL165" s="386">
        <f t="shared" si="130"/>
        <v>0.85744688880037401</v>
      </c>
    </row>
    <row r="166" spans="7:64" x14ac:dyDescent="0.2">
      <c r="G166">
        <v>157</v>
      </c>
      <c r="H166" s="610">
        <f t="shared" si="131"/>
        <v>39.615000000000002</v>
      </c>
      <c r="I166" s="4" t="str">
        <f t="shared" si="132"/>
        <v>BUCK</v>
      </c>
      <c r="J166">
        <f t="shared" si="170"/>
        <v>1</v>
      </c>
      <c r="K166">
        <f t="shared" si="133"/>
        <v>20</v>
      </c>
      <c r="L166" s="4">
        <f t="shared" si="134"/>
        <v>7.1802207356921475</v>
      </c>
      <c r="M166" s="4">
        <f t="shared" si="135"/>
        <v>20</v>
      </c>
      <c r="N166" s="386">
        <f t="shared" si="136"/>
        <v>0.32624574669187145</v>
      </c>
      <c r="O166" s="386">
        <f t="shared" si="171"/>
        <v>0</v>
      </c>
      <c r="P166" s="4">
        <f t="shared" si="137"/>
        <v>17.44188060793951</v>
      </c>
      <c r="Q166" s="386">
        <f t="shared" si="138"/>
        <v>20.624053915961042</v>
      </c>
      <c r="R166" s="386">
        <f t="shared" si="116"/>
        <v>1.0563723600125126</v>
      </c>
      <c r="S166" s="386">
        <f t="shared" si="117"/>
        <v>10.189061419966677</v>
      </c>
      <c r="T166" s="386">
        <f t="shared" si="118"/>
        <v>11.245433779979189</v>
      </c>
      <c r="U166" s="4">
        <f t="shared" si="139"/>
        <v>5.035037232083595</v>
      </c>
      <c r="V166" s="386">
        <f t="shared" si="119"/>
        <v>5.0703199856936061E-2</v>
      </c>
      <c r="W166" s="386">
        <f t="shared" si="120"/>
        <v>5.0703199856936061E-2</v>
      </c>
      <c r="X166" s="386">
        <f t="shared" si="140"/>
        <v>9.6693487505410118</v>
      </c>
      <c r="Y166" s="386">
        <f t="shared" si="121"/>
        <v>0.18699261051917804</v>
      </c>
      <c r="Z166" s="603">
        <f t="shared" si="122"/>
        <v>0.18699261051917804</v>
      </c>
      <c r="AA166" s="386">
        <f t="shared" si="141"/>
        <v>11.780031847378224</v>
      </c>
      <c r="AB166" s="386">
        <f t="shared" si="142"/>
        <v>0.26366138561796593</v>
      </c>
      <c r="AC166" s="386">
        <f t="shared" si="143"/>
        <v>2.7467163931010212</v>
      </c>
      <c r="AD166">
        <f t="shared" si="144"/>
        <v>0</v>
      </c>
      <c r="AE166" s="386">
        <f t="shared" si="145"/>
        <v>3.1779587818931323</v>
      </c>
      <c r="AF166" s="386">
        <f t="shared" si="146"/>
        <v>16.928746250187071</v>
      </c>
      <c r="AG166" s="386">
        <f t="shared" si="147"/>
        <v>0.54450665424612332</v>
      </c>
      <c r="AH166" s="386">
        <f t="shared" si="148"/>
        <v>0</v>
      </c>
      <c r="AI166" s="386">
        <f t="shared" si="149"/>
        <v>0.61105091175261528</v>
      </c>
      <c r="AJ166" s="386">
        <f t="shared" si="150"/>
        <v>0</v>
      </c>
      <c r="AK166" s="386">
        <f t="shared" si="151"/>
        <v>0</v>
      </c>
      <c r="AL166" s="386">
        <f t="shared" si="152"/>
        <v>0</v>
      </c>
      <c r="AM166">
        <f t="shared" si="153"/>
        <v>0</v>
      </c>
      <c r="AN166" s="386">
        <f t="shared" si="154"/>
        <v>0</v>
      </c>
      <c r="AO166" s="386">
        <f t="shared" si="155"/>
        <v>20.624053915961042</v>
      </c>
      <c r="AP166" s="386">
        <f t="shared" si="156"/>
        <v>0.212675799964234</v>
      </c>
      <c r="AQ166" s="386">
        <f t="shared" si="157"/>
        <v>0</v>
      </c>
      <c r="AR166" s="386">
        <f t="shared" si="158"/>
        <v>0.22212387450451457</v>
      </c>
      <c r="AS166" s="386">
        <f t="shared" si="159"/>
        <v>0.212675799964234</v>
      </c>
      <c r="AT166" s="386">
        <f t="shared" si="160"/>
        <v>0.27500000000000002</v>
      </c>
      <c r="AU166" s="386">
        <f t="shared" si="161"/>
        <v>2.7209187500000005</v>
      </c>
      <c r="AV166" s="386">
        <f t="shared" si="162"/>
        <v>0.85974734880966841</v>
      </c>
      <c r="AW166" s="386" t="e">
        <f t="shared" si="163"/>
        <v>#VALUE!</v>
      </c>
      <c r="AX166" s="386">
        <f t="shared" si="164"/>
        <v>3.8400000000000004E-2</v>
      </c>
      <c r="AY166" s="386">
        <f t="shared" si="165"/>
        <v>0.61440000000000006</v>
      </c>
      <c r="AZ166" s="386">
        <f t="shared" si="166"/>
        <v>0.47314285714285709</v>
      </c>
      <c r="BA166" s="386">
        <f t="shared" si="123"/>
        <v>0.65280000000000005</v>
      </c>
      <c r="BB166" s="386" t="e">
        <f t="shared" si="124"/>
        <v>#VALUE!</v>
      </c>
      <c r="BC166">
        <f t="shared" si="167"/>
        <v>256</v>
      </c>
      <c r="BD166" s="604" t="e">
        <f t="shared" si="125"/>
        <v>#VALUE!</v>
      </c>
      <c r="BE166" s="614">
        <f t="shared" si="168"/>
        <v>294.94387659465661</v>
      </c>
      <c r="BF166" s="614">
        <f t="shared" si="169"/>
        <v>30.552545587630764</v>
      </c>
      <c r="BG166" s="9"/>
      <c r="BH166" s="4" t="e">
        <f t="shared" si="126"/>
        <v>#VALUE!</v>
      </c>
      <c r="BI166" s="386">
        <f t="shared" si="127"/>
        <v>11.245433779979189</v>
      </c>
      <c r="BJ166" s="386">
        <f t="shared" si="128"/>
        <v>6.7320523181502629</v>
      </c>
      <c r="BK166" s="386">
        <f t="shared" si="129"/>
        <v>1.5089540992526156</v>
      </c>
      <c r="BL166" s="386">
        <f t="shared" si="130"/>
        <v>0.85974734880966841</v>
      </c>
    </row>
    <row r="167" spans="7:64" x14ac:dyDescent="0.2">
      <c r="G167">
        <v>158</v>
      </c>
      <c r="H167" s="610">
        <f t="shared" si="131"/>
        <v>39.81</v>
      </c>
      <c r="I167" s="4" t="str">
        <f t="shared" si="132"/>
        <v>BUCK</v>
      </c>
      <c r="J167">
        <f t="shared" si="170"/>
        <v>1</v>
      </c>
      <c r="K167">
        <f t="shared" si="133"/>
        <v>20</v>
      </c>
      <c r="L167" s="4">
        <f t="shared" si="134"/>
        <v>7.1450500990817494</v>
      </c>
      <c r="M167" s="4">
        <f t="shared" si="135"/>
        <v>20</v>
      </c>
      <c r="N167" s="386">
        <f t="shared" si="136"/>
        <v>0.32465011286681716</v>
      </c>
      <c r="O167" s="386">
        <f t="shared" si="171"/>
        <v>0</v>
      </c>
      <c r="P167" s="4">
        <f t="shared" si="137"/>
        <v>17.483187738148988</v>
      </c>
      <c r="Q167" s="386">
        <f t="shared" si="138"/>
        <v>20.626968296963735</v>
      </c>
      <c r="R167" s="386">
        <f t="shared" si="116"/>
        <v>1.0566961726923656</v>
      </c>
      <c r="S167" s="386">
        <f t="shared" si="117"/>
        <v>10.244743905480581</v>
      </c>
      <c r="T167" s="386">
        <f t="shared" si="118"/>
        <v>11.301440078172947</v>
      </c>
      <c r="U167" s="4">
        <f t="shared" si="139"/>
        <v>5.0469615734565414</v>
      </c>
      <c r="V167" s="386">
        <f t="shared" si="119"/>
        <v>5.0943642247893856E-2</v>
      </c>
      <c r="W167" s="386">
        <f t="shared" si="120"/>
        <v>5.0943642247893856E-2</v>
      </c>
      <c r="X167" s="386">
        <f t="shared" si="140"/>
        <v>9.6584535605793249</v>
      </c>
      <c r="Y167" s="386">
        <f t="shared" si="121"/>
        <v>0.18657145036373488</v>
      </c>
      <c r="Z167" s="603">
        <f t="shared" si="122"/>
        <v>0.18657145036373488</v>
      </c>
      <c r="AA167" s="386">
        <f t="shared" si="141"/>
        <v>11.75284964379021</v>
      </c>
      <c r="AB167" s="386">
        <f t="shared" si="142"/>
        <v>0.26244600202412538</v>
      </c>
      <c r="AC167" s="386">
        <f t="shared" si="143"/>
        <v>2.760236769136732</v>
      </c>
      <c r="AD167">
        <f t="shared" si="144"/>
        <v>0</v>
      </c>
      <c r="AE167" s="386">
        <f t="shared" si="145"/>
        <v>3.1901301520281375</v>
      </c>
      <c r="AF167" s="386">
        <f t="shared" si="146"/>
        <v>16.951175368522602</v>
      </c>
      <c r="AG167" s="386">
        <f t="shared" si="147"/>
        <v>0.54595045811137399</v>
      </c>
      <c r="AH167" s="386">
        <f t="shared" si="148"/>
        <v>0</v>
      </c>
      <c r="AI167" s="386">
        <f t="shared" si="149"/>
        <v>0.61286976376993507</v>
      </c>
      <c r="AJ167" s="386">
        <f t="shared" si="150"/>
        <v>0</v>
      </c>
      <c r="AK167" s="386">
        <f t="shared" si="151"/>
        <v>0</v>
      </c>
      <c r="AL167" s="386">
        <f t="shared" si="152"/>
        <v>0</v>
      </c>
      <c r="AM167">
        <f t="shared" si="153"/>
        <v>0</v>
      </c>
      <c r="AN167" s="386">
        <f t="shared" si="154"/>
        <v>0</v>
      </c>
      <c r="AO167" s="386">
        <f t="shared" si="155"/>
        <v>20.626968296963735</v>
      </c>
      <c r="AP167" s="386">
        <f t="shared" si="156"/>
        <v>0.2127359105619735</v>
      </c>
      <c r="AQ167" s="386">
        <f t="shared" si="157"/>
        <v>0</v>
      </c>
      <c r="AR167" s="386">
        <f t="shared" si="158"/>
        <v>0.22218944535703108</v>
      </c>
      <c r="AS167" s="386">
        <f t="shared" si="159"/>
        <v>0.2127359105619735</v>
      </c>
      <c r="AT167" s="386">
        <f t="shared" si="160"/>
        <v>0.27500000000000002</v>
      </c>
      <c r="AU167" s="386">
        <f t="shared" si="161"/>
        <v>2.7343250000000006</v>
      </c>
      <c r="AV167" s="386">
        <f t="shared" si="162"/>
        <v>0.86202703912322221</v>
      </c>
      <c r="AW167" s="386" t="e">
        <f t="shared" si="163"/>
        <v>#VALUE!</v>
      </c>
      <c r="AX167" s="386">
        <f t="shared" si="164"/>
        <v>3.8400000000000004E-2</v>
      </c>
      <c r="AY167" s="386">
        <f t="shared" si="165"/>
        <v>0.61440000000000006</v>
      </c>
      <c r="AZ167" s="386">
        <f t="shared" si="166"/>
        <v>0.47314285714285709</v>
      </c>
      <c r="BA167" s="386">
        <f t="shared" si="123"/>
        <v>0.65280000000000005</v>
      </c>
      <c r="BB167" s="386" t="e">
        <f t="shared" si="124"/>
        <v>#VALUE!</v>
      </c>
      <c r="BC167">
        <f t="shared" si="167"/>
        <v>256</v>
      </c>
      <c r="BD167" s="604" t="e">
        <f t="shared" si="125"/>
        <v>#VALUE!</v>
      </c>
      <c r="BE167" s="614">
        <f t="shared" si="168"/>
        <v>296.2227576014069</v>
      </c>
      <c r="BF167" s="614">
        <f t="shared" si="169"/>
        <v>30.643488188496754</v>
      </c>
      <c r="BG167" s="9"/>
      <c r="BH167" s="4" t="e">
        <f t="shared" si="126"/>
        <v>#VALUE!</v>
      </c>
      <c r="BI167" s="386">
        <f t="shared" si="127"/>
        <v>11.301440078172947</v>
      </c>
      <c r="BJ167" s="386">
        <f t="shared" si="128"/>
        <v>6.7595143611551052</v>
      </c>
      <c r="BK167" s="386">
        <f t="shared" si="129"/>
        <v>1.5151970137699353</v>
      </c>
      <c r="BL167" s="386">
        <f t="shared" si="130"/>
        <v>0.86202703912322221</v>
      </c>
    </row>
    <row r="168" spans="7:64" x14ac:dyDescent="0.2">
      <c r="G168">
        <v>159</v>
      </c>
      <c r="H168" s="610">
        <f t="shared" si="131"/>
        <v>40.005000000000003</v>
      </c>
      <c r="I168" s="4" t="str">
        <f t="shared" si="132"/>
        <v>BUCK</v>
      </c>
      <c r="J168">
        <f t="shared" si="170"/>
        <v>1</v>
      </c>
      <c r="K168">
        <f t="shared" si="133"/>
        <v>20</v>
      </c>
      <c r="L168" s="4">
        <f t="shared" si="134"/>
        <v>7.1102223333194461</v>
      </c>
      <c r="M168" s="4">
        <f t="shared" si="135"/>
        <v>20</v>
      </c>
      <c r="N168" s="386">
        <f t="shared" si="136"/>
        <v>0.32307001123174839</v>
      </c>
      <c r="O168" s="386">
        <f t="shared" si="171"/>
        <v>0</v>
      </c>
      <c r="P168" s="4">
        <f t="shared" si="137"/>
        <v>17.524092777236991</v>
      </c>
      <c r="Q168" s="386">
        <f t="shared" si="138"/>
        <v>20.629860695250322</v>
      </c>
      <c r="R168" s="386">
        <f t="shared" si="116"/>
        <v>1.0570176034409859</v>
      </c>
      <c r="S168" s="386">
        <f t="shared" si="117"/>
        <v>10.300053685030388</v>
      </c>
      <c r="T168" s="386">
        <f t="shared" si="118"/>
        <v>11.357071288471374</v>
      </c>
      <c r="U168" s="4">
        <f t="shared" si="139"/>
        <v>5.0587698411208768</v>
      </c>
      <c r="V168" s="386">
        <f t="shared" si="119"/>
        <v>5.1182304610868277E-2</v>
      </c>
      <c r="W168" s="386">
        <f t="shared" si="120"/>
        <v>5.1182304610868277E-2</v>
      </c>
      <c r="X168" s="386">
        <f t="shared" si="140"/>
        <v>9.6475379564237418</v>
      </c>
      <c r="Y168" s="386">
        <f t="shared" si="121"/>
        <v>0.18614997724127358</v>
      </c>
      <c r="Z168" s="603">
        <f t="shared" si="122"/>
        <v>0.18614997724127358</v>
      </c>
      <c r="AA168" s="386">
        <f t="shared" si="141"/>
        <v>11.725857681016317</v>
      </c>
      <c r="AB168" s="386">
        <f t="shared" si="142"/>
        <v>0.26124190287535376</v>
      </c>
      <c r="AC168" s="386">
        <f t="shared" si="143"/>
        <v>2.7737571451724432</v>
      </c>
      <c r="AD168">
        <f t="shared" si="144"/>
        <v>0</v>
      </c>
      <c r="AE168" s="386">
        <f t="shared" si="145"/>
        <v>3.2023148110148885</v>
      </c>
      <c r="AF168" s="386">
        <f t="shared" si="146"/>
        <v>16.973373676143019</v>
      </c>
      <c r="AG168" s="386">
        <f t="shared" si="147"/>
        <v>0.54738128650497109</v>
      </c>
      <c r="AH168" s="386">
        <f t="shared" si="148"/>
        <v>0</v>
      </c>
      <c r="AI168" s="386">
        <f t="shared" si="149"/>
        <v>0.61467343346283376</v>
      </c>
      <c r="AJ168" s="386">
        <f t="shared" si="150"/>
        <v>0</v>
      </c>
      <c r="AK168" s="386">
        <f t="shared" si="151"/>
        <v>0</v>
      </c>
      <c r="AL168" s="386">
        <f t="shared" si="152"/>
        <v>0</v>
      </c>
      <c r="AM168">
        <f t="shared" si="153"/>
        <v>0</v>
      </c>
      <c r="AN168" s="386">
        <f t="shared" si="154"/>
        <v>0</v>
      </c>
      <c r="AO168" s="386">
        <f t="shared" si="155"/>
        <v>20.629860695250322</v>
      </c>
      <c r="AP168" s="386">
        <f t="shared" si="156"/>
        <v>0.21279557615271705</v>
      </c>
      <c r="AQ168" s="386">
        <f t="shared" si="157"/>
        <v>0</v>
      </c>
      <c r="AR168" s="386">
        <f t="shared" si="158"/>
        <v>0.22225453240797877</v>
      </c>
      <c r="AS168" s="386">
        <f t="shared" si="159"/>
        <v>0.21279557615271705</v>
      </c>
      <c r="AT168" s="386">
        <f t="shared" si="160"/>
        <v>0.27500000000000002</v>
      </c>
      <c r="AU168" s="386">
        <f t="shared" si="161"/>
        <v>2.7477312500000006</v>
      </c>
      <c r="AV168" s="386">
        <f t="shared" si="162"/>
        <v>0.8642862418499544</v>
      </c>
      <c r="AW168" s="386" t="e">
        <f t="shared" si="163"/>
        <v>#VALUE!</v>
      </c>
      <c r="AX168" s="386">
        <f t="shared" si="164"/>
        <v>3.8400000000000004E-2</v>
      </c>
      <c r="AY168" s="386">
        <f t="shared" si="165"/>
        <v>0.61440000000000006</v>
      </c>
      <c r="AZ168" s="386">
        <f t="shared" si="166"/>
        <v>0.47314285714285709</v>
      </c>
      <c r="BA168" s="386">
        <f t="shared" si="123"/>
        <v>0.65280000000000005</v>
      </c>
      <c r="BB168" s="386" t="e">
        <f t="shared" si="124"/>
        <v>#VALUE!</v>
      </c>
      <c r="BC168">
        <f t="shared" si="167"/>
        <v>256</v>
      </c>
      <c r="BD168" s="604" t="e">
        <f t="shared" si="125"/>
        <v>#VALUE!</v>
      </c>
      <c r="BE168" s="614">
        <f t="shared" si="168"/>
        <v>297.5023030507445</v>
      </c>
      <c r="BF168" s="614">
        <f t="shared" si="169"/>
        <v>30.733671673141689</v>
      </c>
      <c r="BG168" s="9"/>
      <c r="BH168" s="4" t="e">
        <f t="shared" si="126"/>
        <v>#VALUE!</v>
      </c>
      <c r="BI168" s="386">
        <f t="shared" si="127"/>
        <v>11.357071288471374</v>
      </c>
      <c r="BJ168" s="386">
        <f t="shared" si="128"/>
        <v>6.7869740268857015</v>
      </c>
      <c r="BK168" s="386">
        <f t="shared" si="129"/>
        <v>1.5214247459628341</v>
      </c>
      <c r="BL168" s="386">
        <f t="shared" si="130"/>
        <v>0.8642862418499544</v>
      </c>
    </row>
    <row r="169" spans="7:64" x14ac:dyDescent="0.2">
      <c r="G169">
        <v>160</v>
      </c>
      <c r="H169" s="610">
        <f t="shared" si="131"/>
        <v>40.200000000000003</v>
      </c>
      <c r="I169" s="4" t="str">
        <f t="shared" si="132"/>
        <v>BUCK</v>
      </c>
      <c r="J169">
        <f t="shared" si="170"/>
        <v>1</v>
      </c>
      <c r="K169">
        <f t="shared" si="133"/>
        <v>20</v>
      </c>
      <c r="L169" s="4">
        <f t="shared" si="134"/>
        <v>7.0757324488667761</v>
      </c>
      <c r="M169" s="4">
        <f t="shared" si="135"/>
        <v>20</v>
      </c>
      <c r="N169" s="386">
        <f t="shared" si="136"/>
        <v>0.32150521609538002</v>
      </c>
      <c r="O169" s="386">
        <f t="shared" si="171"/>
        <v>0</v>
      </c>
      <c r="P169" s="4">
        <f t="shared" si="137"/>
        <v>17.564601567809245</v>
      </c>
      <c r="Q169" s="386">
        <f t="shared" si="138"/>
        <v>20.63273133525929</v>
      </c>
      <c r="R169" s="386">
        <f t="shared" si="116"/>
        <v>1.0573366758394609</v>
      </c>
      <c r="S169" s="386">
        <f t="shared" si="117"/>
        <v>10.354993843894581</v>
      </c>
      <c r="T169" s="386">
        <f t="shared" si="118"/>
        <v>11.412330519734041</v>
      </c>
      <c r="U169" s="4">
        <f t="shared" si="139"/>
        <v>5.0704637216915955</v>
      </c>
      <c r="V169" s="386">
        <f t="shared" si="119"/>
        <v>5.1419204705981172E-2</v>
      </c>
      <c r="W169" s="386">
        <f t="shared" si="120"/>
        <v>5.1419204705981172E-2</v>
      </c>
      <c r="X169" s="386">
        <f t="shared" si="140"/>
        <v>9.6366035267903527</v>
      </c>
      <c r="Y169" s="386">
        <f t="shared" si="121"/>
        <v>0.18572825506509655</v>
      </c>
      <c r="Z169" s="603">
        <f t="shared" si="122"/>
        <v>0.18572825506509655</v>
      </c>
      <c r="AA169" s="386">
        <f t="shared" si="141"/>
        <v>11.699053709526106</v>
      </c>
      <c r="AB169" s="386">
        <f t="shared" si="142"/>
        <v>0.26004892962691545</v>
      </c>
      <c r="AC169" s="386">
        <f t="shared" si="143"/>
        <v>2.7872775212081544</v>
      </c>
      <c r="AD169">
        <f t="shared" si="144"/>
        <v>0</v>
      </c>
      <c r="AE169" s="386">
        <f t="shared" si="145"/>
        <v>3.2145125609864289</v>
      </c>
      <c r="AF169" s="386">
        <f t="shared" si="146"/>
        <v>16.995344793637287</v>
      </c>
      <c r="AG169" s="386">
        <f t="shared" si="147"/>
        <v>0.54879931484376665</v>
      </c>
      <c r="AH169" s="386">
        <f t="shared" si="148"/>
        <v>0</v>
      </c>
      <c r="AI169" s="386">
        <f t="shared" si="149"/>
        <v>0.61646211175547594</v>
      </c>
      <c r="AJ169" s="386">
        <f t="shared" si="150"/>
        <v>0</v>
      </c>
      <c r="AK169" s="386">
        <f t="shared" si="151"/>
        <v>0</v>
      </c>
      <c r="AL169" s="386">
        <f t="shared" si="152"/>
        <v>0</v>
      </c>
      <c r="AM169">
        <f t="shared" si="153"/>
        <v>0</v>
      </c>
      <c r="AN169" s="386">
        <f t="shared" si="154"/>
        <v>0</v>
      </c>
      <c r="AO169" s="386">
        <f t="shared" si="155"/>
        <v>20.63273133525929</v>
      </c>
      <c r="AP169" s="386">
        <f t="shared" si="156"/>
        <v>0.2128548011764953</v>
      </c>
      <c r="AQ169" s="386">
        <f t="shared" si="157"/>
        <v>0</v>
      </c>
      <c r="AR169" s="386">
        <f t="shared" si="158"/>
        <v>0.22231914046476675</v>
      </c>
      <c r="AS169" s="386">
        <f t="shared" si="159"/>
        <v>0.2128548011764953</v>
      </c>
      <c r="AT169" s="386">
        <f t="shared" si="160"/>
        <v>0.27500000000000002</v>
      </c>
      <c r="AU169" s="386">
        <f t="shared" si="161"/>
        <v>2.7611375000000007</v>
      </c>
      <c r="AV169" s="386">
        <f t="shared" si="162"/>
        <v>0.86652523396384218</v>
      </c>
      <c r="AW169" s="386" t="e">
        <f t="shared" si="163"/>
        <v>#VALUE!</v>
      </c>
      <c r="AX169" s="386">
        <f t="shared" si="164"/>
        <v>3.8400000000000004E-2</v>
      </c>
      <c r="AY169" s="386">
        <f t="shared" si="165"/>
        <v>0.61440000000000006</v>
      </c>
      <c r="AZ169" s="386">
        <f t="shared" si="166"/>
        <v>0.47314285714285709</v>
      </c>
      <c r="BA169" s="386">
        <f t="shared" si="123"/>
        <v>0.65280000000000005</v>
      </c>
      <c r="BB169" s="386" t="e">
        <f t="shared" si="124"/>
        <v>#VALUE!</v>
      </c>
      <c r="BC169">
        <f t="shared" si="167"/>
        <v>256</v>
      </c>
      <c r="BD169" s="604" t="e">
        <f t="shared" si="125"/>
        <v>#VALUE!</v>
      </c>
      <c r="BE169" s="614">
        <f t="shared" si="168"/>
        <v>298.78250304932152</v>
      </c>
      <c r="BF169" s="614">
        <f t="shared" si="169"/>
        <v>30.823105587773796</v>
      </c>
      <c r="BG169" s="9"/>
      <c r="BH169" s="4" t="e">
        <f t="shared" si="126"/>
        <v>#VALUE!</v>
      </c>
      <c r="BI169" s="386">
        <f t="shared" si="127"/>
        <v>11.412330519734041</v>
      </c>
      <c r="BJ169" s="386">
        <f t="shared" si="128"/>
        <v>6.8144313132066721</v>
      </c>
      <c r="BK169" s="386">
        <f t="shared" si="129"/>
        <v>1.5276374867554763</v>
      </c>
      <c r="BL169" s="386">
        <f t="shared" si="130"/>
        <v>0.86652523396384218</v>
      </c>
    </row>
    <row r="170" spans="7:64" x14ac:dyDescent="0.2">
      <c r="G170">
        <v>161</v>
      </c>
      <c r="H170" s="610">
        <f t="shared" si="131"/>
        <v>40.395000000000003</v>
      </c>
      <c r="I170" s="4" t="str">
        <f t="shared" si="132"/>
        <v>BUCK</v>
      </c>
      <c r="J170">
        <f t="shared" si="170"/>
        <v>1</v>
      </c>
      <c r="K170">
        <f t="shared" si="133"/>
        <v>20</v>
      </c>
      <c r="L170" s="4">
        <f t="shared" si="134"/>
        <v>7.0415755525298778</v>
      </c>
      <c r="M170" s="4">
        <f t="shared" si="135"/>
        <v>20</v>
      </c>
      <c r="N170" s="386">
        <f t="shared" si="136"/>
        <v>0.31995550611790879</v>
      </c>
      <c r="O170" s="386">
        <f t="shared" ref="O170:O201" si="172">CHOOSE(J170,0,(Vout+(Rdson3+Rdcr)*L170-H170)/(Vout+(Rdson3-Rdson4-Rs)*L170),IF(H170&gt;Vout,D_min_boost_exitBB_to_buck, (Vout-H170*D_max_buck_BB)/Vout))</f>
        <v>0</v>
      </c>
      <c r="P170" s="4">
        <f t="shared" si="137"/>
        <v>17.604719839822028</v>
      </c>
      <c r="Q170" s="386">
        <f t="shared" si="138"/>
        <v>20.635580438970418</v>
      </c>
      <c r="R170" s="386">
        <f t="shared" si="116"/>
        <v>1.0576534132240727</v>
      </c>
      <c r="S170" s="386">
        <f t="shared" si="117"/>
        <v>10.409567450140697</v>
      </c>
      <c r="T170" s="386">
        <f t="shared" si="118"/>
        <v>11.467220863364769</v>
      </c>
      <c r="U170" s="4">
        <f t="shared" si="139"/>
        <v>5.082044869264597</v>
      </c>
      <c r="V170" s="386">
        <f t="shared" si="119"/>
        <v>5.165436010643723E-2</v>
      </c>
      <c r="W170" s="386">
        <f t="shared" si="120"/>
        <v>5.165436010643723E-2</v>
      </c>
      <c r="X170" s="386">
        <f t="shared" si="140"/>
        <v>9.6256518076962116</v>
      </c>
      <c r="Y170" s="386">
        <f t="shared" si="121"/>
        <v>0.18530634544601068</v>
      </c>
      <c r="Z170" s="603">
        <f t="shared" si="122"/>
        <v>0.18530634544601068</v>
      </c>
      <c r="AA170" s="386">
        <f t="shared" si="141"/>
        <v>11.672435517606829</v>
      </c>
      <c r="AB170" s="386">
        <f t="shared" si="142"/>
        <v>0.25886692673410988</v>
      </c>
      <c r="AC170" s="386">
        <f t="shared" si="143"/>
        <v>2.8007978972438661</v>
      </c>
      <c r="AD170">
        <f t="shared" si="144"/>
        <v>0</v>
      </c>
      <c r="AE170" s="386">
        <f t="shared" si="145"/>
        <v>3.2267232080351111</v>
      </c>
      <c r="AF170" s="386">
        <f t="shared" si="146"/>
        <v>17.017092264559452</v>
      </c>
      <c r="AG170" s="386">
        <f t="shared" si="147"/>
        <v>0.55020471536700533</v>
      </c>
      <c r="AH170" s="386">
        <f t="shared" si="148"/>
        <v>0</v>
      </c>
      <c r="AI170" s="386">
        <f t="shared" si="149"/>
        <v>0.61823598634648702</v>
      </c>
      <c r="AJ170" s="386">
        <f t="shared" si="150"/>
        <v>0</v>
      </c>
      <c r="AK170" s="386">
        <f t="shared" si="151"/>
        <v>0</v>
      </c>
      <c r="AL170" s="386">
        <f t="shared" si="152"/>
        <v>0</v>
      </c>
      <c r="AM170">
        <f t="shared" si="153"/>
        <v>0</v>
      </c>
      <c r="AN170" s="386">
        <f t="shared" si="154"/>
        <v>0</v>
      </c>
      <c r="AO170" s="386">
        <f t="shared" si="155"/>
        <v>20.635580438970418</v>
      </c>
      <c r="AP170" s="386">
        <f t="shared" si="156"/>
        <v>0.21291359002660928</v>
      </c>
      <c r="AQ170" s="386">
        <f t="shared" si="157"/>
        <v>0</v>
      </c>
      <c r="AR170" s="386">
        <f t="shared" si="158"/>
        <v>0.22238327428456925</v>
      </c>
      <c r="AS170" s="386">
        <f t="shared" si="159"/>
        <v>0.21291359002660928</v>
      </c>
      <c r="AT170" s="386">
        <f t="shared" si="160"/>
        <v>0.27500000000000002</v>
      </c>
      <c r="AU170" s="386">
        <f t="shared" si="161"/>
        <v>2.7745437500000008</v>
      </c>
      <c r="AV170" s="386">
        <f t="shared" si="162"/>
        <v>0.86874428742158738</v>
      </c>
      <c r="AW170" s="386" t="e">
        <f t="shared" si="163"/>
        <v>#VALUE!</v>
      </c>
      <c r="AX170" s="386">
        <f t="shared" si="164"/>
        <v>3.8400000000000004E-2</v>
      </c>
      <c r="AY170" s="386">
        <f t="shared" si="165"/>
        <v>0.61440000000000006</v>
      </c>
      <c r="AZ170" s="386">
        <f t="shared" si="166"/>
        <v>0.47314285714285709</v>
      </c>
      <c r="BA170" s="386">
        <f t="shared" si="123"/>
        <v>0.65280000000000005</v>
      </c>
      <c r="BB170" s="386" t="e">
        <f t="shared" si="124"/>
        <v>#VALUE!</v>
      </c>
      <c r="BC170">
        <f t="shared" si="167"/>
        <v>256</v>
      </c>
      <c r="BD170" s="604" t="e">
        <f t="shared" si="125"/>
        <v>#VALUE!</v>
      </c>
      <c r="BE170" s="614">
        <f t="shared" si="168"/>
        <v>300.06334790175561</v>
      </c>
      <c r="BF170" s="614">
        <f t="shared" si="169"/>
        <v>30.911799317324352</v>
      </c>
      <c r="BG170" s="9"/>
      <c r="BH170" s="4" t="e">
        <f t="shared" si="126"/>
        <v>#VALUE!</v>
      </c>
      <c r="BI170" s="386">
        <f t="shared" si="127"/>
        <v>11.467220863364769</v>
      </c>
      <c r="BJ170" s="386">
        <f t="shared" si="128"/>
        <v>6.8418862186661684</v>
      </c>
      <c r="BK170" s="386">
        <f t="shared" si="129"/>
        <v>1.5338354238464873</v>
      </c>
      <c r="BL170" s="386">
        <f t="shared" si="130"/>
        <v>0.86874428742158738</v>
      </c>
    </row>
    <row r="171" spans="7:64" x14ac:dyDescent="0.2">
      <c r="G171">
        <v>162</v>
      </c>
      <c r="H171" s="610">
        <f t="shared" si="131"/>
        <v>40.590000000000003</v>
      </c>
      <c r="I171" s="4" t="str">
        <f t="shared" si="132"/>
        <v>BUCK</v>
      </c>
      <c r="J171">
        <f t="shared" si="170"/>
        <v>1</v>
      </c>
      <c r="K171">
        <f t="shared" si="133"/>
        <v>20</v>
      </c>
      <c r="L171" s="4">
        <f t="shared" si="134"/>
        <v>7.0077468451452178</v>
      </c>
      <c r="M171" s="4">
        <f t="shared" si="135"/>
        <v>20</v>
      </c>
      <c r="N171" s="386">
        <f t="shared" si="136"/>
        <v>0.31842066420664206</v>
      </c>
      <c r="O171" s="386">
        <f t="shared" si="172"/>
        <v>0</v>
      </c>
      <c r="P171" s="4">
        <f t="shared" si="137"/>
        <v>17.644453213284137</v>
      </c>
      <c r="Q171" s="386">
        <f t="shared" si="138"/>
        <v>20.638408225918194</v>
      </c>
      <c r="R171" s="386">
        <f t="shared" si="116"/>
        <v>1.0579678386872005</v>
      </c>
      <c r="S171" s="386">
        <f t="shared" si="117"/>
        <v>10.463777554092053</v>
      </c>
      <c r="T171" s="386">
        <f t="shared" si="118"/>
        <v>11.521745392779254</v>
      </c>
      <c r="U171" s="4">
        <f t="shared" si="139"/>
        <v>5.0935149061966776</v>
      </c>
      <c r="V171" s="386">
        <f t="shared" si="119"/>
        <v>5.1887788199295501E-2</v>
      </c>
      <c r="W171" s="386">
        <f t="shared" si="120"/>
        <v>5.1887788199295501E-2</v>
      </c>
      <c r="X171" s="386">
        <f t="shared" si="140"/>
        <v>9.6146842842560307</v>
      </c>
      <c r="Y171" s="386">
        <f t="shared" si="121"/>
        <v>0.18488430777183981</v>
      </c>
      <c r="Z171" s="603">
        <f t="shared" si="122"/>
        <v>0.18488430777183981</v>
      </c>
      <c r="AA171" s="386">
        <f t="shared" si="141"/>
        <v>11.646000930532914</v>
      </c>
      <c r="AB171" s="386">
        <f t="shared" si="142"/>
        <v>0.25769574158054959</v>
      </c>
      <c r="AC171" s="386">
        <f t="shared" si="143"/>
        <v>2.8143182732795773</v>
      </c>
      <c r="AD171">
        <f t="shared" si="144"/>
        <v>0</v>
      </c>
      <c r="AE171" s="386">
        <f t="shared" si="145"/>
        <v>3.2389465621128135</v>
      </c>
      <c r="AF171" s="386">
        <f t="shared" si="146"/>
        <v>17.038619557513289</v>
      </c>
      <c r="AG171" s="386">
        <f t="shared" si="147"/>
        <v>0.55159765720878129</v>
      </c>
      <c r="AH171" s="386">
        <f t="shared" si="148"/>
        <v>0</v>
      </c>
      <c r="AI171" s="386">
        <f t="shared" si="149"/>
        <v>0.61999524177782983</v>
      </c>
      <c r="AJ171" s="386">
        <f t="shared" si="150"/>
        <v>0</v>
      </c>
      <c r="AK171" s="386">
        <f t="shared" si="151"/>
        <v>0</v>
      </c>
      <c r="AL171" s="386">
        <f t="shared" si="152"/>
        <v>0</v>
      </c>
      <c r="AM171">
        <f t="shared" si="153"/>
        <v>0</v>
      </c>
      <c r="AN171" s="386">
        <f t="shared" si="154"/>
        <v>0</v>
      </c>
      <c r="AO171" s="386">
        <f t="shared" si="155"/>
        <v>20.638408225918194</v>
      </c>
      <c r="AP171" s="386">
        <f t="shared" si="156"/>
        <v>0.21297194704982392</v>
      </c>
      <c r="AQ171" s="386">
        <f t="shared" si="157"/>
        <v>0</v>
      </c>
      <c r="AR171" s="386">
        <f t="shared" si="158"/>
        <v>0.22244693857452161</v>
      </c>
      <c r="AS171" s="386">
        <f t="shared" si="159"/>
        <v>0.21297194704982392</v>
      </c>
      <c r="AT171" s="386">
        <f t="shared" si="160"/>
        <v>0.27500000000000002</v>
      </c>
      <c r="AU171" s="386">
        <f t="shared" si="161"/>
        <v>2.7879500000000008</v>
      </c>
      <c r="AV171" s="386">
        <f t="shared" si="162"/>
        <v>0.87094366927702316</v>
      </c>
      <c r="AW171" s="386" t="e">
        <f t="shared" si="163"/>
        <v>#VALUE!</v>
      </c>
      <c r="AX171" s="386">
        <f t="shared" si="164"/>
        <v>3.8400000000000004E-2</v>
      </c>
      <c r="AY171" s="386">
        <f t="shared" si="165"/>
        <v>0.61440000000000006</v>
      </c>
      <c r="AZ171" s="386">
        <f t="shared" si="166"/>
        <v>0.47314285714285709</v>
      </c>
      <c r="BA171" s="386">
        <f t="shared" si="123"/>
        <v>0.65280000000000005</v>
      </c>
      <c r="BB171" s="386" t="e">
        <f t="shared" si="124"/>
        <v>#VALUE!</v>
      </c>
      <c r="BC171">
        <f t="shared" si="167"/>
        <v>256</v>
      </c>
      <c r="BD171" s="604" t="e">
        <f t="shared" si="125"/>
        <v>#VALUE!</v>
      </c>
      <c r="BE171" s="614">
        <f t="shared" si="168"/>
        <v>301.34482810564072</v>
      </c>
      <c r="BF171" s="614">
        <f t="shared" si="169"/>
        <v>30.99976208889149</v>
      </c>
      <c r="BG171" s="9"/>
      <c r="BH171" s="4" t="e">
        <f t="shared" si="126"/>
        <v>#VALUE!</v>
      </c>
      <c r="BI171" s="386">
        <f t="shared" si="127"/>
        <v>11.521745392779254</v>
      </c>
      <c r="BJ171" s="386">
        <f t="shared" si="128"/>
        <v>6.8693387424651657</v>
      </c>
      <c r="BK171" s="386">
        <f t="shared" si="129"/>
        <v>1.5400187417778302</v>
      </c>
      <c r="BL171" s="386">
        <f t="shared" si="130"/>
        <v>0.87094366927702316</v>
      </c>
    </row>
    <row r="172" spans="7:64" x14ac:dyDescent="0.2">
      <c r="G172">
        <v>163</v>
      </c>
      <c r="H172" s="610">
        <f t="shared" si="131"/>
        <v>40.784999999999997</v>
      </c>
      <c r="I172" s="4" t="str">
        <f t="shared" si="132"/>
        <v>BUCK</v>
      </c>
      <c r="J172">
        <f t="shared" si="170"/>
        <v>1</v>
      </c>
      <c r="K172">
        <f t="shared" si="133"/>
        <v>20</v>
      </c>
      <c r="L172" s="4">
        <f t="shared" si="134"/>
        <v>6.9742416193317265</v>
      </c>
      <c r="M172" s="4">
        <f t="shared" si="135"/>
        <v>20</v>
      </c>
      <c r="N172" s="386">
        <f t="shared" si="136"/>
        <v>0.3169004774146163</v>
      </c>
      <c r="O172" s="386">
        <f t="shared" si="172"/>
        <v>0</v>
      </c>
      <c r="P172" s="4">
        <f t="shared" si="137"/>
        <v>17.683807200881382</v>
      </c>
      <c r="Q172" s="386">
        <f t="shared" si="138"/>
        <v>20.641214913206102</v>
      </c>
      <c r="R172" s="386">
        <f t="shared" si="116"/>
        <v>1.0582799750783298</v>
      </c>
      <c r="S172" s="386">
        <f t="shared" si="117"/>
        <v>10.517627187834675</v>
      </c>
      <c r="T172" s="386">
        <f t="shared" si="118"/>
        <v>11.575907162913005</v>
      </c>
      <c r="U172" s="4">
        <f t="shared" si="139"/>
        <v>5.1048754238631551</v>
      </c>
      <c r="V172" s="386">
        <f t="shared" si="119"/>
        <v>5.2119506186324056E-2</v>
      </c>
      <c r="W172" s="386">
        <f t="shared" si="120"/>
        <v>5.2119506186324056E-2</v>
      </c>
      <c r="X172" s="386">
        <f t="shared" si="140"/>
        <v>9.6037023924107192</v>
      </c>
      <c r="Y172" s="386">
        <f t="shared" si="121"/>
        <v>0.18446219928399074</v>
      </c>
      <c r="Z172" s="603">
        <f t="shared" si="122"/>
        <v>0.18446219928399074</v>
      </c>
      <c r="AA172" s="386">
        <f t="shared" si="141"/>
        <v>11.619747809758033</v>
      </c>
      <c r="AB172" s="386">
        <f t="shared" si="142"/>
        <v>0.25653522440851556</v>
      </c>
      <c r="AC172" s="386">
        <f t="shared" si="143"/>
        <v>2.8278386493152876</v>
      </c>
      <c r="AD172">
        <f t="shared" si="144"/>
        <v>0</v>
      </c>
      <c r="AE172" s="386">
        <f t="shared" si="145"/>
        <v>3.2511824369341906</v>
      </c>
      <c r="AF172" s="386">
        <f t="shared" si="146"/>
        <v>17.059930068168082</v>
      </c>
      <c r="AG172" s="386">
        <f t="shared" si="147"/>
        <v>0.55297830646849233</v>
      </c>
      <c r="AH172" s="386">
        <f t="shared" si="148"/>
        <v>0</v>
      </c>
      <c r="AI172" s="386">
        <f t="shared" si="149"/>
        <v>0.62174005950188693</v>
      </c>
      <c r="AJ172" s="386">
        <f t="shared" si="150"/>
        <v>0</v>
      </c>
      <c r="AK172" s="386">
        <f t="shared" si="151"/>
        <v>0</v>
      </c>
      <c r="AL172" s="386">
        <f t="shared" si="152"/>
        <v>0</v>
      </c>
      <c r="AM172">
        <f t="shared" si="153"/>
        <v>0</v>
      </c>
      <c r="AN172" s="386">
        <f t="shared" si="154"/>
        <v>0</v>
      </c>
      <c r="AO172" s="386">
        <f t="shared" si="155"/>
        <v>20.641214913206102</v>
      </c>
      <c r="AP172" s="386">
        <f t="shared" si="156"/>
        <v>0.21302987654658101</v>
      </c>
      <c r="AQ172" s="386">
        <f t="shared" si="157"/>
        <v>0</v>
      </c>
      <c r="AR172" s="386">
        <f t="shared" si="158"/>
        <v>0.22251013799193806</v>
      </c>
      <c r="AS172" s="386">
        <f t="shared" si="159"/>
        <v>0.21302987654658101</v>
      </c>
      <c r="AT172" s="386">
        <f t="shared" si="160"/>
        <v>0.27500000000000002</v>
      </c>
      <c r="AU172" s="386">
        <f t="shared" si="161"/>
        <v>2.8013562500000004</v>
      </c>
      <c r="AV172" s="386">
        <f t="shared" si="162"/>
        <v>0.87312364179235635</v>
      </c>
      <c r="AW172" s="386" t="e">
        <f t="shared" si="163"/>
        <v>#VALUE!</v>
      </c>
      <c r="AX172" s="386">
        <f t="shared" si="164"/>
        <v>3.8400000000000004E-2</v>
      </c>
      <c r="AY172" s="386">
        <f t="shared" si="165"/>
        <v>0.61440000000000006</v>
      </c>
      <c r="AZ172" s="386">
        <f t="shared" si="166"/>
        <v>0.47314285714285709</v>
      </c>
      <c r="BA172" s="386">
        <f t="shared" si="123"/>
        <v>0.65280000000000005</v>
      </c>
      <c r="BB172" s="386" t="e">
        <f t="shared" si="124"/>
        <v>#VALUE!</v>
      </c>
      <c r="BC172">
        <f t="shared" si="167"/>
        <v>256</v>
      </c>
      <c r="BD172" s="604" t="e">
        <f t="shared" si="125"/>
        <v>#VALUE!</v>
      </c>
      <c r="BE172" s="614">
        <f t="shared" si="168"/>
        <v>302.62693434670956</v>
      </c>
      <c r="BF172" s="614">
        <f t="shared" si="169"/>
        <v>31.087002975094347</v>
      </c>
      <c r="BG172" s="9"/>
      <c r="BH172" s="4" t="e">
        <f t="shared" si="126"/>
        <v>#VALUE!</v>
      </c>
      <c r="BI172" s="386">
        <f t="shared" si="127"/>
        <v>11.575907162913005</v>
      </c>
      <c r="BJ172" s="386">
        <f t="shared" si="128"/>
        <v>6.8967888844280161</v>
      </c>
      <c r="BK172" s="386">
        <f t="shared" si="129"/>
        <v>1.5461876220018871</v>
      </c>
      <c r="BL172" s="386">
        <f t="shared" si="130"/>
        <v>0.87312364179235635</v>
      </c>
    </row>
    <row r="173" spans="7:64" x14ac:dyDescent="0.2">
      <c r="G173">
        <v>164</v>
      </c>
      <c r="H173" s="610">
        <f t="shared" si="131"/>
        <v>40.98</v>
      </c>
      <c r="I173" s="4" t="str">
        <f t="shared" si="132"/>
        <v>BUCK</v>
      </c>
      <c r="J173">
        <f t="shared" si="170"/>
        <v>1</v>
      </c>
      <c r="K173">
        <f t="shared" si="133"/>
        <v>20</v>
      </c>
      <c r="L173" s="4">
        <f t="shared" si="134"/>
        <v>6.9410552573070881</v>
      </c>
      <c r="M173" s="4">
        <f t="shared" si="135"/>
        <v>20</v>
      </c>
      <c r="N173" s="386">
        <f t="shared" si="136"/>
        <v>0.31539473684210528</v>
      </c>
      <c r="O173" s="386">
        <f t="shared" si="172"/>
        <v>0</v>
      </c>
      <c r="P173" s="4">
        <f t="shared" si="137"/>
        <v>17.722787210526317</v>
      </c>
      <c r="Q173" s="386">
        <f t="shared" si="138"/>
        <v>20.644000715521841</v>
      </c>
      <c r="R173" s="386">
        <f t="shared" si="116"/>
        <v>1.0585898450051794</v>
      </c>
      <c r="S173" s="386">
        <f t="shared" si="117"/>
        <v>10.571119364762568</v>
      </c>
      <c r="T173" s="386">
        <f t="shared" si="118"/>
        <v>11.629709209767748</v>
      </c>
      <c r="U173" s="4">
        <f t="shared" si="139"/>
        <v>5.1161279833939135</v>
      </c>
      <c r="V173" s="386">
        <f t="shared" si="119"/>
        <v>5.2349531084932545E-2</v>
      </c>
      <c r="W173" s="386">
        <f t="shared" si="120"/>
        <v>5.2349531084932545E-2</v>
      </c>
      <c r="X173" s="386">
        <f t="shared" si="140"/>
        <v>9.5927075205907251</v>
      </c>
      <c r="Y173" s="386">
        <f t="shared" si="121"/>
        <v>0.18404007515119572</v>
      </c>
      <c r="Z173" s="603">
        <f t="shared" si="122"/>
        <v>0.18404007515119572</v>
      </c>
      <c r="AA173" s="386">
        <f t="shared" si="141"/>
        <v>11.593674052129121</v>
      </c>
      <c r="AB173" s="386">
        <f t="shared" si="142"/>
        <v>0.25538522825132293</v>
      </c>
      <c r="AC173" s="386">
        <f t="shared" si="143"/>
        <v>2.8413590253509988</v>
      </c>
      <c r="AD173">
        <f t="shared" si="144"/>
        <v>0</v>
      </c>
      <c r="AE173" s="386">
        <f t="shared" si="145"/>
        <v>3.2634306498828609</v>
      </c>
      <c r="AF173" s="386">
        <f t="shared" si="146"/>
        <v>17.081027121208319</v>
      </c>
      <c r="AG173" s="386">
        <f t="shared" si="147"/>
        <v>0.55434682627936283</v>
      </c>
      <c r="AH173" s="386">
        <f t="shared" si="148"/>
        <v>0</v>
      </c>
      <c r="AI173" s="386">
        <f t="shared" si="149"/>
        <v>0.62347061794681258</v>
      </c>
      <c r="AJ173" s="386">
        <f t="shared" si="150"/>
        <v>0</v>
      </c>
      <c r="AK173" s="386">
        <f t="shared" si="151"/>
        <v>0</v>
      </c>
      <c r="AL173" s="386">
        <f t="shared" si="152"/>
        <v>0</v>
      </c>
      <c r="AM173">
        <f t="shared" si="153"/>
        <v>0</v>
      </c>
      <c r="AN173" s="386">
        <f t="shared" si="154"/>
        <v>0</v>
      </c>
      <c r="AO173" s="386">
        <f t="shared" si="155"/>
        <v>20.644000715521841</v>
      </c>
      <c r="AP173" s="386">
        <f t="shared" si="156"/>
        <v>0.21308738277123315</v>
      </c>
      <c r="AQ173" s="386">
        <f t="shared" si="157"/>
        <v>0</v>
      </c>
      <c r="AR173" s="386">
        <f t="shared" si="158"/>
        <v>0.22257287714455232</v>
      </c>
      <c r="AS173" s="386">
        <f t="shared" si="159"/>
        <v>0.21308738277123315</v>
      </c>
      <c r="AT173" s="386">
        <f t="shared" si="160"/>
        <v>0.27500000000000002</v>
      </c>
      <c r="AU173" s="386">
        <f t="shared" si="161"/>
        <v>2.8147625000000001</v>
      </c>
      <c r="AV173" s="386">
        <f t="shared" si="162"/>
        <v>0.87528446254636239</v>
      </c>
      <c r="AW173" s="386" t="e">
        <f t="shared" si="163"/>
        <v>#VALUE!</v>
      </c>
      <c r="AX173" s="386">
        <f t="shared" si="164"/>
        <v>3.8400000000000004E-2</v>
      </c>
      <c r="AY173" s="386">
        <f t="shared" si="165"/>
        <v>0.61440000000000006</v>
      </c>
      <c r="AZ173" s="386">
        <f t="shared" si="166"/>
        <v>0.47314285714285709</v>
      </c>
      <c r="BA173" s="386">
        <f t="shared" si="123"/>
        <v>0.65280000000000005</v>
      </c>
      <c r="BB173" s="386" t="e">
        <f t="shared" si="124"/>
        <v>#VALUE!</v>
      </c>
      <c r="BC173">
        <f t="shared" si="167"/>
        <v>256</v>
      </c>
      <c r="BD173" s="604" t="e">
        <f t="shared" si="125"/>
        <v>#VALUE!</v>
      </c>
      <c r="BE173" s="614">
        <f t="shared" si="168"/>
        <v>303.909657494143</v>
      </c>
      <c r="BF173" s="614">
        <f t="shared" si="169"/>
        <v>31.17353089734063</v>
      </c>
      <c r="BG173" s="9"/>
      <c r="BH173" s="4" t="e">
        <f t="shared" si="126"/>
        <v>#VALUE!</v>
      </c>
      <c r="BI173" s="386">
        <f t="shared" si="127"/>
        <v>11.629709209767748</v>
      </c>
      <c r="BJ173" s="386">
        <f t="shared" si="128"/>
        <v>6.9242366449742256</v>
      </c>
      <c r="BK173" s="386">
        <f t="shared" si="129"/>
        <v>1.5523422429468128</v>
      </c>
      <c r="BL173" s="386">
        <f t="shared" si="130"/>
        <v>0.87528446254636239</v>
      </c>
    </row>
    <row r="174" spans="7:64" x14ac:dyDescent="0.2">
      <c r="G174">
        <v>165</v>
      </c>
      <c r="H174" s="610">
        <f t="shared" si="131"/>
        <v>41.174999999999997</v>
      </c>
      <c r="I174" s="4" t="str">
        <f t="shared" si="132"/>
        <v>BUCK</v>
      </c>
      <c r="J174">
        <f t="shared" si="170"/>
        <v>1</v>
      </c>
      <c r="K174">
        <f t="shared" si="133"/>
        <v>20</v>
      </c>
      <c r="L174" s="4">
        <f t="shared" si="134"/>
        <v>6.9081832287661076</v>
      </c>
      <c r="M174" s="4">
        <f t="shared" si="135"/>
        <v>20</v>
      </c>
      <c r="N174" s="386">
        <f t="shared" si="136"/>
        <v>0.31390323754092403</v>
      </c>
      <c r="O174" s="386">
        <f t="shared" si="172"/>
        <v>0</v>
      </c>
      <c r="P174" s="4">
        <f t="shared" si="137"/>
        <v>17.761398547835579</v>
      </c>
      <c r="Q174" s="386">
        <f t="shared" si="138"/>
        <v>20.646765845153279</v>
      </c>
      <c r="R174" s="386">
        <f t="shared" ref="R174:R209" si="173">(Q174^2*Rdcr*(1+Ltc*Ta-Ltc*25))/(1-Q174^2*Rdcr*Ltc*ThetaCa)</f>
        <v>1.0588974708349141</v>
      </c>
      <c r="S174" s="386">
        <f t="shared" ref="S174:S209" si="174">7.759*10^-3*Fsw^0.9458*(0.00787*P174)^2.304</f>
        <v>10.624257079159053</v>
      </c>
      <c r="T174" s="386">
        <f t="shared" ref="T174:T209" si="175">R174+S174</f>
        <v>11.683154549993967</v>
      </c>
      <c r="U174" s="4">
        <f t="shared" si="139"/>
        <v>5.1272741163885502</v>
      </c>
      <c r="V174" s="386">
        <f t="shared" ref="V174:V209" si="176">RCoutEsr*U174^2</f>
        <v>5.2577879729175978E-2</v>
      </c>
      <c r="W174" s="386">
        <f t="shared" ref="W174:W209" si="177">V174</f>
        <v>5.2577879729175978E-2</v>
      </c>
      <c r="X174" s="386">
        <f t="shared" si="140"/>
        <v>9.5817010113168912</v>
      </c>
      <c r="Y174" s="386">
        <f t="shared" ref="Y174:Y209" si="178">RCinEsr*X174^2</f>
        <v>0.18361798854054229</v>
      </c>
      <c r="Z174" s="603">
        <f t="shared" ref="Z174:Z209" si="179">Y174</f>
        <v>0.18361798854054229</v>
      </c>
      <c r="AA174" s="386">
        <f t="shared" si="141"/>
        <v>11.567777589121535</v>
      </c>
      <c r="AB174" s="386">
        <f t="shared" si="142"/>
        <v>0.25424560886762659</v>
      </c>
      <c r="AC174" s="386">
        <f t="shared" si="143"/>
        <v>2.8548794013867105</v>
      </c>
      <c r="AD174">
        <f t="shared" si="144"/>
        <v>0</v>
      </c>
      <c r="AE174" s="386">
        <f t="shared" si="145"/>
        <v>3.2756910219204114</v>
      </c>
      <c r="AF174" s="386">
        <f t="shared" si="146"/>
        <v>17.101913972219762</v>
      </c>
      <c r="AG174" s="386">
        <f t="shared" si="147"/>
        <v>0.55570337687509053</v>
      </c>
      <c r="AH174" s="386">
        <f t="shared" si="148"/>
        <v>0</v>
      </c>
      <c r="AI174" s="386">
        <f t="shared" si="149"/>
        <v>0.62518709258019767</v>
      </c>
      <c r="AJ174" s="386">
        <f t="shared" si="150"/>
        <v>0</v>
      </c>
      <c r="AK174" s="386">
        <f t="shared" si="151"/>
        <v>0</v>
      </c>
      <c r="AL174" s="386">
        <f t="shared" si="152"/>
        <v>0</v>
      </c>
      <c r="AM174">
        <f t="shared" si="153"/>
        <v>0</v>
      </c>
      <c r="AN174" s="386">
        <f t="shared" si="154"/>
        <v>0</v>
      </c>
      <c r="AO174" s="386">
        <f t="shared" si="155"/>
        <v>20.646765845153279</v>
      </c>
      <c r="AP174" s="386">
        <f t="shared" si="156"/>
        <v>0.21314446993229402</v>
      </c>
      <c r="AQ174" s="386">
        <f t="shared" si="157"/>
        <v>0</v>
      </c>
      <c r="AR174" s="386">
        <f t="shared" si="158"/>
        <v>0.22263516059077645</v>
      </c>
      <c r="AS174" s="386">
        <f t="shared" si="159"/>
        <v>0.21314446993229402</v>
      </c>
      <c r="AT174" s="386">
        <f t="shared" si="160"/>
        <v>0.27500000000000002</v>
      </c>
      <c r="AU174" s="386">
        <f t="shared" si="161"/>
        <v>2.8281687500000001</v>
      </c>
      <c r="AV174" s="386">
        <f t="shared" si="162"/>
        <v>0.87742638453961652</v>
      </c>
      <c r="AW174" s="386" t="e">
        <f t="shared" si="163"/>
        <v>#VALUE!</v>
      </c>
      <c r="AX174" s="386">
        <f t="shared" si="164"/>
        <v>3.8400000000000004E-2</v>
      </c>
      <c r="AY174" s="386">
        <f t="shared" si="165"/>
        <v>0.61440000000000006</v>
      </c>
      <c r="AZ174" s="386">
        <f t="shared" si="166"/>
        <v>0.47314285714285709</v>
      </c>
      <c r="BA174" s="386">
        <f t="shared" ref="BA174:BA209" si="180">SUM(AX174:AY174)</f>
        <v>0.65280000000000005</v>
      </c>
      <c r="BB174" s="386" t="e">
        <f t="shared" ref="BB174:BB209" si="181">SUM(T174,W174,Z174,AE174,AI174,AN174,AR174, AT174,AU174,BA174,AV174,AW174)</f>
        <v>#VALUE!</v>
      </c>
      <c r="BC174">
        <f t="shared" si="167"/>
        <v>256</v>
      </c>
      <c r="BD174" s="604" t="e">
        <f t="shared" ref="BD174:BD209" si="182">BC174/(BC174+BB174)</f>
        <v>#VALUE!</v>
      </c>
      <c r="BE174" s="614">
        <f t="shared" si="168"/>
        <v>305.1929885960206</v>
      </c>
      <c r="BF174" s="614">
        <f t="shared" si="169"/>
        <v>31.259354629009884</v>
      </c>
      <c r="BG174" s="9"/>
      <c r="BH174" s="4" t="e">
        <f t="shared" ref="BH174:BH209" si="183">BD174*100</f>
        <v>#VALUE!</v>
      </c>
      <c r="BI174" s="386">
        <f t="shared" ref="BI174:BI209" si="184">T174</f>
        <v>11.683154549993967</v>
      </c>
      <c r="BJ174" s="386">
        <f t="shared" ref="BJ174:BJ209" si="185">AE174+AI174+AN174+AR174+AU174</f>
        <v>6.9516820250913849</v>
      </c>
      <c r="BK174" s="386">
        <f t="shared" ref="BK174:BK209" si="186">AI174+AU174*0.33</f>
        <v>1.5584827800801979</v>
      </c>
      <c r="BL174" s="386">
        <f t="shared" ref="BL174:BL209" si="187">AV174</f>
        <v>0.87742638453961652</v>
      </c>
    </row>
    <row r="175" spans="7:64" x14ac:dyDescent="0.2">
      <c r="G175">
        <v>166</v>
      </c>
      <c r="H175" s="610">
        <f t="shared" si="131"/>
        <v>41.37</v>
      </c>
      <c r="I175" s="4" t="str">
        <f t="shared" si="132"/>
        <v>BUCK</v>
      </c>
      <c r="J175">
        <f t="shared" si="170"/>
        <v>1</v>
      </c>
      <c r="K175">
        <f t="shared" si="133"/>
        <v>20</v>
      </c>
      <c r="L175" s="4">
        <f t="shared" si="134"/>
        <v>6.8756210888190585</v>
      </c>
      <c r="M175" s="4">
        <f t="shared" si="135"/>
        <v>20</v>
      </c>
      <c r="N175" s="386">
        <f t="shared" si="136"/>
        <v>0.31242577842143376</v>
      </c>
      <c r="O175" s="386">
        <f t="shared" si="172"/>
        <v>0</v>
      </c>
      <c r="P175" s="4">
        <f t="shared" si="137"/>
        <v>17.799646418537293</v>
      </c>
      <c r="Q175" s="386">
        <f t="shared" si="138"/>
        <v>20.649510512005179</v>
      </c>
      <c r="R175" s="386">
        <f t="shared" si="173"/>
        <v>1.0592028746954603</v>
      </c>
      <c r="S175" s="386">
        <f t="shared" si="174"/>
        <v>10.677043305812481</v>
      </c>
      <c r="T175" s="386">
        <f t="shared" si="175"/>
        <v>11.736246180507941</v>
      </c>
      <c r="U175" s="4">
        <f t="shared" si="139"/>
        <v>5.1383153256113321</v>
      </c>
      <c r="V175" s="386">
        <f t="shared" si="176"/>
        <v>5.2804568770824581E-2</v>
      </c>
      <c r="W175" s="386">
        <f t="shared" si="177"/>
        <v>5.2804568770824581E-2</v>
      </c>
      <c r="X175" s="386">
        <f t="shared" si="140"/>
        <v>9.5706841627415056</v>
      </c>
      <c r="Y175" s="386">
        <f t="shared" si="178"/>
        <v>0.18319599068590217</v>
      </c>
      <c r="Z175" s="603">
        <f t="shared" si="179"/>
        <v>0.18319599068590217</v>
      </c>
      <c r="AA175" s="386">
        <f t="shared" si="141"/>
        <v>11.542056386094727</v>
      </c>
      <c r="AB175" s="386">
        <f t="shared" si="142"/>
        <v>0.25311622467760109</v>
      </c>
      <c r="AC175" s="386">
        <f t="shared" si="143"/>
        <v>2.8683997774224217</v>
      </c>
      <c r="AD175">
        <f t="shared" si="144"/>
        <v>0</v>
      </c>
      <c r="AE175" s="386">
        <f t="shared" si="145"/>
        <v>3.2879633774981309</v>
      </c>
      <c r="AF175" s="386">
        <f t="shared" si="146"/>
        <v>17.122593809514445</v>
      </c>
      <c r="AG175" s="386">
        <f t="shared" si="147"/>
        <v>0.55704811565468249</v>
      </c>
      <c r="AH175" s="386">
        <f t="shared" si="148"/>
        <v>0</v>
      </c>
      <c r="AI175" s="386">
        <f t="shared" si="149"/>
        <v>0.6268896559711058</v>
      </c>
      <c r="AJ175" s="386">
        <f t="shared" si="150"/>
        <v>0</v>
      </c>
      <c r="AK175" s="386">
        <f t="shared" si="151"/>
        <v>0</v>
      </c>
      <c r="AL175" s="386">
        <f t="shared" si="152"/>
        <v>0</v>
      </c>
      <c r="AM175">
        <f t="shared" si="153"/>
        <v>0</v>
      </c>
      <c r="AN175" s="386">
        <f t="shared" si="154"/>
        <v>0</v>
      </c>
      <c r="AO175" s="386">
        <f t="shared" si="155"/>
        <v>20.649510512005179</v>
      </c>
      <c r="AP175" s="386">
        <f t="shared" si="156"/>
        <v>0.21320114219270619</v>
      </c>
      <c r="AQ175" s="386">
        <f t="shared" si="157"/>
        <v>0</v>
      </c>
      <c r="AR175" s="386">
        <f t="shared" si="158"/>
        <v>0.22269699283997907</v>
      </c>
      <c r="AS175" s="386">
        <f t="shared" si="159"/>
        <v>0.21320114219270619</v>
      </c>
      <c r="AT175" s="386">
        <f t="shared" si="160"/>
        <v>0.27500000000000002</v>
      </c>
      <c r="AU175" s="386">
        <f t="shared" si="161"/>
        <v>2.8415750000000002</v>
      </c>
      <c r="AV175" s="386">
        <f t="shared" si="162"/>
        <v>0.8795496562968671</v>
      </c>
      <c r="AW175" s="386" t="e">
        <f t="shared" si="163"/>
        <v>#VALUE!</v>
      </c>
      <c r="AX175" s="386">
        <f t="shared" si="164"/>
        <v>3.8400000000000004E-2</v>
      </c>
      <c r="AY175" s="386">
        <f t="shared" si="165"/>
        <v>0.61440000000000006</v>
      </c>
      <c r="AZ175" s="386">
        <f t="shared" si="166"/>
        <v>0.47314285714285709</v>
      </c>
      <c r="BA175" s="386">
        <f t="shared" si="180"/>
        <v>0.65280000000000005</v>
      </c>
      <c r="BB175" s="386" t="e">
        <f t="shared" si="181"/>
        <v>#VALUE!</v>
      </c>
      <c r="BC175">
        <f t="shared" si="167"/>
        <v>256</v>
      </c>
      <c r="BD175" s="604" t="e">
        <f t="shared" si="182"/>
        <v>#VALUE!</v>
      </c>
      <c r="BE175" s="614">
        <f t="shared" si="168"/>
        <v>306.47691887490652</v>
      </c>
      <c r="BF175" s="614">
        <f t="shared" si="169"/>
        <v>31.344482798555291</v>
      </c>
      <c r="BG175" s="9"/>
      <c r="BH175" s="4" t="e">
        <f t="shared" si="183"/>
        <v>#VALUE!</v>
      </c>
      <c r="BI175" s="386">
        <f t="shared" si="184"/>
        <v>11.736246180507941</v>
      </c>
      <c r="BJ175" s="386">
        <f t="shared" si="185"/>
        <v>6.9791250263092159</v>
      </c>
      <c r="BK175" s="386">
        <f t="shared" si="186"/>
        <v>1.564609405971106</v>
      </c>
      <c r="BL175" s="386">
        <f t="shared" si="187"/>
        <v>0.8795496562968671</v>
      </c>
    </row>
    <row r="176" spans="7:64" x14ac:dyDescent="0.2">
      <c r="G176">
        <v>167</v>
      </c>
      <c r="H176" s="610">
        <f t="shared" si="131"/>
        <v>41.564999999999998</v>
      </c>
      <c r="I176" s="4" t="str">
        <f t="shared" si="132"/>
        <v>BUCK</v>
      </c>
      <c r="J176">
        <f t="shared" si="170"/>
        <v>1</v>
      </c>
      <c r="K176">
        <f t="shared" si="133"/>
        <v>20</v>
      </c>
      <c r="L176" s="4">
        <f t="shared" si="134"/>
        <v>6.8433644759880785</v>
      </c>
      <c r="M176" s="4">
        <f t="shared" si="135"/>
        <v>20</v>
      </c>
      <c r="N176" s="386">
        <f t="shared" si="136"/>
        <v>0.31096216216216221</v>
      </c>
      <c r="O176" s="386">
        <f t="shared" si="172"/>
        <v>0</v>
      </c>
      <c r="P176" s="4">
        <f t="shared" si="137"/>
        <v>17.837535930810812</v>
      </c>
      <c r="Q176" s="386">
        <f t="shared" si="138"/>
        <v>20.652234923616554</v>
      </c>
      <c r="R176" s="386">
        <f t="shared" si="173"/>
        <v>1.059506078476897</v>
      </c>
      <c r="S176" s="386">
        <f t="shared" si="174"/>
        <v>10.729480999664425</v>
      </c>
      <c r="T176" s="386">
        <f t="shared" si="175"/>
        <v>11.788987078141322</v>
      </c>
      <c r="U176" s="4">
        <f t="shared" si="139"/>
        <v>5.1492530856666221</v>
      </c>
      <c r="V176" s="386">
        <f t="shared" si="176"/>
        <v>5.3029614680494462E-2</v>
      </c>
      <c r="W176" s="386">
        <f t="shared" si="177"/>
        <v>5.3029614680494462E-2</v>
      </c>
      <c r="X176" s="386">
        <f t="shared" si="140"/>
        <v>9.5596582301320296</v>
      </c>
      <c r="Y176" s="386">
        <f t="shared" si="178"/>
        <v>0.18277413095386211</v>
      </c>
      <c r="Z176" s="603">
        <f t="shared" si="179"/>
        <v>0.18277413095386211</v>
      </c>
      <c r="AA176" s="386">
        <f t="shared" si="141"/>
        <v>11.516508441567755</v>
      </c>
      <c r="AB176" s="386">
        <f t="shared" si="142"/>
        <v>0.25199693670093254</v>
      </c>
      <c r="AC176" s="386">
        <f t="shared" si="143"/>
        <v>2.8819201534581329</v>
      </c>
      <c r="AD176">
        <f t="shared" si="144"/>
        <v>0</v>
      </c>
      <c r="AE176" s="386">
        <f t="shared" si="145"/>
        <v>3.3002475444713775</v>
      </c>
      <c r="AF176" s="386">
        <f t="shared" si="146"/>
        <v>17.143069755896867</v>
      </c>
      <c r="AG176" s="386">
        <f t="shared" si="147"/>
        <v>0.55838119724553714</v>
      </c>
      <c r="AH176" s="386">
        <f t="shared" si="148"/>
        <v>0</v>
      </c>
      <c r="AI176" s="386">
        <f t="shared" si="149"/>
        <v>0.62857847785052823</v>
      </c>
      <c r="AJ176" s="386">
        <f t="shared" si="150"/>
        <v>0</v>
      </c>
      <c r="AK176" s="386">
        <f t="shared" si="151"/>
        <v>0</v>
      </c>
      <c r="AL176" s="386">
        <f t="shared" si="152"/>
        <v>0</v>
      </c>
      <c r="AM176">
        <f t="shared" si="153"/>
        <v>0</v>
      </c>
      <c r="AN176" s="386">
        <f t="shared" si="154"/>
        <v>0</v>
      </c>
      <c r="AO176" s="386">
        <f t="shared" si="155"/>
        <v>20.652234923616554</v>
      </c>
      <c r="AP176" s="386">
        <f t="shared" si="156"/>
        <v>0.21325740367012364</v>
      </c>
      <c r="AQ176" s="386">
        <f t="shared" si="157"/>
        <v>0</v>
      </c>
      <c r="AR176" s="386">
        <f t="shared" si="158"/>
        <v>0.22275837835277981</v>
      </c>
      <c r="AS176" s="386">
        <f t="shared" si="159"/>
        <v>0.21325740367012364</v>
      </c>
      <c r="AT176" s="386">
        <f t="shared" si="160"/>
        <v>0.27500000000000002</v>
      </c>
      <c r="AU176" s="386">
        <f t="shared" si="161"/>
        <v>2.8549812500000002</v>
      </c>
      <c r="AV176" s="386">
        <f t="shared" si="162"/>
        <v>0.88165452196663763</v>
      </c>
      <c r="AW176" s="386" t="e">
        <f t="shared" si="163"/>
        <v>#VALUE!</v>
      </c>
      <c r="AX176" s="386">
        <f t="shared" si="164"/>
        <v>3.8400000000000004E-2</v>
      </c>
      <c r="AY176" s="386">
        <f t="shared" si="165"/>
        <v>0.61440000000000006</v>
      </c>
      <c r="AZ176" s="386">
        <f t="shared" si="166"/>
        <v>0.47314285714285709</v>
      </c>
      <c r="BA176" s="386">
        <f t="shared" si="180"/>
        <v>0.65280000000000005</v>
      </c>
      <c r="BB176" s="386" t="e">
        <f t="shared" si="181"/>
        <v>#VALUE!</v>
      </c>
      <c r="BC176">
        <f t="shared" si="167"/>
        <v>256</v>
      </c>
      <c r="BD176" s="604" t="e">
        <f t="shared" si="182"/>
        <v>#VALUE!</v>
      </c>
      <c r="BE176" s="614">
        <f t="shared" si="168"/>
        <v>307.76143972356891</v>
      </c>
      <c r="BF176" s="614">
        <f t="shared" si="169"/>
        <v>31.428923892526413</v>
      </c>
      <c r="BG176" s="9"/>
      <c r="BH176" s="4" t="e">
        <f t="shared" si="183"/>
        <v>#VALUE!</v>
      </c>
      <c r="BI176" s="386">
        <f t="shared" si="184"/>
        <v>11.788987078141322</v>
      </c>
      <c r="BJ176" s="386">
        <f t="shared" si="185"/>
        <v>7.0065656506746858</v>
      </c>
      <c r="BK176" s="386">
        <f t="shared" si="186"/>
        <v>1.5707222903505285</v>
      </c>
      <c r="BL176" s="386">
        <f t="shared" si="187"/>
        <v>0.88165452196663763</v>
      </c>
    </row>
    <row r="177" spans="7:64" x14ac:dyDescent="0.2">
      <c r="G177">
        <v>168</v>
      </c>
      <c r="H177" s="610">
        <f t="shared" si="131"/>
        <v>41.76</v>
      </c>
      <c r="I177" s="4" t="str">
        <f t="shared" si="132"/>
        <v>BUCK</v>
      </c>
      <c r="J177">
        <f t="shared" si="170"/>
        <v>1</v>
      </c>
      <c r="K177">
        <f t="shared" si="133"/>
        <v>20</v>
      </c>
      <c r="L177" s="4">
        <f t="shared" si="134"/>
        <v>6.8114091102596861</v>
      </c>
      <c r="M177" s="4">
        <f t="shared" si="135"/>
        <v>20</v>
      </c>
      <c r="N177" s="386">
        <f t="shared" si="136"/>
        <v>0.30951219512195127</v>
      </c>
      <c r="O177" s="386">
        <f t="shared" si="172"/>
        <v>0</v>
      </c>
      <c r="P177" s="4">
        <f t="shared" si="137"/>
        <v>17.875072097560977</v>
      </c>
      <c r="Q177" s="386">
        <f t="shared" si="138"/>
        <v>20.654939285178664</v>
      </c>
      <c r="R177" s="386">
        <f t="shared" si="173"/>
        <v>1.0598071038329304</v>
      </c>
      <c r="S177" s="386">
        <f t="shared" si="174"/>
        <v>10.781573095488747</v>
      </c>
      <c r="T177" s="386">
        <f t="shared" si="175"/>
        <v>11.841380199321678</v>
      </c>
      <c r="U177" s="4">
        <f t="shared" si="139"/>
        <v>5.1600888436553998</v>
      </c>
      <c r="V177" s="386">
        <f t="shared" si="176"/>
        <v>5.3253033748833847E-2</v>
      </c>
      <c r="W177" s="386">
        <f t="shared" si="177"/>
        <v>5.3253033748833847E-2</v>
      </c>
      <c r="X177" s="386">
        <f t="shared" si="140"/>
        <v>9.5486244272999272</v>
      </c>
      <c r="Y177" s="386">
        <f t="shared" si="178"/>
        <v>0.18235245690725774</v>
      </c>
      <c r="Z177" s="603">
        <f t="shared" si="179"/>
        <v>0.18235245690725774</v>
      </c>
      <c r="AA177" s="386">
        <f t="shared" si="141"/>
        <v>11.491131786514023</v>
      </c>
      <c r="AB177" s="386">
        <f t="shared" si="142"/>
        <v>0.25088760849656261</v>
      </c>
      <c r="AC177" s="386">
        <f t="shared" si="143"/>
        <v>2.8954405294938437</v>
      </c>
      <c r="AD177">
        <f t="shared" si="144"/>
        <v>0</v>
      </c>
      <c r="AE177" s="386">
        <f t="shared" si="145"/>
        <v>3.3125433540164817</v>
      </c>
      <c r="AF177" s="386">
        <f t="shared" si="146"/>
        <v>17.16334487037372</v>
      </c>
      <c r="AG177" s="386">
        <f t="shared" si="147"/>
        <v>0.55970277356482945</v>
      </c>
      <c r="AH177" s="386">
        <f t="shared" si="148"/>
        <v>0</v>
      </c>
      <c r="AI177" s="386">
        <f t="shared" si="149"/>
        <v>0.63025372517030676</v>
      </c>
      <c r="AJ177" s="386">
        <f t="shared" si="150"/>
        <v>0</v>
      </c>
      <c r="AK177" s="386">
        <f t="shared" si="151"/>
        <v>0</v>
      </c>
      <c r="AL177" s="386">
        <f t="shared" si="152"/>
        <v>0</v>
      </c>
      <c r="AM177">
        <f t="shared" si="153"/>
        <v>0</v>
      </c>
      <c r="AN177" s="386">
        <f t="shared" si="154"/>
        <v>0</v>
      </c>
      <c r="AO177" s="386">
        <f t="shared" si="155"/>
        <v>20.654939285178664</v>
      </c>
      <c r="AP177" s="386">
        <f t="shared" si="156"/>
        <v>0.21331325843720844</v>
      </c>
      <c r="AQ177" s="386">
        <f t="shared" si="157"/>
        <v>0</v>
      </c>
      <c r="AR177" s="386">
        <f t="shared" si="158"/>
        <v>0.22281932154135953</v>
      </c>
      <c r="AS177" s="386">
        <f t="shared" si="159"/>
        <v>0.21331325843720844</v>
      </c>
      <c r="AT177" s="386">
        <f t="shared" si="160"/>
        <v>0.27500000000000002</v>
      </c>
      <c r="AU177" s="386">
        <f t="shared" si="161"/>
        <v>2.8683875000000003</v>
      </c>
      <c r="AV177" s="386">
        <f t="shared" si="162"/>
        <v>0.8837412214181517</v>
      </c>
      <c r="AW177" s="386" t="e">
        <f t="shared" si="163"/>
        <v>#VALUE!</v>
      </c>
      <c r="AX177" s="386">
        <f t="shared" si="164"/>
        <v>3.8400000000000004E-2</v>
      </c>
      <c r="AY177" s="386">
        <f t="shared" si="165"/>
        <v>0.61440000000000006</v>
      </c>
      <c r="AZ177" s="386">
        <f t="shared" si="166"/>
        <v>0.47314285714285709</v>
      </c>
      <c r="BA177" s="386">
        <f t="shared" si="180"/>
        <v>0.65280000000000005</v>
      </c>
      <c r="BB177" s="386" t="e">
        <f t="shared" si="181"/>
        <v>#VALUE!</v>
      </c>
      <c r="BC177">
        <f t="shared" si="167"/>
        <v>256</v>
      </c>
      <c r="BD177" s="604" t="e">
        <f t="shared" si="182"/>
        <v>#VALUE!</v>
      </c>
      <c r="BE177" s="614">
        <f t="shared" si="168"/>
        <v>309.04654270082415</v>
      </c>
      <c r="BF177" s="614">
        <f t="shared" si="169"/>
        <v>31.512686258515338</v>
      </c>
      <c r="BG177" s="9"/>
      <c r="BH177" s="4" t="e">
        <f t="shared" si="183"/>
        <v>#VALUE!</v>
      </c>
      <c r="BI177" s="386">
        <f t="shared" si="184"/>
        <v>11.841380199321678</v>
      </c>
      <c r="BJ177" s="386">
        <f t="shared" si="185"/>
        <v>7.0340039007281483</v>
      </c>
      <c r="BK177" s="386">
        <f t="shared" si="186"/>
        <v>1.576821600170307</v>
      </c>
      <c r="BL177" s="386">
        <f t="shared" si="187"/>
        <v>0.8837412214181517</v>
      </c>
    </row>
    <row r="178" spans="7:64" x14ac:dyDescent="0.2">
      <c r="G178">
        <v>169</v>
      </c>
      <c r="H178" s="610">
        <f t="shared" si="131"/>
        <v>41.954999999999998</v>
      </c>
      <c r="I178" s="4" t="str">
        <f t="shared" si="132"/>
        <v>BUCK</v>
      </c>
      <c r="J178">
        <f t="shared" si="170"/>
        <v>1</v>
      </c>
      <c r="K178">
        <f t="shared" si="133"/>
        <v>20</v>
      </c>
      <c r="L178" s="4">
        <f t="shared" si="134"/>
        <v>6.7797507911916197</v>
      </c>
      <c r="M178" s="4">
        <f t="shared" si="135"/>
        <v>20</v>
      </c>
      <c r="N178" s="386">
        <f t="shared" si="136"/>
        <v>0.30807568725455198</v>
      </c>
      <c r="O178" s="386">
        <f t="shared" si="172"/>
        <v>0</v>
      </c>
      <c r="P178" s="4">
        <f t="shared" si="137"/>
        <v>17.912259838629062</v>
      </c>
      <c r="Q178" s="386">
        <f t="shared" si="138"/>
        <v>20.657623799553527</v>
      </c>
      <c r="R178" s="386">
        <f t="shared" si="173"/>
        <v>1.060105972182436</v>
      </c>
      <c r="S178" s="386">
        <f t="shared" si="174"/>
        <v>10.83332250759973</v>
      </c>
      <c r="T178" s="386">
        <f t="shared" si="175"/>
        <v>11.893428479782166</v>
      </c>
      <c r="U178" s="4">
        <f t="shared" si="139"/>
        <v>5.170824019813506</v>
      </c>
      <c r="V178" s="386">
        <f t="shared" si="176"/>
        <v>5.3474842087760613E-2</v>
      </c>
      <c r="W178" s="386">
        <f t="shared" si="177"/>
        <v>5.3474842087760613E-2</v>
      </c>
      <c r="X178" s="386">
        <f t="shared" si="140"/>
        <v>9.5375839279768169</v>
      </c>
      <c r="Y178" s="386">
        <f t="shared" si="178"/>
        <v>0.18193101436640335</v>
      </c>
      <c r="Z178" s="603">
        <f t="shared" si="179"/>
        <v>0.18193101436640335</v>
      </c>
      <c r="AA178" s="386">
        <f t="shared" si="141"/>
        <v>11.465924483674597</v>
      </c>
      <c r="AB178" s="386">
        <f t="shared" si="142"/>
        <v>0.24978810610412427</v>
      </c>
      <c r="AC178" s="386">
        <f t="shared" si="143"/>
        <v>2.9089609055295549</v>
      </c>
      <c r="AD178">
        <f t="shared" si="144"/>
        <v>0</v>
      </c>
      <c r="AE178" s="386">
        <f t="shared" si="145"/>
        <v>3.3248506405500975</v>
      </c>
      <c r="AF178" s="386">
        <f t="shared" si="146"/>
        <v>17.18342214980915</v>
      </c>
      <c r="AG178" s="386">
        <f t="shared" si="147"/>
        <v>0.5610129938792483</v>
      </c>
      <c r="AH178" s="386">
        <f t="shared" si="148"/>
        <v>0</v>
      </c>
      <c r="AI178" s="386">
        <f t="shared" si="149"/>
        <v>0.63191556216056577</v>
      </c>
      <c r="AJ178" s="386">
        <f t="shared" si="150"/>
        <v>0</v>
      </c>
      <c r="AK178" s="386">
        <f t="shared" si="151"/>
        <v>0</v>
      </c>
      <c r="AL178" s="386">
        <f t="shared" si="152"/>
        <v>0</v>
      </c>
      <c r="AM178">
        <f t="shared" si="153"/>
        <v>0</v>
      </c>
      <c r="AN178" s="386">
        <f t="shared" si="154"/>
        <v>0</v>
      </c>
      <c r="AO178" s="386">
        <f t="shared" si="155"/>
        <v>20.657623799553527</v>
      </c>
      <c r="AP178" s="386">
        <f t="shared" si="156"/>
        <v>0.21336871052194015</v>
      </c>
      <c r="AQ178" s="386">
        <f t="shared" si="157"/>
        <v>0</v>
      </c>
      <c r="AR178" s="386">
        <f t="shared" si="158"/>
        <v>0.2228798267697846</v>
      </c>
      <c r="AS178" s="386">
        <f t="shared" si="159"/>
        <v>0.21336871052194015</v>
      </c>
      <c r="AT178" s="386">
        <f t="shared" si="160"/>
        <v>0.27500000000000002</v>
      </c>
      <c r="AU178" s="386">
        <f t="shared" si="161"/>
        <v>2.8817937500000004</v>
      </c>
      <c r="AV178" s="386">
        <f t="shared" si="162"/>
        <v>0.88580999033565522</v>
      </c>
      <c r="AW178" s="386" t="e">
        <f t="shared" si="163"/>
        <v>#VALUE!</v>
      </c>
      <c r="AX178" s="386">
        <f t="shared" si="164"/>
        <v>3.8400000000000004E-2</v>
      </c>
      <c r="AY178" s="386">
        <f t="shared" si="165"/>
        <v>0.61440000000000006</v>
      </c>
      <c r="AZ178" s="386">
        <f t="shared" si="166"/>
        <v>0.47314285714285709</v>
      </c>
      <c r="BA178" s="386">
        <f t="shared" si="180"/>
        <v>0.65280000000000005</v>
      </c>
      <c r="BB178" s="386" t="e">
        <f t="shared" si="181"/>
        <v>#VALUE!</v>
      </c>
      <c r="BC178">
        <f t="shared" si="167"/>
        <v>256</v>
      </c>
      <c r="BD178" s="604" t="e">
        <f t="shared" si="182"/>
        <v>#VALUE!</v>
      </c>
      <c r="BE178" s="614">
        <f t="shared" si="168"/>
        <v>310.33221952750489</v>
      </c>
      <c r="BF178" s="614">
        <f t="shared" si="169"/>
        <v>31.595778108028288</v>
      </c>
      <c r="BG178" s="9"/>
      <c r="BH178" s="4" t="e">
        <f t="shared" si="183"/>
        <v>#VALUE!</v>
      </c>
      <c r="BI178" s="386">
        <f t="shared" si="184"/>
        <v>11.893428479782166</v>
      </c>
      <c r="BJ178" s="386">
        <f t="shared" si="185"/>
        <v>7.0614397794804482</v>
      </c>
      <c r="BK178" s="386">
        <f t="shared" si="186"/>
        <v>1.5829074996605659</v>
      </c>
      <c r="BL178" s="386">
        <f t="shared" si="187"/>
        <v>0.88580999033565522</v>
      </c>
    </row>
    <row r="179" spans="7:64" x14ac:dyDescent="0.2">
      <c r="G179">
        <v>170</v>
      </c>
      <c r="H179" s="610">
        <f t="shared" si="131"/>
        <v>42.15</v>
      </c>
      <c r="I179" s="4" t="str">
        <f t="shared" si="132"/>
        <v>BUCK</v>
      </c>
      <c r="J179">
        <f t="shared" si="170"/>
        <v>1</v>
      </c>
      <c r="K179">
        <f t="shared" si="133"/>
        <v>20</v>
      </c>
      <c r="L179" s="4">
        <f t="shared" si="134"/>
        <v>6.7483853960722282</v>
      </c>
      <c r="M179" s="4">
        <f t="shared" si="135"/>
        <v>20</v>
      </c>
      <c r="N179" s="386">
        <f t="shared" si="136"/>
        <v>0.30665245202558639</v>
      </c>
      <c r="O179" s="386">
        <f t="shared" si="172"/>
        <v>0</v>
      </c>
      <c r="P179" s="4">
        <f t="shared" si="137"/>
        <v>17.949103982942432</v>
      </c>
      <c r="Q179" s="386">
        <f t="shared" si="138"/>
        <v>20.660288667292946</v>
      </c>
      <c r="R179" s="386">
        <f t="shared" si="173"/>
        <v>1.0604027047110678</v>
      </c>
      <c r="S179" s="386">
        <f t="shared" si="174"/>
        <v>10.884732129587979</v>
      </c>
      <c r="T179" s="386">
        <f t="shared" si="175"/>
        <v>11.945134834299047</v>
      </c>
      <c r="U179" s="4">
        <f t="shared" si="139"/>
        <v>5.1814600081321993</v>
      </c>
      <c r="V179" s="386">
        <f t="shared" si="176"/>
        <v>5.369505563174666E-2</v>
      </c>
      <c r="W179" s="386">
        <f t="shared" si="177"/>
        <v>5.369505563174666E-2</v>
      </c>
      <c r="X179" s="386">
        <f t="shared" si="140"/>
        <v>9.5265378671402008</v>
      </c>
      <c r="Y179" s="386">
        <f t="shared" si="178"/>
        <v>0.18150984746811233</v>
      </c>
      <c r="Z179" s="603">
        <f t="shared" si="179"/>
        <v>0.18150984746811233</v>
      </c>
      <c r="AA179" s="386">
        <f t="shared" si="141"/>
        <v>11.440884626889533</v>
      </c>
      <c r="AB179" s="386">
        <f t="shared" si="142"/>
        <v>0.24869829798701476</v>
      </c>
      <c r="AC179" s="386">
        <f t="shared" si="143"/>
        <v>2.9224812815652665</v>
      </c>
      <c r="AD179">
        <f t="shared" si="144"/>
        <v>0</v>
      </c>
      <c r="AE179" s="386">
        <f t="shared" si="145"/>
        <v>3.3371692416509218</v>
      </c>
      <c r="AF179" s="386">
        <f t="shared" si="146"/>
        <v>17.203304530527735</v>
      </c>
      <c r="AG179" s="386">
        <f t="shared" si="147"/>
        <v>0.56231200486314459</v>
      </c>
      <c r="AH179" s="386">
        <f t="shared" si="148"/>
        <v>0</v>
      </c>
      <c r="AI179" s="386">
        <f t="shared" si="149"/>
        <v>0.63356415038570468</v>
      </c>
      <c r="AJ179" s="386">
        <f t="shared" si="150"/>
        <v>0</v>
      </c>
      <c r="AK179" s="386">
        <f t="shared" si="151"/>
        <v>0</v>
      </c>
      <c r="AL179" s="386">
        <f t="shared" si="152"/>
        <v>0</v>
      </c>
      <c r="AM179">
        <f t="shared" si="153"/>
        <v>0</v>
      </c>
      <c r="AN179" s="386">
        <f t="shared" si="154"/>
        <v>0</v>
      </c>
      <c r="AO179" s="386">
        <f t="shared" si="155"/>
        <v>20.660288667292946</v>
      </c>
      <c r="AP179" s="386">
        <f t="shared" si="156"/>
        <v>0.21342376390793666</v>
      </c>
      <c r="AQ179" s="386">
        <f t="shared" si="157"/>
        <v>0</v>
      </c>
      <c r="AR179" s="386">
        <f t="shared" si="158"/>
        <v>0.22293989835434405</v>
      </c>
      <c r="AS179" s="386">
        <f t="shared" si="159"/>
        <v>0.21342376390793666</v>
      </c>
      <c r="AT179" s="386">
        <f t="shared" si="160"/>
        <v>0.27500000000000002</v>
      </c>
      <c r="AU179" s="386">
        <f t="shared" si="161"/>
        <v>2.8952000000000004</v>
      </c>
      <c r="AV179" s="386">
        <f t="shared" si="162"/>
        <v>0.88786106031022838</v>
      </c>
      <c r="AW179" s="386" t="e">
        <f t="shared" si="163"/>
        <v>#VALUE!</v>
      </c>
      <c r="AX179" s="386">
        <f t="shared" si="164"/>
        <v>3.8400000000000004E-2</v>
      </c>
      <c r="AY179" s="386">
        <f t="shared" si="165"/>
        <v>0.61440000000000006</v>
      </c>
      <c r="AZ179" s="386">
        <f t="shared" si="166"/>
        <v>0.47314285714285709</v>
      </c>
      <c r="BA179" s="386">
        <f t="shared" si="180"/>
        <v>0.65280000000000005</v>
      </c>
      <c r="BB179" s="386" t="e">
        <f t="shared" si="181"/>
        <v>#VALUE!</v>
      </c>
      <c r="BC179">
        <f t="shared" si="167"/>
        <v>256</v>
      </c>
      <c r="BD179" s="604" t="e">
        <f t="shared" si="182"/>
        <v>#VALUE!</v>
      </c>
      <c r="BE179" s="614">
        <f t="shared" si="168"/>
        <v>311.6184620825461</v>
      </c>
      <c r="BF179" s="614">
        <f t="shared" si="169"/>
        <v>31.678207519285234</v>
      </c>
      <c r="BG179" s="9"/>
      <c r="BH179" s="4" t="e">
        <f t="shared" si="183"/>
        <v>#VALUE!</v>
      </c>
      <c r="BI179" s="386">
        <f t="shared" si="184"/>
        <v>11.945134834299047</v>
      </c>
      <c r="BJ179" s="386">
        <f t="shared" si="185"/>
        <v>7.0888732903909712</v>
      </c>
      <c r="BK179" s="386">
        <f t="shared" si="186"/>
        <v>1.5889801503857048</v>
      </c>
      <c r="BL179" s="386">
        <f t="shared" si="187"/>
        <v>0.88786106031022838</v>
      </c>
    </row>
    <row r="180" spans="7:64" x14ac:dyDescent="0.2">
      <c r="G180">
        <v>171</v>
      </c>
      <c r="H180" s="610">
        <f t="shared" si="131"/>
        <v>42.344999999999999</v>
      </c>
      <c r="I180" s="4" t="str">
        <f t="shared" si="132"/>
        <v>BUCK</v>
      </c>
      <c r="J180">
        <f t="shared" si="170"/>
        <v>1</v>
      </c>
      <c r="K180">
        <f t="shared" si="133"/>
        <v>20</v>
      </c>
      <c r="L180" s="4">
        <f t="shared" si="134"/>
        <v>6.7173088781306989</v>
      </c>
      <c r="M180" s="4">
        <f t="shared" si="135"/>
        <v>20</v>
      </c>
      <c r="N180" s="386">
        <f t="shared" si="136"/>
        <v>0.30524230633180049</v>
      </c>
      <c r="O180" s="386">
        <f t="shared" si="172"/>
        <v>0</v>
      </c>
      <c r="P180" s="4">
        <f t="shared" si="137"/>
        <v>17.985609270604883</v>
      </c>
      <c r="Q180" s="386">
        <f t="shared" si="138"/>
        <v>20.662934086657984</v>
      </c>
      <c r="R180" s="386">
        <f t="shared" si="173"/>
        <v>1.0606973223729255</v>
      </c>
      <c r="S180" s="386">
        <f t="shared" si="174"/>
        <v>10.935804834082338</v>
      </c>
      <c r="T180" s="386">
        <f t="shared" si="175"/>
        <v>11.996502156455264</v>
      </c>
      <c r="U180" s="4">
        <f t="shared" si="139"/>
        <v>5.1919981769615795</v>
      </c>
      <c r="V180" s="386">
        <f t="shared" si="176"/>
        <v>5.3913690139144731E-2</v>
      </c>
      <c r="W180" s="386">
        <f t="shared" si="177"/>
        <v>5.3913690139144731E-2</v>
      </c>
      <c r="X180" s="386">
        <f t="shared" si="140"/>
        <v>9.5154873422907773</v>
      </c>
      <c r="Y180" s="386">
        <f t="shared" si="178"/>
        <v>0.18108899872259202</v>
      </c>
      <c r="Z180" s="603">
        <f t="shared" si="179"/>
        <v>0.18108899872259202</v>
      </c>
      <c r="AA180" s="386">
        <f t="shared" si="141"/>
        <v>11.416010340446679</v>
      </c>
      <c r="AB180" s="386">
        <f t="shared" si="142"/>
        <v>0.24761805497705247</v>
      </c>
      <c r="AC180" s="386">
        <f t="shared" si="143"/>
        <v>2.9360016576009778</v>
      </c>
      <c r="AD180">
        <f t="shared" si="144"/>
        <v>0</v>
      </c>
      <c r="AE180" s="386">
        <f t="shared" si="145"/>
        <v>3.3494989979836918</v>
      </c>
      <c r="AF180" s="386">
        <f t="shared" si="146"/>
        <v>17.22299488986706</v>
      </c>
      <c r="AG180" s="386">
        <f t="shared" si="147"/>
        <v>0.56359995065513502</v>
      </c>
      <c r="AH180" s="386">
        <f t="shared" si="148"/>
        <v>0</v>
      </c>
      <c r="AI180" s="386">
        <f t="shared" si="149"/>
        <v>0.63519964879898883</v>
      </c>
      <c r="AJ180" s="386">
        <f t="shared" si="150"/>
        <v>0</v>
      </c>
      <c r="AK180" s="386">
        <f t="shared" si="151"/>
        <v>0</v>
      </c>
      <c r="AL180" s="386">
        <f t="shared" si="152"/>
        <v>0</v>
      </c>
      <c r="AM180">
        <f t="shared" si="153"/>
        <v>0</v>
      </c>
      <c r="AN180" s="386">
        <f t="shared" si="154"/>
        <v>0</v>
      </c>
      <c r="AO180" s="386">
        <f t="shared" si="155"/>
        <v>20.662934086657984</v>
      </c>
      <c r="AP180" s="386">
        <f t="shared" si="156"/>
        <v>0.21347842253478622</v>
      </c>
      <c r="AQ180" s="386">
        <f t="shared" si="157"/>
        <v>0</v>
      </c>
      <c r="AR180" s="386">
        <f t="shared" si="158"/>
        <v>0.22299954056389887</v>
      </c>
      <c r="AS180" s="386">
        <f t="shared" si="159"/>
        <v>0.21347842253478622</v>
      </c>
      <c r="AT180" s="386">
        <f t="shared" si="160"/>
        <v>0.27500000000000002</v>
      </c>
      <c r="AU180" s="386">
        <f t="shared" si="161"/>
        <v>2.9086062500000005</v>
      </c>
      <c r="AV180" s="386">
        <f t="shared" si="162"/>
        <v>0.88989465892916053</v>
      </c>
      <c r="AW180" s="386" t="e">
        <f t="shared" si="163"/>
        <v>#VALUE!</v>
      </c>
      <c r="AX180" s="386">
        <f t="shared" si="164"/>
        <v>3.8400000000000004E-2</v>
      </c>
      <c r="AY180" s="386">
        <f t="shared" si="165"/>
        <v>0.61440000000000006</v>
      </c>
      <c r="AZ180" s="386">
        <f t="shared" si="166"/>
        <v>0.47314285714285709</v>
      </c>
      <c r="BA180" s="386">
        <f t="shared" si="180"/>
        <v>0.65280000000000005</v>
      </c>
      <c r="BB180" s="386" t="e">
        <f t="shared" si="181"/>
        <v>#VALUE!</v>
      </c>
      <c r="BC180">
        <f t="shared" si="167"/>
        <v>256</v>
      </c>
      <c r="BD180" s="604" t="e">
        <f t="shared" si="182"/>
        <v>#VALUE!</v>
      </c>
      <c r="BE180" s="614">
        <f t="shared" si="168"/>
        <v>312.90526239918461</v>
      </c>
      <c r="BF180" s="614">
        <f t="shared" si="169"/>
        <v>31.759982439949439</v>
      </c>
      <c r="BG180" s="9"/>
      <c r="BH180" s="4" t="e">
        <f t="shared" si="183"/>
        <v>#VALUE!</v>
      </c>
      <c r="BI180" s="386">
        <f t="shared" si="184"/>
        <v>11.996502156455264</v>
      </c>
      <c r="BJ180" s="386">
        <f t="shared" si="185"/>
        <v>7.1163044373465798</v>
      </c>
      <c r="BK180" s="386">
        <f t="shared" si="186"/>
        <v>1.5950397112989889</v>
      </c>
      <c r="BL180" s="386">
        <f t="shared" si="187"/>
        <v>0.88989465892916053</v>
      </c>
    </row>
    <row r="181" spans="7:64" x14ac:dyDescent="0.2">
      <c r="G181">
        <v>172</v>
      </c>
      <c r="H181" s="610">
        <f t="shared" si="131"/>
        <v>42.54</v>
      </c>
      <c r="I181" s="4" t="str">
        <f t="shared" si="132"/>
        <v>BUCK</v>
      </c>
      <c r="J181">
        <f t="shared" si="170"/>
        <v>1</v>
      </c>
      <c r="K181">
        <f t="shared" si="133"/>
        <v>20</v>
      </c>
      <c r="L181" s="4">
        <f t="shared" si="134"/>
        <v>6.6865172647965307</v>
      </c>
      <c r="M181" s="4">
        <f t="shared" si="135"/>
        <v>20</v>
      </c>
      <c r="N181" s="386">
        <f t="shared" si="136"/>
        <v>0.30384507042253522</v>
      </c>
      <c r="O181" s="386">
        <f t="shared" si="172"/>
        <v>0</v>
      </c>
      <c r="P181" s="4">
        <f t="shared" si="137"/>
        <v>18.021780354929579</v>
      </c>
      <c r="Q181" s="386">
        <f t="shared" si="138"/>
        <v>20.665560253638834</v>
      </c>
      <c r="R181" s="386">
        <f t="shared" si="173"/>
        <v>1.0609898458922791</v>
      </c>
      <c r="S181" s="386">
        <f t="shared" si="174"/>
        <v>10.986543472536741</v>
      </c>
      <c r="T181" s="386">
        <f t="shared" si="175"/>
        <v>12.047533318429021</v>
      </c>
      <c r="U181" s="4">
        <f t="shared" si="139"/>
        <v>5.202439869597451</v>
      </c>
      <c r="V181" s="386">
        <f t="shared" si="176"/>
        <v>5.4130761193554283E-2</v>
      </c>
      <c r="W181" s="386">
        <f t="shared" si="177"/>
        <v>5.4130761193554283E-2</v>
      </c>
      <c r="X181" s="386">
        <f t="shared" si="140"/>
        <v>9.5044334146833442</v>
      </c>
      <c r="Y181" s="386">
        <f t="shared" si="178"/>
        <v>0.18066850906829859</v>
      </c>
      <c r="Z181" s="603">
        <f t="shared" si="179"/>
        <v>0.18066850906829859</v>
      </c>
      <c r="AA181" s="386">
        <f t="shared" si="141"/>
        <v>11.391299778447346</v>
      </c>
      <c r="AB181" s="386">
        <f t="shared" si="142"/>
        <v>0.24654725022066365</v>
      </c>
      <c r="AC181" s="386">
        <f t="shared" si="143"/>
        <v>2.949522033636689</v>
      </c>
      <c r="AD181">
        <f t="shared" si="144"/>
        <v>0</v>
      </c>
      <c r="AE181" s="386">
        <f t="shared" si="145"/>
        <v>3.3618397532254001</v>
      </c>
      <c r="AF181" s="386">
        <f t="shared" si="146"/>
        <v>17.242496047681801</v>
      </c>
      <c r="AG181" s="386">
        <f t="shared" si="147"/>
        <v>0.56487697291321282</v>
      </c>
      <c r="AH181" s="386">
        <f t="shared" si="148"/>
        <v>0</v>
      </c>
      <c r="AI181" s="386">
        <f t="shared" si="149"/>
        <v>0.63682221379578341</v>
      </c>
      <c r="AJ181" s="386">
        <f t="shared" si="150"/>
        <v>0</v>
      </c>
      <c r="AK181" s="386">
        <f t="shared" si="151"/>
        <v>0</v>
      </c>
      <c r="AL181" s="386">
        <f t="shared" si="152"/>
        <v>0</v>
      </c>
      <c r="AM181">
        <f t="shared" si="153"/>
        <v>0</v>
      </c>
      <c r="AN181" s="386">
        <f t="shared" si="154"/>
        <v>0</v>
      </c>
      <c r="AO181" s="386">
        <f t="shared" si="155"/>
        <v>20.665560253638834</v>
      </c>
      <c r="AP181" s="386">
        <f t="shared" si="156"/>
        <v>0.21353269029838856</v>
      </c>
      <c r="AQ181" s="386">
        <f t="shared" si="157"/>
        <v>0</v>
      </c>
      <c r="AR181" s="386">
        <f t="shared" si="158"/>
        <v>0.22305875762024185</v>
      </c>
      <c r="AS181" s="386">
        <f t="shared" si="159"/>
        <v>0.21353269029838856</v>
      </c>
      <c r="AT181" s="386">
        <f t="shared" si="160"/>
        <v>0.27500000000000002</v>
      </c>
      <c r="AU181" s="386">
        <f t="shared" si="161"/>
        <v>2.9220125000000006</v>
      </c>
      <c r="AV181" s="386">
        <f t="shared" si="162"/>
        <v>0.89191100986296756</v>
      </c>
      <c r="AW181" s="386" t="e">
        <f t="shared" si="163"/>
        <v>#VALUE!</v>
      </c>
      <c r="AX181" s="386">
        <f t="shared" si="164"/>
        <v>3.8400000000000004E-2</v>
      </c>
      <c r="AY181" s="386">
        <f t="shared" si="165"/>
        <v>0.61440000000000006</v>
      </c>
      <c r="AZ181" s="386">
        <f t="shared" si="166"/>
        <v>0.47314285714285709</v>
      </c>
      <c r="BA181" s="386">
        <f t="shared" si="180"/>
        <v>0.65280000000000005</v>
      </c>
      <c r="BB181" s="386" t="e">
        <f t="shared" si="181"/>
        <v>#VALUE!</v>
      </c>
      <c r="BC181">
        <f t="shared" si="167"/>
        <v>256</v>
      </c>
      <c r="BD181" s="604" t="e">
        <f t="shared" si="182"/>
        <v>#VALUE!</v>
      </c>
      <c r="BE181" s="614">
        <f t="shared" si="168"/>
        <v>314.19261266127006</v>
      </c>
      <c r="BF181" s="614">
        <f t="shared" si="169"/>
        <v>31.841110689789172</v>
      </c>
      <c r="BG181" s="9"/>
      <c r="BH181" s="4" t="e">
        <f t="shared" si="183"/>
        <v>#VALUE!</v>
      </c>
      <c r="BI181" s="386">
        <f t="shared" si="184"/>
        <v>12.047533318429021</v>
      </c>
      <c r="BJ181" s="386">
        <f t="shared" si="185"/>
        <v>7.1437332246414265</v>
      </c>
      <c r="BK181" s="386">
        <f t="shared" si="186"/>
        <v>1.6010863387957837</v>
      </c>
      <c r="BL181" s="386">
        <f t="shared" si="187"/>
        <v>0.89191100986296756</v>
      </c>
    </row>
    <row r="182" spans="7:64" x14ac:dyDescent="0.2">
      <c r="G182">
        <v>173</v>
      </c>
      <c r="H182" s="610">
        <f t="shared" si="131"/>
        <v>42.734999999999999</v>
      </c>
      <c r="I182" s="4" t="str">
        <f t="shared" si="132"/>
        <v>BUCK</v>
      </c>
      <c r="J182">
        <f t="shared" si="170"/>
        <v>1</v>
      </c>
      <c r="K182">
        <f t="shared" si="133"/>
        <v>20</v>
      </c>
      <c r="L182" s="4">
        <f t="shared" si="134"/>
        <v>6.6560066560066558</v>
      </c>
      <c r="M182" s="4">
        <f t="shared" si="135"/>
        <v>20</v>
      </c>
      <c r="N182" s="386">
        <f t="shared" si="136"/>
        <v>0.30246056782334385</v>
      </c>
      <c r="O182" s="386">
        <f t="shared" si="172"/>
        <v>0</v>
      </c>
      <c r="P182" s="4">
        <f t="shared" si="137"/>
        <v>18.057621804416407</v>
      </c>
      <c r="Q182" s="386">
        <f t="shared" si="138"/>
        <v>20.668167361975062</v>
      </c>
      <c r="R182" s="386">
        <f t="shared" si="173"/>
        <v>1.0612802957653396</v>
      </c>
      <c r="S182" s="386">
        <f t="shared" si="174"/>
        <v>11.03695087504039</v>
      </c>
      <c r="T182" s="386">
        <f t="shared" si="175"/>
        <v>12.098231170805729</v>
      </c>
      <c r="U182" s="4">
        <f t="shared" si="139"/>
        <v>5.2127864048521344</v>
      </c>
      <c r="V182" s="386">
        <f t="shared" si="176"/>
        <v>5.434628420522248E-2</v>
      </c>
      <c r="W182" s="386">
        <f t="shared" si="177"/>
        <v>5.434628420522248E-2</v>
      </c>
      <c r="X182" s="386">
        <f t="shared" si="140"/>
        <v>9.4933771105131974</v>
      </c>
      <c r="Y182" s="386">
        <f t="shared" si="178"/>
        <v>0.18024841792483182</v>
      </c>
      <c r="Z182" s="603">
        <f t="shared" si="179"/>
        <v>0.18024841792483182</v>
      </c>
      <c r="AA182" s="386">
        <f t="shared" si="141"/>
        <v>11.366751124188378</v>
      </c>
      <c r="AB182" s="386">
        <f t="shared" si="142"/>
        <v>0.24548575912655171</v>
      </c>
      <c r="AC182" s="386">
        <f t="shared" si="143"/>
        <v>2.9630424096724002</v>
      </c>
      <c r="AD182">
        <f t="shared" si="144"/>
        <v>0</v>
      </c>
      <c r="AE182" s="386">
        <f t="shared" si="145"/>
        <v>3.3741913539936266</v>
      </c>
      <c r="AF182" s="386">
        <f t="shared" si="146"/>
        <v>17.261810767801084</v>
      </c>
      <c r="AG182" s="386">
        <f t="shared" si="147"/>
        <v>0.56614321086840957</v>
      </c>
      <c r="AH182" s="386">
        <f t="shared" si="148"/>
        <v>0</v>
      </c>
      <c r="AI182" s="386">
        <f t="shared" si="149"/>
        <v>0.63843199926546756</v>
      </c>
      <c r="AJ182" s="386">
        <f t="shared" si="150"/>
        <v>0</v>
      </c>
      <c r="AK182" s="386">
        <f t="shared" si="151"/>
        <v>0</v>
      </c>
      <c r="AL182" s="386">
        <f t="shared" si="152"/>
        <v>0</v>
      </c>
      <c r="AM182">
        <f t="shared" si="153"/>
        <v>0</v>
      </c>
      <c r="AN182" s="386">
        <f t="shared" si="154"/>
        <v>0</v>
      </c>
      <c r="AO182" s="386">
        <f t="shared" si="155"/>
        <v>20.668167361975062</v>
      </c>
      <c r="AP182" s="386">
        <f t="shared" si="156"/>
        <v>0.21358657105130557</v>
      </c>
      <c r="AQ182" s="386">
        <f t="shared" si="157"/>
        <v>0</v>
      </c>
      <c r="AR182" s="386">
        <f t="shared" si="158"/>
        <v>0.22311755369846784</v>
      </c>
      <c r="AS182" s="386">
        <f t="shared" si="159"/>
        <v>0.21358657105130557</v>
      </c>
      <c r="AT182" s="386">
        <f t="shared" si="160"/>
        <v>0.27500000000000002</v>
      </c>
      <c r="AU182" s="386">
        <f t="shared" si="161"/>
        <v>2.9354187500000006</v>
      </c>
      <c r="AV182" s="386">
        <f t="shared" si="162"/>
        <v>0.89391033295012035</v>
      </c>
      <c r="AW182" s="386" t="e">
        <f t="shared" si="163"/>
        <v>#VALUE!</v>
      </c>
      <c r="AX182" s="386">
        <f t="shared" si="164"/>
        <v>3.8400000000000004E-2</v>
      </c>
      <c r="AY182" s="386">
        <f t="shared" si="165"/>
        <v>0.61440000000000006</v>
      </c>
      <c r="AZ182" s="386">
        <f t="shared" si="166"/>
        <v>0.47314285714285709</v>
      </c>
      <c r="BA182" s="386">
        <f t="shared" si="180"/>
        <v>0.65280000000000005</v>
      </c>
      <c r="BB182" s="386" t="e">
        <f t="shared" si="181"/>
        <v>#VALUE!</v>
      </c>
      <c r="BC182">
        <f t="shared" si="167"/>
        <v>256</v>
      </c>
      <c r="BD182" s="604" t="e">
        <f t="shared" si="182"/>
        <v>#VALUE!</v>
      </c>
      <c r="BE182" s="614">
        <f t="shared" si="168"/>
        <v>315.48050519968137</v>
      </c>
      <c r="BF182" s="614">
        <f t="shared" si="169"/>
        <v>31.92159996327338</v>
      </c>
      <c r="BG182" s="9"/>
      <c r="BH182" s="4" t="e">
        <f t="shared" si="183"/>
        <v>#VALUE!</v>
      </c>
      <c r="BI182" s="386">
        <f t="shared" si="184"/>
        <v>12.098231170805729</v>
      </c>
      <c r="BJ182" s="386">
        <f t="shared" si="185"/>
        <v>7.1711596569575633</v>
      </c>
      <c r="BK182" s="386">
        <f t="shared" si="186"/>
        <v>1.6071201867654679</v>
      </c>
      <c r="BL182" s="386">
        <f t="shared" si="187"/>
        <v>0.89391033295012035</v>
      </c>
    </row>
    <row r="183" spans="7:64" x14ac:dyDescent="0.2">
      <c r="G183">
        <v>174</v>
      </c>
      <c r="H183" s="610">
        <f t="shared" si="131"/>
        <v>42.93</v>
      </c>
      <c r="I183" s="4" t="str">
        <f t="shared" si="132"/>
        <v>BUCK</v>
      </c>
      <c r="J183">
        <f t="shared" si="170"/>
        <v>1</v>
      </c>
      <c r="K183">
        <f t="shared" si="133"/>
        <v>20</v>
      </c>
      <c r="L183" s="4">
        <f t="shared" si="134"/>
        <v>6.6257732225586876</v>
      </c>
      <c r="M183" s="4">
        <f t="shared" si="135"/>
        <v>20</v>
      </c>
      <c r="N183" s="386">
        <f t="shared" si="136"/>
        <v>0.30108862526168878</v>
      </c>
      <c r="O183" s="386">
        <f t="shared" si="172"/>
        <v>0</v>
      </c>
      <c r="P183" s="4">
        <f t="shared" si="137"/>
        <v>18.093138104675507</v>
      </c>
      <c r="Q183" s="386">
        <f t="shared" si="138"/>
        <v>20.670755603176154</v>
      </c>
      <c r="R183" s="386">
        <f t="shared" si="173"/>
        <v>1.0615686922620793</v>
      </c>
      <c r="S183" s="386">
        <f t="shared" si="174"/>
        <v>11.087029850150191</v>
      </c>
      <c r="T183" s="386">
        <f t="shared" si="175"/>
        <v>12.148598542412271</v>
      </c>
      <c r="U183" s="4">
        <f t="shared" si="139"/>
        <v>5.22303907760974</v>
      </c>
      <c r="V183" s="386">
        <f t="shared" si="176"/>
        <v>5.4560274412476809E-2</v>
      </c>
      <c r="W183" s="386">
        <f t="shared" si="177"/>
        <v>5.4560274412476809E-2</v>
      </c>
      <c r="X183" s="386">
        <f t="shared" si="140"/>
        <v>9.4823194220597848</v>
      </c>
      <c r="Y183" s="386">
        <f t="shared" si="178"/>
        <v>0.17982876324394442</v>
      </c>
      <c r="Z183" s="603">
        <f t="shared" si="179"/>
        <v>0.17982876324394442</v>
      </c>
      <c r="AA183" s="386">
        <f t="shared" si="141"/>
        <v>11.34236258956008</v>
      </c>
      <c r="AB183" s="386">
        <f t="shared" si="142"/>
        <v>0.24443345931479887</v>
      </c>
      <c r="AC183" s="386">
        <f t="shared" si="143"/>
        <v>2.9765627857081114</v>
      </c>
      <c r="AD183">
        <f t="shared" si="144"/>
        <v>0</v>
      </c>
      <c r="AE183" s="386">
        <f t="shared" si="145"/>
        <v>3.3865536497769373</v>
      </c>
      <c r="AF183" s="386">
        <f t="shared" si="146"/>
        <v>17.280941759440839</v>
      </c>
      <c r="AG183" s="386">
        <f t="shared" si="147"/>
        <v>0.5673988013770539</v>
      </c>
      <c r="AH183" s="386">
        <f t="shared" si="148"/>
        <v>0</v>
      </c>
      <c r="AI183" s="386">
        <f t="shared" si="149"/>
        <v>0.64002915664206916</v>
      </c>
      <c r="AJ183" s="386">
        <f t="shared" si="150"/>
        <v>0</v>
      </c>
      <c r="AK183" s="386">
        <f t="shared" si="151"/>
        <v>0</v>
      </c>
      <c r="AL183" s="386">
        <f t="shared" si="152"/>
        <v>0</v>
      </c>
      <c r="AM183">
        <f t="shared" si="153"/>
        <v>0</v>
      </c>
      <c r="AN183" s="386">
        <f t="shared" si="154"/>
        <v>0</v>
      </c>
      <c r="AO183" s="386">
        <f t="shared" si="155"/>
        <v>20.670755603176154</v>
      </c>
      <c r="AP183" s="386">
        <f t="shared" si="156"/>
        <v>0.21364006860311918</v>
      </c>
      <c r="AQ183" s="386">
        <f t="shared" si="157"/>
        <v>0</v>
      </c>
      <c r="AR183" s="386">
        <f t="shared" si="158"/>
        <v>0.22317593292735211</v>
      </c>
      <c r="AS183" s="386">
        <f t="shared" si="159"/>
        <v>0.21364006860311918</v>
      </c>
      <c r="AT183" s="386">
        <f t="shared" si="160"/>
        <v>0.27500000000000002</v>
      </c>
      <c r="AU183" s="386">
        <f t="shared" si="161"/>
        <v>2.9488250000000003</v>
      </c>
      <c r="AV183" s="386">
        <f t="shared" si="162"/>
        <v>0.89589284427955873</v>
      </c>
      <c r="AW183" s="386" t="e">
        <f t="shared" si="163"/>
        <v>#VALUE!</v>
      </c>
      <c r="AX183" s="386">
        <f t="shared" si="164"/>
        <v>3.8400000000000004E-2</v>
      </c>
      <c r="AY183" s="386">
        <f t="shared" si="165"/>
        <v>0.61440000000000006</v>
      </c>
      <c r="AZ183" s="386">
        <f t="shared" si="166"/>
        <v>0.47314285714285709</v>
      </c>
      <c r="BA183" s="386">
        <f t="shared" si="180"/>
        <v>0.65280000000000005</v>
      </c>
      <c r="BB183" s="386" t="e">
        <f t="shared" si="181"/>
        <v>#VALUE!</v>
      </c>
      <c r="BC183">
        <f t="shared" si="167"/>
        <v>256</v>
      </c>
      <c r="BD183" s="604" t="e">
        <f t="shared" si="182"/>
        <v>#VALUE!</v>
      </c>
      <c r="BE183" s="614">
        <f t="shared" si="168"/>
        <v>316.76893248884687</v>
      </c>
      <c r="BF183" s="614">
        <f t="shared" si="169"/>
        <v>32.001457832103455</v>
      </c>
      <c r="BG183" s="9"/>
      <c r="BH183" s="4" t="e">
        <f t="shared" si="183"/>
        <v>#VALUE!</v>
      </c>
      <c r="BI183" s="386">
        <f t="shared" si="184"/>
        <v>12.148598542412271</v>
      </c>
      <c r="BJ183" s="386">
        <f t="shared" si="185"/>
        <v>7.1985837393463585</v>
      </c>
      <c r="BK183" s="386">
        <f t="shared" si="186"/>
        <v>1.6131414066420693</v>
      </c>
      <c r="BL183" s="386">
        <f t="shared" si="187"/>
        <v>0.89589284427955873</v>
      </c>
    </row>
    <row r="184" spans="7:64" x14ac:dyDescent="0.2">
      <c r="G184">
        <v>175</v>
      </c>
      <c r="H184" s="610">
        <f t="shared" si="131"/>
        <v>43.125</v>
      </c>
      <c r="I184" s="4" t="str">
        <f t="shared" si="132"/>
        <v>BUCK</v>
      </c>
      <c r="J184">
        <f t="shared" si="170"/>
        <v>1</v>
      </c>
      <c r="K184">
        <f t="shared" si="133"/>
        <v>20</v>
      </c>
      <c r="L184" s="4">
        <f t="shared" si="134"/>
        <v>6.5958132045088567</v>
      </c>
      <c r="M184" s="4">
        <f t="shared" si="135"/>
        <v>20</v>
      </c>
      <c r="N184" s="386">
        <f t="shared" si="136"/>
        <v>0.29972907259465092</v>
      </c>
      <c r="O184" s="386">
        <f t="shared" si="172"/>
        <v>0</v>
      </c>
      <c r="P184" s="4">
        <f t="shared" si="137"/>
        <v>18.128333660298718</v>
      </c>
      <c r="Q184" s="386">
        <f t="shared" si="138"/>
        <v>20.673325166542348</v>
      </c>
      <c r="R184" s="386">
        <f t="shared" si="173"/>
        <v>1.0618550554280861</v>
      </c>
      <c r="S184" s="386">
        <f t="shared" si="174"/>
        <v>11.136783184744216</v>
      </c>
      <c r="T184" s="386">
        <f t="shared" si="175"/>
        <v>12.198638240172302</v>
      </c>
      <c r="U184" s="4">
        <f t="shared" si="139"/>
        <v>5.2331991593664098</v>
      </c>
      <c r="V184" s="386">
        <f t="shared" si="176"/>
        <v>5.4772746883186597E-2</v>
      </c>
      <c r="W184" s="386">
        <f t="shared" si="177"/>
        <v>5.4772746883186597E-2</v>
      </c>
      <c r="X184" s="386">
        <f t="shared" si="140"/>
        <v>9.4712613087893693</v>
      </c>
      <c r="Y184" s="386">
        <f t="shared" si="178"/>
        <v>0.17940958155874104</v>
      </c>
      <c r="Z184" s="603">
        <f t="shared" si="179"/>
        <v>0.17940958155874104</v>
      </c>
      <c r="AA184" s="386">
        <f t="shared" si="141"/>
        <v>11.318132414459546</v>
      </c>
      <c r="AB184" s="386">
        <f t="shared" si="142"/>
        <v>0.24339023056735573</v>
      </c>
      <c r="AC184" s="386">
        <f t="shared" si="143"/>
        <v>2.9900831617438226</v>
      </c>
      <c r="AD184">
        <f t="shared" si="144"/>
        <v>0</v>
      </c>
      <c r="AE184" s="386">
        <f t="shared" si="145"/>
        <v>3.39892649286727</v>
      </c>
      <c r="AF184" s="386">
        <f t="shared" si="146"/>
        <v>17.299891678572827</v>
      </c>
      <c r="AG184" s="386">
        <f t="shared" si="147"/>
        <v>0.56864387897167135</v>
      </c>
      <c r="AH184" s="386">
        <f t="shared" si="148"/>
        <v>0</v>
      </c>
      <c r="AI184" s="386">
        <f t="shared" si="149"/>
        <v>0.64161383495365898</v>
      </c>
      <c r="AJ184" s="386">
        <f t="shared" si="150"/>
        <v>0</v>
      </c>
      <c r="AK184" s="386">
        <f t="shared" si="151"/>
        <v>0</v>
      </c>
      <c r="AL184" s="386">
        <f t="shared" si="152"/>
        <v>0</v>
      </c>
      <c r="AM184">
        <f t="shared" si="153"/>
        <v>0</v>
      </c>
      <c r="AN184" s="386">
        <f t="shared" si="154"/>
        <v>0</v>
      </c>
      <c r="AO184" s="386">
        <f t="shared" si="155"/>
        <v>20.673325166542348</v>
      </c>
      <c r="AP184" s="386">
        <f t="shared" si="156"/>
        <v>0.2136931867207966</v>
      </c>
      <c r="AQ184" s="386">
        <f t="shared" si="157"/>
        <v>0</v>
      </c>
      <c r="AR184" s="386">
        <f t="shared" si="158"/>
        <v>0.22323389938973712</v>
      </c>
      <c r="AS184" s="386">
        <f t="shared" si="159"/>
        <v>0.2136931867207966</v>
      </c>
      <c r="AT184" s="386">
        <f t="shared" si="160"/>
        <v>0.27500000000000002</v>
      </c>
      <c r="AU184" s="386">
        <f t="shared" si="161"/>
        <v>2.9622312500000003</v>
      </c>
      <c r="AV184" s="386">
        <f t="shared" si="162"/>
        <v>0.89785875627106004</v>
      </c>
      <c r="AW184" s="386" t="e">
        <f t="shared" si="163"/>
        <v>#VALUE!</v>
      </c>
      <c r="AX184" s="386">
        <f t="shared" si="164"/>
        <v>3.8400000000000004E-2</v>
      </c>
      <c r="AY184" s="386">
        <f t="shared" si="165"/>
        <v>0.61440000000000006</v>
      </c>
      <c r="AZ184" s="386">
        <f t="shared" si="166"/>
        <v>0.47314285714285709</v>
      </c>
      <c r="BA184" s="386">
        <f t="shared" si="180"/>
        <v>0.65280000000000005</v>
      </c>
      <c r="BB184" s="386" t="e">
        <f t="shared" si="181"/>
        <v>#VALUE!</v>
      </c>
      <c r="BC184">
        <f t="shared" si="167"/>
        <v>256</v>
      </c>
      <c r="BD184" s="604" t="e">
        <f t="shared" si="182"/>
        <v>#VALUE!</v>
      </c>
      <c r="BE184" s="614">
        <f t="shared" si="168"/>
        <v>318.05788714336353</v>
      </c>
      <c r="BF184" s="614">
        <f t="shared" si="169"/>
        <v>32.080691747682948</v>
      </c>
      <c r="BG184" s="9"/>
      <c r="BH184" s="4" t="e">
        <f t="shared" si="183"/>
        <v>#VALUE!</v>
      </c>
      <c r="BI184" s="386">
        <f t="shared" si="184"/>
        <v>12.198638240172302</v>
      </c>
      <c r="BJ184" s="386">
        <f t="shared" si="185"/>
        <v>7.2260054772106663</v>
      </c>
      <c r="BK184" s="386">
        <f t="shared" si="186"/>
        <v>1.6191501474536591</v>
      </c>
      <c r="BL184" s="386">
        <f t="shared" si="187"/>
        <v>0.89785875627106004</v>
      </c>
    </row>
    <row r="185" spans="7:64" x14ac:dyDescent="0.2">
      <c r="G185">
        <v>176</v>
      </c>
      <c r="H185" s="610">
        <f t="shared" si="131"/>
        <v>43.32</v>
      </c>
      <c r="I185" s="4" t="str">
        <f t="shared" si="132"/>
        <v>BUCK</v>
      </c>
      <c r="J185">
        <f t="shared" si="170"/>
        <v>1</v>
      </c>
      <c r="K185">
        <f t="shared" si="133"/>
        <v>20</v>
      </c>
      <c r="L185" s="4">
        <f t="shared" si="134"/>
        <v>6.5661229096132141</v>
      </c>
      <c r="M185" s="4">
        <f t="shared" si="135"/>
        <v>20</v>
      </c>
      <c r="N185" s="386">
        <f t="shared" si="136"/>
        <v>0.29838174273858925</v>
      </c>
      <c r="O185" s="386">
        <f t="shared" si="172"/>
        <v>0</v>
      </c>
      <c r="P185" s="4">
        <f t="shared" si="137"/>
        <v>18.163212796680501</v>
      </c>
      <c r="Q185" s="386">
        <f t="shared" si="138"/>
        <v>20.675876239185726</v>
      </c>
      <c r="R185" s="386">
        <f t="shared" si="173"/>
        <v>1.0621394050864632</v>
      </c>
      <c r="S185" s="386">
        <f t="shared" si="174"/>
        <v>11.18621364389486</v>
      </c>
      <c r="T185" s="386">
        <f t="shared" si="175"/>
        <v>12.248353048981322</v>
      </c>
      <c r="U185" s="4">
        <f t="shared" si="139"/>
        <v>5.2432678987559713</v>
      </c>
      <c r="V185" s="386">
        <f t="shared" si="176"/>
        <v>5.4983716516249719E-2</v>
      </c>
      <c r="W185" s="386">
        <f t="shared" si="177"/>
        <v>5.4983716516249719E-2</v>
      </c>
      <c r="X185" s="386">
        <f t="shared" si="140"/>
        <v>9.4602036984183488</v>
      </c>
      <c r="Y185" s="386">
        <f t="shared" si="178"/>
        <v>0.1789909080311364</v>
      </c>
      <c r="Z185" s="603">
        <f t="shared" si="179"/>
        <v>0.1789909080311364</v>
      </c>
      <c r="AA185" s="386">
        <f t="shared" si="141"/>
        <v>11.294058866218879</v>
      </c>
      <c r="AB185" s="386">
        <f t="shared" si="142"/>
        <v>0.24235595477987285</v>
      </c>
      <c r="AC185" s="386">
        <f t="shared" si="143"/>
        <v>3.0036035377795338</v>
      </c>
      <c r="AD185">
        <f t="shared" si="144"/>
        <v>0</v>
      </c>
      <c r="AE185" s="386">
        <f t="shared" si="145"/>
        <v>3.4113097382942423</v>
      </c>
      <c r="AF185" s="386">
        <f t="shared" si="146"/>
        <v>17.318663129251853</v>
      </c>
      <c r="AG185" s="386">
        <f t="shared" si="147"/>
        <v>0.56987857591056434</v>
      </c>
      <c r="AH185" s="386">
        <f t="shared" si="148"/>
        <v>0</v>
      </c>
      <c r="AI185" s="386">
        <f t="shared" si="149"/>
        <v>0.64318618087053547</v>
      </c>
      <c r="AJ185" s="386">
        <f t="shared" si="150"/>
        <v>0</v>
      </c>
      <c r="AK185" s="386">
        <f t="shared" si="151"/>
        <v>0</v>
      </c>
      <c r="AL185" s="386">
        <f t="shared" si="152"/>
        <v>0</v>
      </c>
      <c r="AM185">
        <f t="shared" si="153"/>
        <v>0</v>
      </c>
      <c r="AN185" s="386">
        <f t="shared" si="154"/>
        <v>0</v>
      </c>
      <c r="AO185" s="386">
        <f t="shared" si="155"/>
        <v>20.675876239185726</v>
      </c>
      <c r="AP185" s="386">
        <f t="shared" si="156"/>
        <v>0.21374592912906243</v>
      </c>
      <c r="AQ185" s="386">
        <f t="shared" si="157"/>
        <v>0</v>
      </c>
      <c r="AR185" s="386">
        <f t="shared" si="158"/>
        <v>0.22329145712292686</v>
      </c>
      <c r="AS185" s="386">
        <f t="shared" si="159"/>
        <v>0.21374592912906243</v>
      </c>
      <c r="AT185" s="386">
        <f t="shared" si="160"/>
        <v>0.27500000000000002</v>
      </c>
      <c r="AU185" s="386">
        <f t="shared" si="161"/>
        <v>2.9756375000000004</v>
      </c>
      <c r="AV185" s="386">
        <f t="shared" si="162"/>
        <v>0.89980827775352268</v>
      </c>
      <c r="AW185" s="386" t="e">
        <f t="shared" si="163"/>
        <v>#VALUE!</v>
      </c>
      <c r="AX185" s="386">
        <f t="shared" si="164"/>
        <v>3.8400000000000004E-2</v>
      </c>
      <c r="AY185" s="386">
        <f t="shared" si="165"/>
        <v>0.61440000000000006</v>
      </c>
      <c r="AZ185" s="386">
        <f t="shared" si="166"/>
        <v>0.47314285714285709</v>
      </c>
      <c r="BA185" s="386">
        <f t="shared" si="180"/>
        <v>0.65280000000000005</v>
      </c>
      <c r="BB185" s="386" t="e">
        <f t="shared" si="181"/>
        <v>#VALUE!</v>
      </c>
      <c r="BC185">
        <f t="shared" si="167"/>
        <v>256</v>
      </c>
      <c r="BD185" s="604" t="e">
        <f t="shared" si="182"/>
        <v>#VALUE!</v>
      </c>
      <c r="BE185" s="614">
        <f t="shared" si="168"/>
        <v>319.34736191471211</v>
      </c>
      <c r="BF185" s="614">
        <f t="shared" si="169"/>
        <v>32.159309043526775</v>
      </c>
      <c r="BG185" s="9"/>
      <c r="BH185" s="4" t="e">
        <f t="shared" si="183"/>
        <v>#VALUE!</v>
      </c>
      <c r="BI185" s="386">
        <f t="shared" si="184"/>
        <v>12.248353048981322</v>
      </c>
      <c r="BJ185" s="386">
        <f t="shared" si="185"/>
        <v>7.2534248762877045</v>
      </c>
      <c r="BK185" s="386">
        <f t="shared" si="186"/>
        <v>1.6251465558705358</v>
      </c>
      <c r="BL185" s="386">
        <f t="shared" si="187"/>
        <v>0.89980827775352268</v>
      </c>
    </row>
    <row r="186" spans="7:64" x14ac:dyDescent="0.2">
      <c r="G186">
        <v>177</v>
      </c>
      <c r="H186" s="610">
        <f t="shared" si="131"/>
        <v>43.515000000000001</v>
      </c>
      <c r="I186" s="4" t="str">
        <f t="shared" si="132"/>
        <v>BUCK</v>
      </c>
      <c r="J186">
        <f t="shared" si="170"/>
        <v>1</v>
      </c>
      <c r="K186">
        <f t="shared" si="133"/>
        <v>20</v>
      </c>
      <c r="L186" s="4">
        <f t="shared" si="134"/>
        <v>6.5366987118107422</v>
      </c>
      <c r="M186" s="4">
        <f t="shared" si="135"/>
        <v>20</v>
      </c>
      <c r="N186" s="386">
        <f t="shared" si="136"/>
        <v>0.29704647160068848</v>
      </c>
      <c r="O186" s="386">
        <f t="shared" si="172"/>
        <v>0</v>
      </c>
      <c r="P186" s="4">
        <f t="shared" si="137"/>
        <v>18.19777976179002</v>
      </c>
      <c r="Q186" s="386">
        <f t="shared" si="138"/>
        <v>20.678409006051485</v>
      </c>
      <c r="R186" s="386">
        <f t="shared" si="173"/>
        <v>1.062421760839751</v>
      </c>
      <c r="S186" s="386">
        <f t="shared" si="174"/>
        <v>11.235323970761</v>
      </c>
      <c r="T186" s="386">
        <f t="shared" si="175"/>
        <v>12.297745731600751</v>
      </c>
      <c r="U186" s="4">
        <f t="shared" si="139"/>
        <v>5.2532465220614961</v>
      </c>
      <c r="V186" s="386">
        <f t="shared" si="176"/>
        <v>5.5193198043102416E-2</v>
      </c>
      <c r="W186" s="386">
        <f t="shared" si="177"/>
        <v>5.5193198043102416E-2</v>
      </c>
      <c r="X186" s="386">
        <f t="shared" si="140"/>
        <v>9.4491474879387702</v>
      </c>
      <c r="Y186" s="386">
        <f t="shared" si="178"/>
        <v>0.17857277649763917</v>
      </c>
      <c r="Z186" s="603">
        <f t="shared" si="179"/>
        <v>0.17857277649763917</v>
      </c>
      <c r="AA186" s="386">
        <f t="shared" si="141"/>
        <v>11.270140239047878</v>
      </c>
      <c r="AB186" s="386">
        <f t="shared" si="142"/>
        <v>0.24133051591483171</v>
      </c>
      <c r="AC186" s="386">
        <f t="shared" si="143"/>
        <v>3.017123913815245</v>
      </c>
      <c r="AD186">
        <f t="shared" si="144"/>
        <v>0</v>
      </c>
      <c r="AE186" s="386">
        <f t="shared" si="145"/>
        <v>3.4237032437613171</v>
      </c>
      <c r="AF186" s="386">
        <f t="shared" si="146"/>
        <v>17.337258664902738</v>
      </c>
      <c r="AG186" s="386">
        <f t="shared" si="147"/>
        <v>0.57110302222611564</v>
      </c>
      <c r="AH186" s="386">
        <f t="shared" si="148"/>
        <v>0</v>
      </c>
      <c r="AI186" s="386">
        <f t="shared" si="149"/>
        <v>0.6447463387522413</v>
      </c>
      <c r="AJ186" s="386">
        <f t="shared" si="150"/>
        <v>0</v>
      </c>
      <c r="AK186" s="386">
        <f t="shared" si="151"/>
        <v>0</v>
      </c>
      <c r="AL186" s="386">
        <f t="shared" si="152"/>
        <v>0</v>
      </c>
      <c r="AM186">
        <f t="shared" si="153"/>
        <v>0</v>
      </c>
      <c r="AN186" s="386">
        <f t="shared" si="154"/>
        <v>0</v>
      </c>
      <c r="AO186" s="386">
        <f t="shared" si="155"/>
        <v>20.678409006051485</v>
      </c>
      <c r="AP186" s="386">
        <f t="shared" si="156"/>
        <v>0.21379829951077559</v>
      </c>
      <c r="AQ186" s="386">
        <f t="shared" si="157"/>
        <v>0</v>
      </c>
      <c r="AR186" s="386">
        <f t="shared" si="158"/>
        <v>0.22334861011908677</v>
      </c>
      <c r="AS186" s="386">
        <f t="shared" si="159"/>
        <v>0.21379829951077559</v>
      </c>
      <c r="AT186" s="386">
        <f t="shared" si="160"/>
        <v>0.27500000000000002</v>
      </c>
      <c r="AU186" s="386">
        <f t="shared" si="161"/>
        <v>2.9890437500000004</v>
      </c>
      <c r="AV186" s="386">
        <f t="shared" si="162"/>
        <v>0.90174161404123521</v>
      </c>
      <c r="AW186" s="386" t="e">
        <f t="shared" si="163"/>
        <v>#VALUE!</v>
      </c>
      <c r="AX186" s="386">
        <f t="shared" si="164"/>
        <v>3.8400000000000004E-2</v>
      </c>
      <c r="AY186" s="386">
        <f t="shared" si="165"/>
        <v>0.61440000000000006</v>
      </c>
      <c r="AZ186" s="386">
        <f t="shared" si="166"/>
        <v>0.47314285714285709</v>
      </c>
      <c r="BA186" s="386">
        <f t="shared" si="180"/>
        <v>0.65280000000000005</v>
      </c>
      <c r="BB186" s="386" t="e">
        <f t="shared" si="181"/>
        <v>#VALUE!</v>
      </c>
      <c r="BC186">
        <f t="shared" si="167"/>
        <v>256</v>
      </c>
      <c r="BD186" s="604" t="e">
        <f t="shared" si="182"/>
        <v>#VALUE!</v>
      </c>
      <c r="BE186" s="614">
        <f t="shared" si="168"/>
        <v>320.63734968806585</v>
      </c>
      <c r="BF186" s="614">
        <f t="shared" si="169"/>
        <v>32.237316937612064</v>
      </c>
      <c r="BG186" s="9"/>
      <c r="BH186" s="4" t="e">
        <f t="shared" si="183"/>
        <v>#VALUE!</v>
      </c>
      <c r="BI186" s="386">
        <f t="shared" si="184"/>
        <v>12.297745731600751</v>
      </c>
      <c r="BJ186" s="386">
        <f t="shared" si="185"/>
        <v>7.2808419426326454</v>
      </c>
      <c r="BK186" s="386">
        <f t="shared" si="186"/>
        <v>1.6311307762522413</v>
      </c>
      <c r="BL186" s="386">
        <f t="shared" si="187"/>
        <v>0.90174161404123521</v>
      </c>
    </row>
    <row r="187" spans="7:64" x14ac:dyDescent="0.2">
      <c r="G187">
        <v>178</v>
      </c>
      <c r="H187" s="610">
        <f t="shared" si="131"/>
        <v>43.71</v>
      </c>
      <c r="I187" s="4" t="str">
        <f t="shared" si="132"/>
        <v>BUCK</v>
      </c>
      <c r="J187">
        <f t="shared" si="170"/>
        <v>1</v>
      </c>
      <c r="K187">
        <f t="shared" si="133"/>
        <v>20</v>
      </c>
      <c r="L187" s="4">
        <f t="shared" si="134"/>
        <v>6.5075370497470706</v>
      </c>
      <c r="M187" s="4">
        <f t="shared" si="135"/>
        <v>20</v>
      </c>
      <c r="N187" s="386">
        <f t="shared" si="136"/>
        <v>0.2957230980123372</v>
      </c>
      <c r="O187" s="386">
        <f t="shared" si="172"/>
        <v>0</v>
      </c>
      <c r="P187" s="4">
        <f t="shared" si="137"/>
        <v>18.232038727895819</v>
      </c>
      <c r="Q187" s="386">
        <f t="shared" si="138"/>
        <v>20.680923649939437</v>
      </c>
      <c r="R187" s="386">
        <f t="shared" si="173"/>
        <v>1.062702142071889</v>
      </c>
      <c r="S187" s="386">
        <f t="shared" si="174"/>
        <v>11.284116886497758</v>
      </c>
      <c r="T187" s="386">
        <f t="shared" si="175"/>
        <v>12.346819028569646</v>
      </c>
      <c r="U187" s="4">
        <f t="shared" si="139"/>
        <v>5.2631362337131673</v>
      </c>
      <c r="V187" s="386">
        <f t="shared" si="176"/>
        <v>5.5401206029248848E-2</v>
      </c>
      <c r="W187" s="386">
        <f t="shared" si="177"/>
        <v>5.5401206029248848E-2</v>
      </c>
      <c r="X187" s="386">
        <f t="shared" si="140"/>
        <v>9.4380935446075611</v>
      </c>
      <c r="Y187" s="386">
        <f t="shared" si="178"/>
        <v>0.17815521951352584</v>
      </c>
      <c r="Z187" s="603">
        <f t="shared" si="179"/>
        <v>0.17815521951352584</v>
      </c>
      <c r="AA187" s="386">
        <f t="shared" si="141"/>
        <v>11.246374853490767</v>
      </c>
      <c r="AB187" s="386">
        <f t="shared" si="142"/>
        <v>0.24031379995593602</v>
      </c>
      <c r="AC187" s="386">
        <f t="shared" si="143"/>
        <v>3.0306442898509562</v>
      </c>
      <c r="AD187">
        <f t="shared" si="144"/>
        <v>0</v>
      </c>
      <c r="AE187" s="386">
        <f t="shared" si="145"/>
        <v>3.4361068695837669</v>
      </c>
      <c r="AF187" s="386">
        <f t="shared" si="146"/>
        <v>17.355680789568435</v>
      </c>
      <c r="AG187" s="386">
        <f t="shared" si="147"/>
        <v>0.57231734577185012</v>
      </c>
      <c r="AH187" s="386">
        <f t="shared" si="148"/>
        <v>0</v>
      </c>
      <c r="AI187" s="386">
        <f t="shared" si="149"/>
        <v>0.64629445069343905</v>
      </c>
      <c r="AJ187" s="386">
        <f t="shared" si="150"/>
        <v>0</v>
      </c>
      <c r="AK187" s="386">
        <f t="shared" si="151"/>
        <v>0</v>
      </c>
      <c r="AL187" s="386">
        <f t="shared" si="152"/>
        <v>0</v>
      </c>
      <c r="AM187">
        <f t="shared" si="153"/>
        <v>0</v>
      </c>
      <c r="AN187" s="386">
        <f t="shared" si="154"/>
        <v>0</v>
      </c>
      <c r="AO187" s="386">
        <f t="shared" si="155"/>
        <v>20.680923649939437</v>
      </c>
      <c r="AP187" s="386">
        <f t="shared" si="156"/>
        <v>0.21385030150731218</v>
      </c>
      <c r="AQ187" s="386">
        <f t="shared" si="157"/>
        <v>0</v>
      </c>
      <c r="AR187" s="386">
        <f t="shared" si="158"/>
        <v>0.22340536232565031</v>
      </c>
      <c r="AS187" s="386">
        <f t="shared" si="159"/>
        <v>0.21385030150731218</v>
      </c>
      <c r="AT187" s="386">
        <f t="shared" si="160"/>
        <v>0.27500000000000002</v>
      </c>
      <c r="AU187" s="386">
        <f t="shared" si="161"/>
        <v>3.0024500000000005</v>
      </c>
      <c r="AV187" s="386">
        <f t="shared" si="162"/>
        <v>0.90365896700818438</v>
      </c>
      <c r="AW187" s="386" t="e">
        <f t="shared" si="163"/>
        <v>#VALUE!</v>
      </c>
      <c r="AX187" s="386">
        <f t="shared" si="164"/>
        <v>3.8400000000000004E-2</v>
      </c>
      <c r="AY187" s="386">
        <f t="shared" si="165"/>
        <v>0.61440000000000006</v>
      </c>
      <c r="AZ187" s="386">
        <f t="shared" si="166"/>
        <v>0.47314285714285709</v>
      </c>
      <c r="BA187" s="386">
        <f t="shared" si="180"/>
        <v>0.65280000000000005</v>
      </c>
      <c r="BB187" s="386" t="e">
        <f t="shared" si="181"/>
        <v>#VALUE!</v>
      </c>
      <c r="BC187">
        <f t="shared" si="167"/>
        <v>256</v>
      </c>
      <c r="BD187" s="604" t="e">
        <f t="shared" si="182"/>
        <v>#VALUE!</v>
      </c>
      <c r="BE187" s="614">
        <f t="shared" si="168"/>
        <v>321.92784347918837</v>
      </c>
      <c r="BF187" s="614">
        <f t="shared" si="169"/>
        <v>32.314722534671951</v>
      </c>
      <c r="BG187" s="9"/>
      <c r="BH187" s="4" t="e">
        <f t="shared" si="183"/>
        <v>#VALUE!</v>
      </c>
      <c r="BI187" s="386">
        <f t="shared" si="184"/>
        <v>12.346819028569646</v>
      </c>
      <c r="BJ187" s="386">
        <f t="shared" si="185"/>
        <v>7.3082566826028561</v>
      </c>
      <c r="BK187" s="386">
        <f t="shared" si="186"/>
        <v>1.6371029506934391</v>
      </c>
      <c r="BL187" s="386">
        <f t="shared" si="187"/>
        <v>0.90365896700818438</v>
      </c>
    </row>
    <row r="188" spans="7:64" x14ac:dyDescent="0.2">
      <c r="G188">
        <v>179</v>
      </c>
      <c r="H188" s="610">
        <f t="shared" si="131"/>
        <v>43.905000000000001</v>
      </c>
      <c r="I188" s="4" t="str">
        <f t="shared" si="132"/>
        <v>BUCK</v>
      </c>
      <c r="J188">
        <f t="shared" si="170"/>
        <v>1</v>
      </c>
      <c r="K188">
        <f t="shared" si="133"/>
        <v>20</v>
      </c>
      <c r="L188" s="4">
        <f t="shared" si="134"/>
        <v>6.4786344253375336</v>
      </c>
      <c r="M188" s="4">
        <f t="shared" si="135"/>
        <v>20</v>
      </c>
      <c r="N188" s="386">
        <f t="shared" si="136"/>
        <v>0.29441146366427839</v>
      </c>
      <c r="O188" s="386">
        <f t="shared" si="172"/>
        <v>0</v>
      </c>
      <c r="P188" s="4">
        <f t="shared" si="137"/>
        <v>18.265993793244629</v>
      </c>
      <c r="Q188" s="386">
        <f t="shared" si="138"/>
        <v>20.683420351525623</v>
      </c>
      <c r="R188" s="386">
        <f t="shared" si="173"/>
        <v>1.0629805679501967</v>
      </c>
      <c r="S188" s="386">
        <f t="shared" si="174"/>
        <v>11.332595090183046</v>
      </c>
      <c r="T188" s="386">
        <f t="shared" si="175"/>
        <v>12.395575658133243</v>
      </c>
      <c r="U188" s="4">
        <f t="shared" si="139"/>
        <v>5.2729382167729106</v>
      </c>
      <c r="V188" s="386">
        <f t="shared" si="176"/>
        <v>5.5607754875808567E-2</v>
      </c>
      <c r="W188" s="386">
        <f t="shared" si="177"/>
        <v>5.5607754875808567E-2</v>
      </c>
      <c r="X188" s="386">
        <f t="shared" si="140"/>
        <v>9.4270427069009255</v>
      </c>
      <c r="Y188" s="386">
        <f t="shared" si="178"/>
        <v>0.17773826839546786</v>
      </c>
      <c r="Z188" s="603">
        <f t="shared" si="179"/>
        <v>0.17773826839546786</v>
      </c>
      <c r="AA188" s="386">
        <f t="shared" si="141"/>
        <v>11.222761055896493</v>
      </c>
      <c r="AB188" s="386">
        <f t="shared" si="142"/>
        <v>0.23930569486371922</v>
      </c>
      <c r="AC188" s="386">
        <f t="shared" si="143"/>
        <v>3.0441646658866675</v>
      </c>
      <c r="AD188">
        <f t="shared" si="144"/>
        <v>0</v>
      </c>
      <c r="AE188" s="386">
        <f t="shared" si="145"/>
        <v>3.4485204786283723</v>
      </c>
      <c r="AF188" s="386">
        <f t="shared" si="146"/>
        <v>17.37393195912075</v>
      </c>
      <c r="AG188" s="386">
        <f t="shared" si="147"/>
        <v>0.57352167226829898</v>
      </c>
      <c r="AH188" s="386">
        <f t="shared" si="148"/>
        <v>0</v>
      </c>
      <c r="AI188" s="386">
        <f t="shared" si="149"/>
        <v>0.64783065656868777</v>
      </c>
      <c r="AJ188" s="386">
        <f t="shared" si="150"/>
        <v>0</v>
      </c>
      <c r="AK188" s="386">
        <f t="shared" si="151"/>
        <v>0</v>
      </c>
      <c r="AL188" s="386">
        <f t="shared" si="152"/>
        <v>0</v>
      </c>
      <c r="AM188">
        <f t="shared" si="153"/>
        <v>0</v>
      </c>
      <c r="AN188" s="386">
        <f t="shared" si="154"/>
        <v>0</v>
      </c>
      <c r="AO188" s="386">
        <f t="shared" si="155"/>
        <v>20.683420351525623</v>
      </c>
      <c r="AP188" s="386">
        <f t="shared" si="156"/>
        <v>0.21390193871895216</v>
      </c>
      <c r="AQ188" s="386">
        <f t="shared" si="157"/>
        <v>0</v>
      </c>
      <c r="AR188" s="386">
        <f t="shared" si="158"/>
        <v>0.22346171764572992</v>
      </c>
      <c r="AS188" s="386">
        <f t="shared" si="159"/>
        <v>0.21390193871895216</v>
      </c>
      <c r="AT188" s="386">
        <f t="shared" si="160"/>
        <v>0.27500000000000002</v>
      </c>
      <c r="AU188" s="386">
        <f t="shared" si="161"/>
        <v>3.0158562500000006</v>
      </c>
      <c r="AV188" s="386">
        <f t="shared" si="162"/>
        <v>0.90556053516047208</v>
      </c>
      <c r="AW188" s="386" t="e">
        <f t="shared" si="163"/>
        <v>#VALUE!</v>
      </c>
      <c r="AX188" s="386">
        <f t="shared" si="164"/>
        <v>3.8400000000000004E-2</v>
      </c>
      <c r="AY188" s="386">
        <f t="shared" si="165"/>
        <v>0.61440000000000006</v>
      </c>
      <c r="AZ188" s="386">
        <f t="shared" si="166"/>
        <v>0.47314285714285709</v>
      </c>
      <c r="BA188" s="386">
        <f t="shared" si="180"/>
        <v>0.65280000000000005</v>
      </c>
      <c r="BB188" s="386" t="e">
        <f t="shared" si="181"/>
        <v>#VALUE!</v>
      </c>
      <c r="BC188">
        <f t="shared" si="167"/>
        <v>256</v>
      </c>
      <c r="BD188" s="604" t="e">
        <f t="shared" si="182"/>
        <v>#VALUE!</v>
      </c>
      <c r="BE188" s="614">
        <f t="shared" si="168"/>
        <v>323.21883643141865</v>
      </c>
      <c r="BF188" s="614">
        <f t="shared" si="169"/>
        <v>32.391532828434386</v>
      </c>
      <c r="BG188" s="9"/>
      <c r="BH188" s="4" t="e">
        <f t="shared" si="183"/>
        <v>#VALUE!</v>
      </c>
      <c r="BI188" s="386">
        <f t="shared" si="184"/>
        <v>12.395575658133243</v>
      </c>
      <c r="BJ188" s="386">
        <f t="shared" si="185"/>
        <v>7.3356691028427905</v>
      </c>
      <c r="BK188" s="386">
        <f t="shared" si="186"/>
        <v>1.643063219068688</v>
      </c>
      <c r="BL188" s="386">
        <f t="shared" si="187"/>
        <v>0.90556053516047208</v>
      </c>
    </row>
    <row r="189" spans="7:64" x14ac:dyDescent="0.2">
      <c r="G189">
        <v>180</v>
      </c>
      <c r="H189" s="610">
        <f t="shared" si="131"/>
        <v>44.1</v>
      </c>
      <c r="I189" s="4" t="str">
        <f t="shared" si="132"/>
        <v>BUCK</v>
      </c>
      <c r="J189">
        <f t="shared" si="170"/>
        <v>1</v>
      </c>
      <c r="K189">
        <f t="shared" si="133"/>
        <v>20</v>
      </c>
      <c r="L189" s="4">
        <f t="shared" si="134"/>
        <v>6.4499874023683539</v>
      </c>
      <c r="M189" s="4">
        <f t="shared" si="135"/>
        <v>20</v>
      </c>
      <c r="N189" s="386">
        <f t="shared" si="136"/>
        <v>0.29311141304347826</v>
      </c>
      <c r="O189" s="386">
        <f t="shared" si="172"/>
        <v>0</v>
      </c>
      <c r="P189" s="4">
        <f t="shared" si="137"/>
        <v>18.299648983695654</v>
      </c>
      <c r="Q189" s="386">
        <f t="shared" si="138"/>
        <v>20.685899289384047</v>
      </c>
      <c r="R189" s="386">
        <f t="shared" si="173"/>
        <v>1.0632570574273759</v>
      </c>
      <c r="S189" s="386">
        <f t="shared" si="174"/>
        <v>11.380761258759994</v>
      </c>
      <c r="T189" s="386">
        <f t="shared" si="175"/>
        <v>12.444018316187371</v>
      </c>
      <c r="U189" s="4">
        <f t="shared" si="139"/>
        <v>5.2826536334061744</v>
      </c>
      <c r="V189" s="386">
        <f t="shared" si="176"/>
        <v>5.5812858821078913E-2</v>
      </c>
      <c r="W189" s="386">
        <f t="shared" si="177"/>
        <v>5.5812858821078913E-2</v>
      </c>
      <c r="X189" s="386">
        <f t="shared" si="140"/>
        <v>9.415995785435225</v>
      </c>
      <c r="Y189" s="386">
        <f t="shared" si="178"/>
        <v>0.17732195326266786</v>
      </c>
      <c r="Z189" s="603">
        <f t="shared" si="179"/>
        <v>0.17732195326266786</v>
      </c>
      <c r="AA189" s="386">
        <f t="shared" si="141"/>
        <v>11.199297217902227</v>
      </c>
      <c r="AB189" s="386">
        <f t="shared" si="142"/>
        <v>0.23830609053233387</v>
      </c>
      <c r="AC189" s="386">
        <f t="shared" si="143"/>
        <v>3.0576850419223787</v>
      </c>
      <c r="AD189">
        <f t="shared" si="144"/>
        <v>0</v>
      </c>
      <c r="AE189" s="386">
        <f t="shared" si="145"/>
        <v>3.460943936254806</v>
      </c>
      <c r="AF189" s="386">
        <f t="shared" si="146"/>
        <v>17.392014582434861</v>
      </c>
      <c r="AG189" s="386">
        <f t="shared" si="147"/>
        <v>0.57471612534769101</v>
      </c>
      <c r="AH189" s="386">
        <f t="shared" si="148"/>
        <v>0</v>
      </c>
      <c r="AI189" s="386">
        <f t="shared" si="149"/>
        <v>0.64935509407613545</v>
      </c>
      <c r="AJ189" s="386">
        <f t="shared" si="150"/>
        <v>0</v>
      </c>
      <c r="AK189" s="386">
        <f t="shared" si="151"/>
        <v>0</v>
      </c>
      <c r="AL189" s="386">
        <f t="shared" si="152"/>
        <v>0</v>
      </c>
      <c r="AM189">
        <f t="shared" si="153"/>
        <v>0</v>
      </c>
      <c r="AN189" s="386">
        <f t="shared" si="154"/>
        <v>0</v>
      </c>
      <c r="AO189" s="386">
        <f t="shared" si="155"/>
        <v>20.685899289384047</v>
      </c>
      <c r="AP189" s="386">
        <f t="shared" si="156"/>
        <v>0.21395321470526968</v>
      </c>
      <c r="AQ189" s="386">
        <f t="shared" si="157"/>
        <v>0</v>
      </c>
      <c r="AR189" s="386">
        <f t="shared" si="158"/>
        <v>0.22351767993853219</v>
      </c>
      <c r="AS189" s="386">
        <f t="shared" si="159"/>
        <v>0.21395321470526968</v>
      </c>
      <c r="AT189" s="386">
        <f t="shared" si="160"/>
        <v>0.27500000000000002</v>
      </c>
      <c r="AU189" s="386">
        <f t="shared" si="161"/>
        <v>3.0292625000000006</v>
      </c>
      <c r="AV189" s="386">
        <f t="shared" si="162"/>
        <v>0.90744651370688045</v>
      </c>
      <c r="AW189" s="386" t="e">
        <f t="shared" si="163"/>
        <v>#VALUE!</v>
      </c>
      <c r="AX189" s="386">
        <f t="shared" si="164"/>
        <v>3.8400000000000004E-2</v>
      </c>
      <c r="AY189" s="386">
        <f t="shared" si="165"/>
        <v>0.61440000000000006</v>
      </c>
      <c r="AZ189" s="386">
        <f t="shared" si="166"/>
        <v>0.47314285714285709</v>
      </c>
      <c r="BA189" s="386">
        <f t="shared" si="180"/>
        <v>0.65280000000000005</v>
      </c>
      <c r="BB189" s="386" t="e">
        <f t="shared" si="181"/>
        <v>#VALUE!</v>
      </c>
      <c r="BC189">
        <f t="shared" si="167"/>
        <v>256</v>
      </c>
      <c r="BD189" s="604" t="e">
        <f t="shared" si="182"/>
        <v>#VALUE!</v>
      </c>
      <c r="BE189" s="614">
        <f t="shared" si="168"/>
        <v>324.51032181274036</v>
      </c>
      <c r="BF189" s="614">
        <f t="shared" si="169"/>
        <v>32.467754703806776</v>
      </c>
      <c r="BG189" s="9"/>
      <c r="BH189" s="4" t="e">
        <f t="shared" si="183"/>
        <v>#VALUE!</v>
      </c>
      <c r="BI189" s="386">
        <f t="shared" si="184"/>
        <v>12.444018316187371</v>
      </c>
      <c r="BJ189" s="386">
        <f t="shared" si="185"/>
        <v>7.3630792102694747</v>
      </c>
      <c r="BK189" s="386">
        <f t="shared" si="186"/>
        <v>1.6490117190761358</v>
      </c>
      <c r="BL189" s="386">
        <f t="shared" si="187"/>
        <v>0.90744651370688045</v>
      </c>
    </row>
    <row r="190" spans="7:64" x14ac:dyDescent="0.2">
      <c r="G190">
        <v>181</v>
      </c>
      <c r="H190" s="610">
        <f t="shared" si="131"/>
        <v>44.295000000000002</v>
      </c>
      <c r="I190" s="4" t="str">
        <f t="shared" si="132"/>
        <v>BUCK</v>
      </c>
      <c r="J190">
        <f t="shared" si="170"/>
        <v>1</v>
      </c>
      <c r="K190">
        <f t="shared" si="133"/>
        <v>20</v>
      </c>
      <c r="L190" s="4">
        <f t="shared" si="134"/>
        <v>6.4215926051347649</v>
      </c>
      <c r="M190" s="4">
        <f t="shared" si="135"/>
        <v>20</v>
      </c>
      <c r="N190" s="386">
        <f t="shared" si="136"/>
        <v>0.29182279337166045</v>
      </c>
      <c r="O190" s="386">
        <f t="shared" si="172"/>
        <v>0</v>
      </c>
      <c r="P190" s="4">
        <f t="shared" si="137"/>
        <v>18.333008254311803</v>
      </c>
      <c r="Q190" s="386">
        <f t="shared" si="138"/>
        <v>20.688360640008561</v>
      </c>
      <c r="R190" s="386">
        <f t="shared" si="173"/>
        <v>1.0635316292435402</v>
      </c>
      <c r="S190" s="386">
        <f t="shared" si="174"/>
        <v>11.428618046994321</v>
      </c>
      <c r="T190" s="386">
        <f t="shared" si="175"/>
        <v>12.492149676237862</v>
      </c>
      <c r="U190" s="4">
        <f t="shared" si="139"/>
        <v>5.2922836253412759</v>
      </c>
      <c r="V190" s="386">
        <f t="shared" si="176"/>
        <v>5.6016531942110794E-2</v>
      </c>
      <c r="W190" s="386">
        <f t="shared" si="177"/>
        <v>5.6016531942110794E-2</v>
      </c>
      <c r="X190" s="386">
        <f t="shared" si="140"/>
        <v>9.4049535638557238</v>
      </c>
      <c r="Y190" s="386">
        <f t="shared" si="178"/>
        <v>0.17690630307656496</v>
      </c>
      <c r="Z190" s="603">
        <f t="shared" si="179"/>
        <v>0.17690630307656496</v>
      </c>
      <c r="AA190" s="386">
        <f t="shared" si="141"/>
        <v>11.175981735929689</v>
      </c>
      <c r="AB190" s="386">
        <f t="shared" si="142"/>
        <v>0.23731487874748455</v>
      </c>
      <c r="AC190" s="386">
        <f t="shared" si="143"/>
        <v>3.0712054179580903</v>
      </c>
      <c r="AD190">
        <f t="shared" si="144"/>
        <v>0</v>
      </c>
      <c r="AE190" s="386">
        <f t="shared" si="145"/>
        <v>3.4733771102586384</v>
      </c>
      <c r="AF190" s="386">
        <f t="shared" si="146"/>
        <v>17.409931022529108</v>
      </c>
      <c r="AG190" s="386">
        <f t="shared" si="147"/>
        <v>0.57590082659752073</v>
      </c>
      <c r="AH190" s="386">
        <f t="shared" si="148"/>
        <v>0</v>
      </c>
      <c r="AI190" s="386">
        <f t="shared" si="149"/>
        <v>0.65086789878018014</v>
      </c>
      <c r="AJ190" s="386">
        <f t="shared" si="150"/>
        <v>0</v>
      </c>
      <c r="AK190" s="386">
        <f t="shared" si="151"/>
        <v>0</v>
      </c>
      <c r="AL190" s="386">
        <f t="shared" si="152"/>
        <v>0</v>
      </c>
      <c r="AM190">
        <f t="shared" si="153"/>
        <v>0</v>
      </c>
      <c r="AN190" s="386">
        <f t="shared" si="154"/>
        <v>0</v>
      </c>
      <c r="AO190" s="386">
        <f t="shared" si="155"/>
        <v>20.688360640008561</v>
      </c>
      <c r="AP190" s="386">
        <f t="shared" si="156"/>
        <v>0.21400413298552773</v>
      </c>
      <c r="AQ190" s="386">
        <f t="shared" si="157"/>
        <v>0</v>
      </c>
      <c r="AR190" s="386">
        <f t="shared" si="158"/>
        <v>0.22357325301977807</v>
      </c>
      <c r="AS190" s="386">
        <f t="shared" si="159"/>
        <v>0.21400413298552773</v>
      </c>
      <c r="AT190" s="386">
        <f t="shared" si="160"/>
        <v>0.27500000000000002</v>
      </c>
      <c r="AU190" s="386">
        <f t="shared" si="161"/>
        <v>3.0426687500000007</v>
      </c>
      <c r="AV190" s="386">
        <f t="shared" si="162"/>
        <v>0.9093170946276643</v>
      </c>
      <c r="AW190" s="386" t="e">
        <f t="shared" si="163"/>
        <v>#VALUE!</v>
      </c>
      <c r="AX190" s="386">
        <f t="shared" si="164"/>
        <v>3.8400000000000004E-2</v>
      </c>
      <c r="AY190" s="386">
        <f t="shared" si="165"/>
        <v>0.61440000000000006</v>
      </c>
      <c r="AZ190" s="386">
        <f t="shared" si="166"/>
        <v>0.47314285714285709</v>
      </c>
      <c r="BA190" s="386">
        <f t="shared" si="180"/>
        <v>0.65280000000000005</v>
      </c>
      <c r="BB190" s="386" t="e">
        <f t="shared" si="181"/>
        <v>#VALUE!</v>
      </c>
      <c r="BC190">
        <f t="shared" si="167"/>
        <v>256</v>
      </c>
      <c r="BD190" s="604" t="e">
        <f t="shared" si="182"/>
        <v>#VALUE!</v>
      </c>
      <c r="BE190" s="614">
        <f t="shared" si="168"/>
        <v>325.80229301293195</v>
      </c>
      <c r="BF190" s="614">
        <f t="shared" si="169"/>
        <v>32.543394939009005</v>
      </c>
      <c r="BG190" s="9"/>
      <c r="BH190" s="4" t="e">
        <f t="shared" si="183"/>
        <v>#VALUE!</v>
      </c>
      <c r="BI190" s="386">
        <f t="shared" si="184"/>
        <v>12.492149676237862</v>
      </c>
      <c r="BJ190" s="386">
        <f t="shared" si="185"/>
        <v>7.3904870120585979</v>
      </c>
      <c r="BK190" s="386">
        <f t="shared" si="186"/>
        <v>1.6549485862801805</v>
      </c>
      <c r="BL190" s="386">
        <f t="shared" si="187"/>
        <v>0.9093170946276643</v>
      </c>
    </row>
    <row r="191" spans="7:64" x14ac:dyDescent="0.2">
      <c r="G191">
        <v>182</v>
      </c>
      <c r="H191" s="610">
        <f t="shared" si="131"/>
        <v>44.49</v>
      </c>
      <c r="I191" s="4" t="str">
        <f t="shared" si="132"/>
        <v>BUCK</v>
      </c>
      <c r="J191">
        <f t="shared" si="170"/>
        <v>1</v>
      </c>
      <c r="K191">
        <f t="shared" si="133"/>
        <v>20</v>
      </c>
      <c r="L191" s="4">
        <f t="shared" si="134"/>
        <v>6.3934467171149567</v>
      </c>
      <c r="M191" s="4">
        <f t="shared" si="135"/>
        <v>20</v>
      </c>
      <c r="N191" s="386">
        <f t="shared" si="136"/>
        <v>0.29054545454545455</v>
      </c>
      <c r="O191" s="386">
        <f t="shared" si="172"/>
        <v>0</v>
      </c>
      <c r="P191" s="4">
        <f t="shared" si="137"/>
        <v>18.366075490909093</v>
      </c>
      <c r="Q191" s="386">
        <f t="shared" si="138"/>
        <v>20.690804577834754</v>
      </c>
      <c r="R191" s="386">
        <f t="shared" si="173"/>
        <v>1.0638043019282515</v>
      </c>
      <c r="S191" s="386">
        <f t="shared" si="174"/>
        <v>11.476168087445858</v>
      </c>
      <c r="T191" s="386">
        <f t="shared" si="175"/>
        <v>12.53997238937411</v>
      </c>
      <c r="U191" s="4">
        <f t="shared" si="139"/>
        <v>5.3018293143166773</v>
      </c>
      <c r="V191" s="386">
        <f t="shared" si="176"/>
        <v>5.6218788156295295E-2</v>
      </c>
      <c r="W191" s="386">
        <f t="shared" si="177"/>
        <v>5.6218788156295295E-2</v>
      </c>
      <c r="X191" s="386">
        <f t="shared" si="140"/>
        <v>9.3939167996943826</v>
      </c>
      <c r="Y191" s="386">
        <f t="shared" si="178"/>
        <v>0.17649134567916069</v>
      </c>
      <c r="Z191" s="603">
        <f t="shared" si="179"/>
        <v>0.17649134567916069</v>
      </c>
      <c r="AA191" s="386">
        <f t="shared" si="141"/>
        <v>11.152813030693849</v>
      </c>
      <c r="AB191" s="386">
        <f t="shared" si="142"/>
        <v>0.23633195314546759</v>
      </c>
      <c r="AC191" s="386">
        <f t="shared" si="143"/>
        <v>3.0847257939938015</v>
      </c>
      <c r="AD191">
        <f t="shared" si="144"/>
        <v>0</v>
      </c>
      <c r="AE191" s="386">
        <f t="shared" si="145"/>
        <v>3.4858198708159107</v>
      </c>
      <c r="AF191" s="386">
        <f t="shared" si="146"/>
        <v>17.427683597671066</v>
      </c>
      <c r="AG191" s="386">
        <f t="shared" si="147"/>
        <v>0.57707589560301298</v>
      </c>
      <c r="AH191" s="386">
        <f t="shared" si="148"/>
        <v>0</v>
      </c>
      <c r="AI191" s="386">
        <f t="shared" si="149"/>
        <v>0.65236920415310906</v>
      </c>
      <c r="AJ191" s="386">
        <f t="shared" si="150"/>
        <v>0</v>
      </c>
      <c r="AK191" s="386">
        <f t="shared" si="151"/>
        <v>0</v>
      </c>
      <c r="AL191" s="386">
        <f t="shared" si="152"/>
        <v>0</v>
      </c>
      <c r="AM191">
        <f t="shared" si="153"/>
        <v>0</v>
      </c>
      <c r="AN191" s="386">
        <f t="shared" si="154"/>
        <v>0</v>
      </c>
      <c r="AO191" s="386">
        <f t="shared" si="155"/>
        <v>20.690804577834754</v>
      </c>
      <c r="AP191" s="386">
        <f t="shared" si="156"/>
        <v>0.21405469703907382</v>
      </c>
      <c r="AQ191" s="386">
        <f t="shared" si="157"/>
        <v>0</v>
      </c>
      <c r="AR191" s="386">
        <f t="shared" si="158"/>
        <v>0.22362844066212412</v>
      </c>
      <c r="AS191" s="386">
        <f t="shared" si="159"/>
        <v>0.21405469703907382</v>
      </c>
      <c r="AT191" s="386">
        <f t="shared" si="160"/>
        <v>0.27500000000000002</v>
      </c>
      <c r="AU191" s="386">
        <f t="shared" si="161"/>
        <v>3.0560750000000008</v>
      </c>
      <c r="AV191" s="386">
        <f t="shared" si="162"/>
        <v>0.91117246674159946</v>
      </c>
      <c r="AW191" s="386" t="e">
        <f t="shared" si="163"/>
        <v>#VALUE!</v>
      </c>
      <c r="AX191" s="386">
        <f t="shared" si="164"/>
        <v>3.8400000000000004E-2</v>
      </c>
      <c r="AY191" s="386">
        <f t="shared" si="165"/>
        <v>0.61440000000000006</v>
      </c>
      <c r="AZ191" s="386">
        <f t="shared" si="166"/>
        <v>0.47314285714285709</v>
      </c>
      <c r="BA191" s="386">
        <f t="shared" si="180"/>
        <v>0.65280000000000005</v>
      </c>
      <c r="BB191" s="386" t="e">
        <f t="shared" si="181"/>
        <v>#VALUE!</v>
      </c>
      <c r="BC191">
        <f t="shared" si="167"/>
        <v>256</v>
      </c>
      <c r="BD191" s="604" t="e">
        <f t="shared" si="182"/>
        <v>#VALUE!</v>
      </c>
      <c r="BE191" s="614">
        <f t="shared" si="168"/>
        <v>327.09474354079555</v>
      </c>
      <c r="BF191" s="614">
        <f t="shared" si="169"/>
        <v>32.618460207655453</v>
      </c>
      <c r="BG191" s="9"/>
      <c r="BH191" s="4" t="e">
        <f t="shared" si="183"/>
        <v>#VALUE!</v>
      </c>
      <c r="BI191" s="386">
        <f t="shared" si="184"/>
        <v>12.53997238937411</v>
      </c>
      <c r="BJ191" s="386">
        <f t="shared" si="185"/>
        <v>7.417892515631145</v>
      </c>
      <c r="BK191" s="386">
        <f t="shared" si="186"/>
        <v>1.6608739541531095</v>
      </c>
      <c r="BL191" s="386">
        <f t="shared" si="187"/>
        <v>0.91117246674159946</v>
      </c>
    </row>
    <row r="192" spans="7:64" x14ac:dyDescent="0.2">
      <c r="G192">
        <v>183</v>
      </c>
      <c r="H192" s="610">
        <f t="shared" si="131"/>
        <v>44.685000000000002</v>
      </c>
      <c r="I192" s="4" t="str">
        <f t="shared" si="132"/>
        <v>BUCK</v>
      </c>
      <c r="J192">
        <f t="shared" si="170"/>
        <v>1</v>
      </c>
      <c r="K192">
        <f t="shared" si="133"/>
        <v>20</v>
      </c>
      <c r="L192" s="4">
        <f t="shared" si="134"/>
        <v>6.3655464796787387</v>
      </c>
      <c r="M192" s="4">
        <f t="shared" si="135"/>
        <v>20</v>
      </c>
      <c r="N192" s="386">
        <f t="shared" si="136"/>
        <v>0.28927924907810931</v>
      </c>
      <c r="O192" s="386">
        <f t="shared" si="172"/>
        <v>0</v>
      </c>
      <c r="P192" s="4">
        <f t="shared" si="137"/>
        <v>18.398854511565542</v>
      </c>
      <c r="Q192" s="386">
        <f t="shared" si="138"/>
        <v>20.693231275261958</v>
      </c>
      <c r="R192" s="386">
        <f t="shared" si="173"/>
        <v>1.0640750938025805</v>
      </c>
      <c r="S192" s="386">
        <f t="shared" si="174"/>
        <v>11.523413990453262</v>
      </c>
      <c r="T192" s="386">
        <f t="shared" si="175"/>
        <v>12.587489084255843</v>
      </c>
      <c r="U192" s="4">
        <f t="shared" si="139"/>
        <v>5.3112918025165632</v>
      </c>
      <c r="V192" s="386">
        <f t="shared" si="176"/>
        <v>5.6419641222959289E-2</v>
      </c>
      <c r="W192" s="386">
        <f t="shared" si="177"/>
        <v>5.6419641222959289E-2</v>
      </c>
      <c r="X192" s="386">
        <f t="shared" si="140"/>
        <v>9.3828862251979501</v>
      </c>
      <c r="Y192" s="386">
        <f t="shared" si="178"/>
        <v>0.1760771078300189</v>
      </c>
      <c r="Z192" s="603">
        <f t="shared" si="179"/>
        <v>0.1760771078300189</v>
      </c>
      <c r="AA192" s="386">
        <f t="shared" si="141"/>
        <v>11.129789546723726</v>
      </c>
      <c r="AB192" s="386">
        <f t="shared" si="142"/>
        <v>0.2353572091732854</v>
      </c>
      <c r="AC192" s="386">
        <f t="shared" si="143"/>
        <v>3.0982461700295123</v>
      </c>
      <c r="AD192">
        <f t="shared" si="144"/>
        <v>0</v>
      </c>
      <c r="AE192" s="386">
        <f t="shared" si="145"/>
        <v>3.4982720904292419</v>
      </c>
      <c r="AF192" s="386">
        <f t="shared" si="146"/>
        <v>17.44527458245123</v>
      </c>
      <c r="AG192" s="386">
        <f t="shared" si="147"/>
        <v>0.578241449988526</v>
      </c>
      <c r="AH192" s="386">
        <f t="shared" si="148"/>
        <v>0</v>
      </c>
      <c r="AI192" s="386">
        <f t="shared" si="149"/>
        <v>0.65385914161575542</v>
      </c>
      <c r="AJ192" s="386">
        <f t="shared" si="150"/>
        <v>0</v>
      </c>
      <c r="AK192" s="386">
        <f t="shared" si="151"/>
        <v>0</v>
      </c>
      <c r="AL192" s="386">
        <f t="shared" si="152"/>
        <v>0</v>
      </c>
      <c r="AM192">
        <f t="shared" si="153"/>
        <v>0</v>
      </c>
      <c r="AN192" s="386">
        <f t="shared" si="154"/>
        <v>0</v>
      </c>
      <c r="AO192" s="386">
        <f t="shared" si="155"/>
        <v>20.693231275261958</v>
      </c>
      <c r="AP192" s="386">
        <f t="shared" si="156"/>
        <v>0.21410491030573983</v>
      </c>
      <c r="AQ192" s="386">
        <f t="shared" si="157"/>
        <v>0</v>
      </c>
      <c r="AR192" s="386">
        <f t="shared" si="158"/>
        <v>0.22368324659558886</v>
      </c>
      <c r="AS192" s="386">
        <f t="shared" si="159"/>
        <v>0.21410491030573983</v>
      </c>
      <c r="AT192" s="386">
        <f t="shared" si="160"/>
        <v>0.27500000000000002</v>
      </c>
      <c r="AU192" s="386">
        <f t="shared" si="161"/>
        <v>3.0694812500000008</v>
      </c>
      <c r="AV192" s="386">
        <f t="shared" si="162"/>
        <v>0.91301281577135673</v>
      </c>
      <c r="AW192" s="386" t="e">
        <f t="shared" si="163"/>
        <v>#VALUE!</v>
      </c>
      <c r="AX192" s="386">
        <f t="shared" si="164"/>
        <v>3.8400000000000004E-2</v>
      </c>
      <c r="AY192" s="386">
        <f t="shared" si="165"/>
        <v>0.61440000000000006</v>
      </c>
      <c r="AZ192" s="386">
        <f t="shared" si="166"/>
        <v>0.47314285714285709</v>
      </c>
      <c r="BA192" s="386">
        <f t="shared" si="180"/>
        <v>0.65280000000000005</v>
      </c>
      <c r="BB192" s="386" t="e">
        <f t="shared" si="181"/>
        <v>#VALUE!</v>
      </c>
      <c r="BC192">
        <f t="shared" si="167"/>
        <v>256</v>
      </c>
      <c r="BD192" s="604" t="e">
        <f t="shared" si="182"/>
        <v>#VALUE!</v>
      </c>
      <c r="BE192" s="614">
        <f t="shared" si="168"/>
        <v>328.38766702146216</v>
      </c>
      <c r="BF192" s="614">
        <f t="shared" si="169"/>
        <v>32.692957080787771</v>
      </c>
      <c r="BG192" s="9"/>
      <c r="BH192" s="4" t="e">
        <f t="shared" si="183"/>
        <v>#VALUE!</v>
      </c>
      <c r="BI192" s="386">
        <f t="shared" si="184"/>
        <v>12.587489084255843</v>
      </c>
      <c r="BJ192" s="386">
        <f t="shared" si="185"/>
        <v>7.4452957286405868</v>
      </c>
      <c r="BK192" s="386">
        <f t="shared" si="186"/>
        <v>1.6667879541157555</v>
      </c>
      <c r="BL192" s="386">
        <f t="shared" si="187"/>
        <v>0.91301281577135673</v>
      </c>
    </row>
    <row r="193" spans="7:64" x14ac:dyDescent="0.2">
      <c r="G193">
        <v>184</v>
      </c>
      <c r="H193" s="610">
        <f t="shared" si="131"/>
        <v>44.88</v>
      </c>
      <c r="I193" s="4" t="str">
        <f t="shared" si="132"/>
        <v>BUCK</v>
      </c>
      <c r="J193">
        <f t="shared" si="170"/>
        <v>1</v>
      </c>
      <c r="K193">
        <f t="shared" si="133"/>
        <v>20</v>
      </c>
      <c r="L193" s="4">
        <f t="shared" si="134"/>
        <v>6.3378886908298666</v>
      </c>
      <c r="M193" s="4">
        <f t="shared" si="135"/>
        <v>20</v>
      </c>
      <c r="N193" s="386">
        <f t="shared" si="136"/>
        <v>0.28802403204272364</v>
      </c>
      <c r="O193" s="386">
        <f t="shared" si="172"/>
        <v>0</v>
      </c>
      <c r="P193" s="4">
        <f t="shared" si="137"/>
        <v>18.431349068090793</v>
      </c>
      <c r="Q193" s="386">
        <f t="shared" si="138"/>
        <v>20.695640902675237</v>
      </c>
      <c r="R193" s="386">
        <f t="shared" si="173"/>
        <v>1.0643440229811709</v>
      </c>
      <c r="S193" s="386">
        <f t="shared" si="174"/>
        <v>11.570358344131503</v>
      </c>
      <c r="T193" s="386">
        <f t="shared" si="175"/>
        <v>12.634702367112673</v>
      </c>
      <c r="U193" s="4">
        <f t="shared" si="139"/>
        <v>5.3206721729950885</v>
      </c>
      <c r="V193" s="386">
        <f t="shared" si="176"/>
        <v>5.6619104744968556E-2</v>
      </c>
      <c r="W193" s="386">
        <f t="shared" si="177"/>
        <v>5.6619104744968556E-2</v>
      </c>
      <c r="X193" s="386">
        <f t="shared" si="140"/>
        <v>9.3718625481274724</v>
      </c>
      <c r="Y193" s="386">
        <f t="shared" si="178"/>
        <v>0.1756636152419887</v>
      </c>
      <c r="Z193" s="603">
        <f t="shared" si="179"/>
        <v>0.1756636152419887</v>
      </c>
      <c r="AA193" s="386">
        <f t="shared" si="141"/>
        <v>11.106909751894856</v>
      </c>
      <c r="AB193" s="386">
        <f t="shared" si="142"/>
        <v>0.23439054404980036</v>
      </c>
      <c r="AC193" s="386">
        <f t="shared" si="143"/>
        <v>3.1117665460652235</v>
      </c>
      <c r="AD193">
        <f t="shared" si="144"/>
        <v>0</v>
      </c>
      <c r="AE193" s="386">
        <f t="shared" si="145"/>
        <v>3.5107336438754024</v>
      </c>
      <c r="AF193" s="386">
        <f t="shared" si="146"/>
        <v>17.462706208825345</v>
      </c>
      <c r="AG193" s="386">
        <f t="shared" si="147"/>
        <v>0.57939760545791974</v>
      </c>
      <c r="AH193" s="386">
        <f t="shared" si="148"/>
        <v>0</v>
      </c>
      <c r="AI193" s="386">
        <f t="shared" si="149"/>
        <v>0.65533784057719824</v>
      </c>
      <c r="AJ193" s="386">
        <f t="shared" si="150"/>
        <v>0</v>
      </c>
      <c r="AK193" s="386">
        <f t="shared" si="151"/>
        <v>0</v>
      </c>
      <c r="AL193" s="386">
        <f t="shared" si="152"/>
        <v>0</v>
      </c>
      <c r="AM193">
        <f t="shared" si="153"/>
        <v>0</v>
      </c>
      <c r="AN193" s="386">
        <f t="shared" si="154"/>
        <v>0</v>
      </c>
      <c r="AO193" s="386">
        <f t="shared" si="155"/>
        <v>20.695640902675237</v>
      </c>
      <c r="AP193" s="386">
        <f t="shared" si="156"/>
        <v>0.21415477618624215</v>
      </c>
      <c r="AQ193" s="386">
        <f t="shared" si="157"/>
        <v>0</v>
      </c>
      <c r="AR193" s="386">
        <f t="shared" si="158"/>
        <v>0.22373767450797949</v>
      </c>
      <c r="AS193" s="386">
        <f t="shared" si="159"/>
        <v>0.21415477618624215</v>
      </c>
      <c r="AT193" s="386">
        <f t="shared" si="160"/>
        <v>0.27500000000000002</v>
      </c>
      <c r="AU193" s="386">
        <f t="shared" si="161"/>
        <v>3.0828875000000004</v>
      </c>
      <c r="AV193" s="386">
        <f t="shared" si="162"/>
        <v>0.91483832440724178</v>
      </c>
      <c r="AW193" s="386" t="e">
        <f t="shared" si="163"/>
        <v>#VALUE!</v>
      </c>
      <c r="AX193" s="386">
        <f t="shared" si="164"/>
        <v>3.8400000000000004E-2</v>
      </c>
      <c r="AY193" s="386">
        <f t="shared" si="165"/>
        <v>0.61440000000000006</v>
      </c>
      <c r="AZ193" s="386">
        <f t="shared" si="166"/>
        <v>0.47314285714285709</v>
      </c>
      <c r="BA193" s="386">
        <f t="shared" si="180"/>
        <v>0.65280000000000005</v>
      </c>
      <c r="BB193" s="386" t="e">
        <f t="shared" si="181"/>
        <v>#VALUE!</v>
      </c>
      <c r="BC193">
        <f t="shared" si="167"/>
        <v>256</v>
      </c>
      <c r="BD193" s="604" t="e">
        <f t="shared" si="182"/>
        <v>#VALUE!</v>
      </c>
      <c r="BE193" s="614">
        <f t="shared" si="168"/>
        <v>329.68105719377013</v>
      </c>
      <c r="BF193" s="614">
        <f t="shared" si="169"/>
        <v>32.766892028859914</v>
      </c>
      <c r="BG193" s="9"/>
      <c r="BH193" s="4" t="e">
        <f t="shared" si="183"/>
        <v>#VALUE!</v>
      </c>
      <c r="BI193" s="386">
        <f t="shared" si="184"/>
        <v>12.634702367112673</v>
      </c>
      <c r="BJ193" s="386">
        <f t="shared" si="185"/>
        <v>7.4726966589605794</v>
      </c>
      <c r="BK193" s="386">
        <f t="shared" si="186"/>
        <v>1.6726907155771986</v>
      </c>
      <c r="BL193" s="386">
        <f t="shared" si="187"/>
        <v>0.91483832440724178</v>
      </c>
    </row>
    <row r="194" spans="7:64" x14ac:dyDescent="0.2">
      <c r="G194">
        <v>185</v>
      </c>
      <c r="H194" s="610">
        <f t="shared" si="131"/>
        <v>45.075000000000003</v>
      </c>
      <c r="I194" s="4" t="str">
        <f t="shared" si="132"/>
        <v>BUCK</v>
      </c>
      <c r="J194">
        <f t="shared" si="170"/>
        <v>1</v>
      </c>
      <c r="K194">
        <f t="shared" si="133"/>
        <v>20</v>
      </c>
      <c r="L194" s="4">
        <f t="shared" si="134"/>
        <v>6.3104702039810192</v>
      </c>
      <c r="M194" s="4">
        <f t="shared" si="135"/>
        <v>20</v>
      </c>
      <c r="N194" s="386">
        <f t="shared" si="136"/>
        <v>0.28677966101694913</v>
      </c>
      <c r="O194" s="386">
        <f t="shared" si="172"/>
        <v>0</v>
      </c>
      <c r="P194" s="4">
        <f t="shared" si="137"/>
        <v>18.463562847457631</v>
      </c>
      <c r="Q194" s="386">
        <f t="shared" si="138"/>
        <v>20.698033628467417</v>
      </c>
      <c r="R194" s="386">
        <f t="shared" si="173"/>
        <v>1.0646111073743163</v>
      </c>
      <c r="S194" s="386">
        <f t="shared" si="174"/>
        <v>11.617003714381006</v>
      </c>
      <c r="T194" s="386">
        <f t="shared" si="175"/>
        <v>12.681614821755323</v>
      </c>
      <c r="U194" s="4">
        <f t="shared" si="139"/>
        <v>5.3299714900896182</v>
      </c>
      <c r="V194" s="386">
        <f t="shared" si="176"/>
        <v>5.6817192170336289E-2</v>
      </c>
      <c r="W194" s="386">
        <f t="shared" si="177"/>
        <v>5.6817192170336289E-2</v>
      </c>
      <c r="X194" s="386">
        <f t="shared" si="140"/>
        <v>9.3608464525303319</v>
      </c>
      <c r="Y194" s="386">
        <f t="shared" si="178"/>
        <v>0.1752508926156994</v>
      </c>
      <c r="Z194" s="603">
        <f t="shared" si="179"/>
        <v>0.1752508926156994</v>
      </c>
      <c r="AA194" s="386">
        <f t="shared" si="141"/>
        <v>11.084172136973134</v>
      </c>
      <c r="AB194" s="386">
        <f t="shared" si="142"/>
        <v>0.23343185672789799</v>
      </c>
      <c r="AC194" s="386">
        <f t="shared" si="143"/>
        <v>3.1252869221009347</v>
      </c>
      <c r="AD194">
        <f t="shared" si="144"/>
        <v>0</v>
      </c>
      <c r="AE194" s="386">
        <f t="shared" si="145"/>
        <v>3.5232044081543079</v>
      </c>
      <c r="AF194" s="386">
        <f t="shared" si="146"/>
        <v>17.479980667126512</v>
      </c>
      <c r="AG194" s="386">
        <f t="shared" si="147"/>
        <v>0.58054447583392155</v>
      </c>
      <c r="AH194" s="386">
        <f t="shared" si="148"/>
        <v>0</v>
      </c>
      <c r="AI194" s="386">
        <f t="shared" si="149"/>
        <v>0.65680542847352941</v>
      </c>
      <c r="AJ194" s="386">
        <f t="shared" si="150"/>
        <v>0</v>
      </c>
      <c r="AK194" s="386">
        <f t="shared" si="151"/>
        <v>0</v>
      </c>
      <c r="AL194" s="386">
        <f t="shared" si="152"/>
        <v>0</v>
      </c>
      <c r="AM194">
        <f t="shared" si="153"/>
        <v>0</v>
      </c>
      <c r="AN194" s="386">
        <f t="shared" si="154"/>
        <v>0</v>
      </c>
      <c r="AO194" s="386">
        <f t="shared" si="155"/>
        <v>20.698033628467417</v>
      </c>
      <c r="AP194" s="386">
        <f t="shared" si="156"/>
        <v>0.21420429804258403</v>
      </c>
      <c r="AQ194" s="386">
        <f t="shared" si="157"/>
        <v>0</v>
      </c>
      <c r="AR194" s="386">
        <f t="shared" si="158"/>
        <v>0.22379172804532099</v>
      </c>
      <c r="AS194" s="386">
        <f t="shared" si="159"/>
        <v>0.21420429804258403</v>
      </c>
      <c r="AT194" s="386">
        <f t="shared" si="160"/>
        <v>0.27500000000000002</v>
      </c>
      <c r="AU194" s="386">
        <f t="shared" si="161"/>
        <v>3.0962937500000005</v>
      </c>
      <c r="AV194" s="386">
        <f t="shared" si="162"/>
        <v>0.91664917236934984</v>
      </c>
      <c r="AW194" s="386" t="e">
        <f t="shared" si="163"/>
        <v>#VALUE!</v>
      </c>
      <c r="AX194" s="386">
        <f t="shared" si="164"/>
        <v>3.8400000000000004E-2</v>
      </c>
      <c r="AY194" s="386">
        <f t="shared" si="165"/>
        <v>0.61440000000000006</v>
      </c>
      <c r="AZ194" s="386">
        <f t="shared" si="166"/>
        <v>0.47314285714285709</v>
      </c>
      <c r="BA194" s="386">
        <f t="shared" si="180"/>
        <v>0.65280000000000005</v>
      </c>
      <c r="BB194" s="386" t="e">
        <f t="shared" si="181"/>
        <v>#VALUE!</v>
      </c>
      <c r="BC194">
        <f t="shared" si="167"/>
        <v>256</v>
      </c>
      <c r="BD194" s="604" t="e">
        <f t="shared" si="182"/>
        <v>#VALUE!</v>
      </c>
      <c r="BE194" s="614">
        <f t="shared" si="168"/>
        <v>330.97490790771542</v>
      </c>
      <c r="BF194" s="614">
        <f t="shared" si="169"/>
        <v>32.840271423676469</v>
      </c>
      <c r="BG194" s="9"/>
      <c r="BH194" s="4" t="e">
        <f t="shared" si="183"/>
        <v>#VALUE!</v>
      </c>
      <c r="BI194" s="386">
        <f t="shared" si="184"/>
        <v>12.681614821755323</v>
      </c>
      <c r="BJ194" s="386">
        <f t="shared" si="185"/>
        <v>7.5000953146731586</v>
      </c>
      <c r="BK194" s="386">
        <f t="shared" si="186"/>
        <v>1.6785823659735297</v>
      </c>
      <c r="BL194" s="386">
        <f t="shared" si="187"/>
        <v>0.91664917236934984</v>
      </c>
    </row>
    <row r="195" spans="7:64" x14ac:dyDescent="0.2">
      <c r="G195">
        <v>186</v>
      </c>
      <c r="H195" s="610">
        <f t="shared" si="131"/>
        <v>45.27</v>
      </c>
      <c r="I195" s="4" t="str">
        <f t="shared" si="132"/>
        <v>BUCK</v>
      </c>
      <c r="J195">
        <f t="shared" si="170"/>
        <v>1</v>
      </c>
      <c r="K195">
        <f t="shared" si="133"/>
        <v>20</v>
      </c>
      <c r="L195" s="4">
        <f t="shared" si="134"/>
        <v>6.2832879267604245</v>
      </c>
      <c r="M195" s="4">
        <f t="shared" si="135"/>
        <v>20</v>
      </c>
      <c r="N195" s="386">
        <f t="shared" si="136"/>
        <v>0.28554599602911979</v>
      </c>
      <c r="O195" s="386">
        <f t="shared" si="172"/>
        <v>0</v>
      </c>
      <c r="P195" s="4">
        <f t="shared" si="137"/>
        <v>18.49549947319656</v>
      </c>
      <c r="Q195" s="386">
        <f t="shared" si="138"/>
        <v>20.700409619061112</v>
      </c>
      <c r="R195" s="386">
        <f t="shared" si="173"/>
        <v>1.0648763646900463</v>
      </c>
      <c r="S195" s="386">
        <f t="shared" si="174"/>
        <v>11.663352644908089</v>
      </c>
      <c r="T195" s="386">
        <f t="shared" si="175"/>
        <v>12.728229009598136</v>
      </c>
      <c r="U195" s="4">
        <f t="shared" si="139"/>
        <v>5.3391907998233084</v>
      </c>
      <c r="V195" s="386">
        <f t="shared" si="176"/>
        <v>5.7013916793835717E-2</v>
      </c>
      <c r="W195" s="386">
        <f t="shared" si="177"/>
        <v>5.7013916793835717E-2</v>
      </c>
      <c r="X195" s="386">
        <f t="shared" si="140"/>
        <v>9.3498385994858548</v>
      </c>
      <c r="Y195" s="386">
        <f t="shared" si="178"/>
        <v>0.17483896367287122</v>
      </c>
      <c r="Z195" s="603">
        <f t="shared" si="179"/>
        <v>0.17483896367287122</v>
      </c>
      <c r="AA195" s="386">
        <f t="shared" si="141"/>
        <v>11.061575215169695</v>
      </c>
      <c r="AB195" s="386">
        <f t="shared" si="142"/>
        <v>0.2324810478576273</v>
      </c>
      <c r="AC195" s="386">
        <f t="shared" si="143"/>
        <v>3.1388072981366459</v>
      </c>
      <c r="AD195">
        <f t="shared" si="144"/>
        <v>0</v>
      </c>
      <c r="AE195" s="386">
        <f t="shared" si="145"/>
        <v>3.5356842624393998</v>
      </c>
      <c r="AF195" s="386">
        <f t="shared" si="146"/>
        <v>17.497100107048063</v>
      </c>
      <c r="AG195" s="386">
        <f t="shared" si="147"/>
        <v>0.58168217309651649</v>
      </c>
      <c r="AH195" s="386">
        <f t="shared" si="148"/>
        <v>0</v>
      </c>
      <c r="AI195" s="386">
        <f t="shared" si="149"/>
        <v>0.65826203080571544</v>
      </c>
      <c r="AJ195" s="386">
        <f t="shared" si="150"/>
        <v>0</v>
      </c>
      <c r="AK195" s="386">
        <f t="shared" si="151"/>
        <v>0</v>
      </c>
      <c r="AL195" s="386">
        <f t="shared" si="152"/>
        <v>0</v>
      </c>
      <c r="AM195">
        <f t="shared" si="153"/>
        <v>0</v>
      </c>
      <c r="AN195" s="386">
        <f t="shared" si="154"/>
        <v>0</v>
      </c>
      <c r="AO195" s="386">
        <f t="shared" si="155"/>
        <v>20.700409619061112</v>
      </c>
      <c r="AP195" s="386">
        <f t="shared" si="156"/>
        <v>0.21425347919845891</v>
      </c>
      <c r="AQ195" s="386">
        <f t="shared" si="157"/>
        <v>0</v>
      </c>
      <c r="AR195" s="386">
        <f t="shared" si="158"/>
        <v>0.22384541081228709</v>
      </c>
      <c r="AS195" s="386">
        <f t="shared" si="159"/>
        <v>0.21425347919845891</v>
      </c>
      <c r="AT195" s="386">
        <f t="shared" si="160"/>
        <v>0.27500000000000002</v>
      </c>
      <c r="AU195" s="386">
        <f t="shared" si="161"/>
        <v>3.1097000000000006</v>
      </c>
      <c r="AV195" s="386">
        <f t="shared" si="162"/>
        <v>0.91844553646818394</v>
      </c>
      <c r="AW195" s="386" t="e">
        <f t="shared" si="163"/>
        <v>#VALUE!</v>
      </c>
      <c r="AX195" s="386">
        <f t="shared" si="164"/>
        <v>3.8400000000000004E-2</v>
      </c>
      <c r="AY195" s="386">
        <f t="shared" si="165"/>
        <v>0.61440000000000006</v>
      </c>
      <c r="AZ195" s="386">
        <f t="shared" si="166"/>
        <v>0.47314285714285709</v>
      </c>
      <c r="BA195" s="386">
        <f t="shared" si="180"/>
        <v>0.65280000000000005</v>
      </c>
      <c r="BB195" s="386" t="e">
        <f t="shared" si="181"/>
        <v>#VALUE!</v>
      </c>
      <c r="BC195">
        <f t="shared" si="167"/>
        <v>256</v>
      </c>
      <c r="BD195" s="604" t="e">
        <f t="shared" si="182"/>
        <v>#VALUE!</v>
      </c>
      <c r="BE195" s="614">
        <f t="shared" si="168"/>
        <v>332.26921312196998</v>
      </c>
      <c r="BF195" s="614">
        <f t="shared" si="169"/>
        <v>32.913101540285773</v>
      </c>
      <c r="BG195" s="9"/>
      <c r="BH195" s="4" t="e">
        <f t="shared" si="183"/>
        <v>#VALUE!</v>
      </c>
      <c r="BI195" s="386">
        <f t="shared" si="184"/>
        <v>12.728229009598136</v>
      </c>
      <c r="BJ195" s="386">
        <f t="shared" si="185"/>
        <v>7.5274917040574039</v>
      </c>
      <c r="BK195" s="386">
        <f t="shared" si="186"/>
        <v>1.6844630308057156</v>
      </c>
      <c r="BL195" s="386">
        <f t="shared" si="187"/>
        <v>0.91844553646818394</v>
      </c>
    </row>
    <row r="196" spans="7:64" x14ac:dyDescent="0.2">
      <c r="G196">
        <v>187</v>
      </c>
      <c r="H196" s="610">
        <f t="shared" si="131"/>
        <v>45.465000000000003</v>
      </c>
      <c r="I196" s="4" t="str">
        <f t="shared" si="132"/>
        <v>BUCK</v>
      </c>
      <c r="J196">
        <f t="shared" si="170"/>
        <v>1</v>
      </c>
      <c r="K196">
        <f t="shared" si="133"/>
        <v>20</v>
      </c>
      <c r="L196" s="4">
        <f t="shared" si="134"/>
        <v>6.256338819849212</v>
      </c>
      <c r="M196" s="4">
        <f t="shared" si="135"/>
        <v>20</v>
      </c>
      <c r="N196" s="386">
        <f t="shared" si="136"/>
        <v>0.28432289950576606</v>
      </c>
      <c r="O196" s="386">
        <f t="shared" si="172"/>
        <v>0</v>
      </c>
      <c r="P196" s="4">
        <f t="shared" si="137"/>
        <v>18.527162506754536</v>
      </c>
      <c r="Q196" s="386">
        <f t="shared" si="138"/>
        <v>20.7027690389307</v>
      </c>
      <c r="R196" s="386">
        <f t="shared" si="173"/>
        <v>1.0651398124362137</v>
      </c>
      <c r="S196" s="386">
        <f t="shared" si="174"/>
        <v>11.709407657255746</v>
      </c>
      <c r="T196" s="386">
        <f t="shared" si="175"/>
        <v>12.77454746969196</v>
      </c>
      <c r="U196" s="4">
        <f t="shared" si="139"/>
        <v>5.3483311302973364</v>
      </c>
      <c r="V196" s="386">
        <f t="shared" si="176"/>
        <v>5.7209291758615166E-2</v>
      </c>
      <c r="W196" s="386">
        <f t="shared" si="177"/>
        <v>5.7209291758615166E-2</v>
      </c>
      <c r="X196" s="386">
        <f t="shared" si="140"/>
        <v>9.3388396278255019</v>
      </c>
      <c r="Y196" s="386">
        <f t="shared" si="178"/>
        <v>0.17442785118848791</v>
      </c>
      <c r="Z196" s="603">
        <f t="shared" si="179"/>
        <v>0.17442785118848791</v>
      </c>
      <c r="AA196" s="386">
        <f t="shared" si="141"/>
        <v>11.039117521706469</v>
      </c>
      <c r="AB196" s="386">
        <f t="shared" si="142"/>
        <v>0.23153801975028887</v>
      </c>
      <c r="AC196" s="386">
        <f t="shared" si="143"/>
        <v>3.1523276741723572</v>
      </c>
      <c r="AD196">
        <f t="shared" si="144"/>
        <v>0</v>
      </c>
      <c r="AE196" s="386">
        <f t="shared" si="145"/>
        <v>3.5481730880293632</v>
      </c>
      <c r="AF196" s="386">
        <f t="shared" si="146"/>
        <v>17.514066638598266</v>
      </c>
      <c r="AG196" s="386">
        <f t="shared" si="147"/>
        <v>0.58281080742039537</v>
      </c>
      <c r="AH196" s="386">
        <f t="shared" si="148"/>
        <v>0</v>
      </c>
      <c r="AI196" s="386">
        <f t="shared" si="149"/>
        <v>0.65970777117658197</v>
      </c>
      <c r="AJ196" s="386">
        <f t="shared" si="150"/>
        <v>0</v>
      </c>
      <c r="AK196" s="386">
        <f t="shared" si="151"/>
        <v>0</v>
      </c>
      <c r="AL196" s="386">
        <f t="shared" si="152"/>
        <v>0</v>
      </c>
      <c r="AM196">
        <f t="shared" si="153"/>
        <v>0</v>
      </c>
      <c r="AN196" s="386">
        <f t="shared" si="154"/>
        <v>0</v>
      </c>
      <c r="AO196" s="386">
        <f t="shared" si="155"/>
        <v>20.7027690389307</v>
      </c>
      <c r="AP196" s="386">
        <f t="shared" si="156"/>
        <v>0.21430232293965382</v>
      </c>
      <c r="AQ196" s="386">
        <f t="shared" si="157"/>
        <v>0</v>
      </c>
      <c r="AR196" s="386">
        <f t="shared" si="158"/>
        <v>0.22389872637263078</v>
      </c>
      <c r="AS196" s="386">
        <f t="shared" si="159"/>
        <v>0.21430232293965382</v>
      </c>
      <c r="AT196" s="386">
        <f t="shared" si="160"/>
        <v>0.27500000000000002</v>
      </c>
      <c r="AU196" s="386">
        <f t="shared" si="161"/>
        <v>3.1231062500000006</v>
      </c>
      <c r="AV196" s="386">
        <f t="shared" si="162"/>
        <v>0.92022759066378224</v>
      </c>
      <c r="AW196" s="386" t="e">
        <f t="shared" si="163"/>
        <v>#VALUE!</v>
      </c>
      <c r="AX196" s="386">
        <f t="shared" si="164"/>
        <v>3.8400000000000004E-2</v>
      </c>
      <c r="AY196" s="386">
        <f t="shared" si="165"/>
        <v>0.61440000000000006</v>
      </c>
      <c r="AZ196" s="386">
        <f t="shared" si="166"/>
        <v>0.47314285714285709</v>
      </c>
      <c r="BA196" s="386">
        <f t="shared" si="180"/>
        <v>0.65280000000000005</v>
      </c>
      <c r="BB196" s="386" t="e">
        <f t="shared" si="181"/>
        <v>#VALUE!</v>
      </c>
      <c r="BC196">
        <f t="shared" si="167"/>
        <v>256</v>
      </c>
      <c r="BD196" s="604" t="e">
        <f t="shared" si="182"/>
        <v>#VALUE!</v>
      </c>
      <c r="BE196" s="614">
        <f t="shared" si="168"/>
        <v>333.56396690146818</v>
      </c>
      <c r="BF196" s="614">
        <f t="shared" si="169"/>
        <v>32.985388558829101</v>
      </c>
      <c r="BG196" s="9"/>
      <c r="BH196" s="4" t="e">
        <f t="shared" si="183"/>
        <v>#VALUE!</v>
      </c>
      <c r="BI196" s="386">
        <f t="shared" si="184"/>
        <v>12.77454746969196</v>
      </c>
      <c r="BJ196" s="386">
        <f t="shared" si="185"/>
        <v>7.5548858355785757</v>
      </c>
      <c r="BK196" s="386">
        <f t="shared" si="186"/>
        <v>1.6903328336765822</v>
      </c>
      <c r="BL196" s="386">
        <f t="shared" si="187"/>
        <v>0.92022759066378224</v>
      </c>
    </row>
    <row r="197" spans="7:64" x14ac:dyDescent="0.2">
      <c r="G197">
        <v>188</v>
      </c>
      <c r="H197" s="610">
        <f t="shared" si="131"/>
        <v>45.66</v>
      </c>
      <c r="I197" s="4" t="str">
        <f t="shared" si="132"/>
        <v>BUCK</v>
      </c>
      <c r="J197">
        <f t="shared" si="170"/>
        <v>1</v>
      </c>
      <c r="K197">
        <f t="shared" si="133"/>
        <v>20</v>
      </c>
      <c r="L197" s="4">
        <f t="shared" si="134"/>
        <v>6.2296198958485425</v>
      </c>
      <c r="M197" s="4">
        <f t="shared" si="135"/>
        <v>20</v>
      </c>
      <c r="N197" s="386">
        <f t="shared" si="136"/>
        <v>0.28311023622047249</v>
      </c>
      <c r="O197" s="386">
        <f t="shared" si="172"/>
        <v>0</v>
      </c>
      <c r="P197" s="4">
        <f t="shared" si="137"/>
        <v>18.558555448818904</v>
      </c>
      <c r="Q197" s="386">
        <f t="shared" si="138"/>
        <v>20.70511205062429</v>
      </c>
      <c r="R197" s="386">
        <f t="shared" si="173"/>
        <v>1.0654014679225878</v>
      </c>
      <c r="S197" s="386">
        <f t="shared" si="174"/>
        <v>11.755171250844493</v>
      </c>
      <c r="T197" s="386">
        <f t="shared" si="175"/>
        <v>12.82057271876708</v>
      </c>
      <c r="U197" s="4">
        <f t="shared" si="139"/>
        <v>5.3573934920730952</v>
      </c>
      <c r="V197" s="386">
        <f t="shared" si="176"/>
        <v>5.7403330057814311E-2</v>
      </c>
      <c r="W197" s="386">
        <f t="shared" si="177"/>
        <v>5.7403330057814311E-2</v>
      </c>
      <c r="X197" s="386">
        <f t="shared" si="140"/>
        <v>9.327850154828587</v>
      </c>
      <c r="Y197" s="386">
        <f t="shared" si="178"/>
        <v>0.1740175770218714</v>
      </c>
      <c r="Z197" s="603">
        <f t="shared" si="179"/>
        <v>0.1740175770218714</v>
      </c>
      <c r="AA197" s="386">
        <f t="shared" si="141"/>
        <v>11.016797613392187</v>
      </c>
      <c r="AB197" s="386">
        <f t="shared" si="142"/>
        <v>0.2306026763434432</v>
      </c>
      <c r="AC197" s="386">
        <f t="shared" si="143"/>
        <v>3.1658480502080675</v>
      </c>
      <c r="AD197">
        <f t="shared" si="144"/>
        <v>0</v>
      </c>
      <c r="AE197" s="386">
        <f t="shared" si="145"/>
        <v>3.5606707683011316</v>
      </c>
      <c r="AF197" s="386">
        <f t="shared" si="146"/>
        <v>17.530882333027719</v>
      </c>
      <c r="AG197" s="386">
        <f t="shared" si="147"/>
        <v>0.58393048721148055</v>
      </c>
      <c r="AH197" s="386">
        <f t="shared" si="148"/>
        <v>0</v>
      </c>
      <c r="AI197" s="386">
        <f t="shared" si="149"/>
        <v>0.66114277132693799</v>
      </c>
      <c r="AJ197" s="386">
        <f t="shared" si="150"/>
        <v>0</v>
      </c>
      <c r="AK197" s="386">
        <f t="shared" si="151"/>
        <v>0</v>
      </c>
      <c r="AL197" s="386">
        <f t="shared" si="152"/>
        <v>0</v>
      </c>
      <c r="AM197">
        <f t="shared" si="153"/>
        <v>0</v>
      </c>
      <c r="AN197" s="386">
        <f t="shared" si="154"/>
        <v>0</v>
      </c>
      <c r="AO197" s="386">
        <f t="shared" si="155"/>
        <v>20.70511205062429</v>
      </c>
      <c r="AP197" s="386">
        <f t="shared" si="156"/>
        <v>0.21435083251445361</v>
      </c>
      <c r="AQ197" s="386">
        <f t="shared" si="157"/>
        <v>0</v>
      </c>
      <c r="AR197" s="386">
        <f t="shared" si="158"/>
        <v>0.22395167824961648</v>
      </c>
      <c r="AS197" s="386">
        <f t="shared" si="159"/>
        <v>0.21435083251445361</v>
      </c>
      <c r="AT197" s="386">
        <f t="shared" si="160"/>
        <v>0.27500000000000002</v>
      </c>
      <c r="AU197" s="386">
        <f t="shared" si="161"/>
        <v>3.1365125000000003</v>
      </c>
      <c r="AV197" s="386">
        <f t="shared" si="162"/>
        <v>0.92199550612339032</v>
      </c>
      <c r="AW197" s="386" t="e">
        <f t="shared" si="163"/>
        <v>#VALUE!</v>
      </c>
      <c r="AX197" s="386">
        <f t="shared" si="164"/>
        <v>3.8400000000000004E-2</v>
      </c>
      <c r="AY197" s="386">
        <f t="shared" si="165"/>
        <v>0.61440000000000006</v>
      </c>
      <c r="AZ197" s="386">
        <f t="shared" si="166"/>
        <v>0.47314285714285709</v>
      </c>
      <c r="BA197" s="386">
        <f t="shared" si="180"/>
        <v>0.65280000000000005</v>
      </c>
      <c r="BB197" s="386" t="e">
        <f t="shared" si="181"/>
        <v>#VALUE!</v>
      </c>
      <c r="BC197">
        <f t="shared" si="167"/>
        <v>256</v>
      </c>
      <c r="BD197" s="604" t="e">
        <f t="shared" si="182"/>
        <v>#VALUE!</v>
      </c>
      <c r="BE197" s="614">
        <f t="shared" si="168"/>
        <v>334.85916341505657</v>
      </c>
      <c r="BF197" s="614">
        <f t="shared" si="169"/>
        <v>33.0571385663469</v>
      </c>
      <c r="BG197" s="9"/>
      <c r="BH197" s="4" t="e">
        <f t="shared" si="183"/>
        <v>#VALUE!</v>
      </c>
      <c r="BI197" s="386">
        <f t="shared" si="184"/>
        <v>12.82057271876708</v>
      </c>
      <c r="BJ197" s="386">
        <f t="shared" si="185"/>
        <v>7.5822777178776857</v>
      </c>
      <c r="BK197" s="386">
        <f t="shared" si="186"/>
        <v>1.6961918963269382</v>
      </c>
      <c r="BL197" s="386">
        <f t="shared" si="187"/>
        <v>0.92199550612339032</v>
      </c>
    </row>
    <row r="198" spans="7:64" x14ac:dyDescent="0.2">
      <c r="G198">
        <v>189</v>
      </c>
      <c r="H198" s="610">
        <f t="shared" si="131"/>
        <v>45.854999999999997</v>
      </c>
      <c r="I198" s="4" t="str">
        <f t="shared" si="132"/>
        <v>BUCK</v>
      </c>
      <c r="J198">
        <f t="shared" si="170"/>
        <v>1</v>
      </c>
      <c r="K198">
        <f t="shared" si="133"/>
        <v>20</v>
      </c>
      <c r="L198" s="4">
        <f t="shared" si="134"/>
        <v>6.2031282181756504</v>
      </c>
      <c r="M198" s="4">
        <f t="shared" si="135"/>
        <v>20</v>
      </c>
      <c r="N198" s="386">
        <f t="shared" si="136"/>
        <v>0.28190787324403793</v>
      </c>
      <c r="O198" s="386">
        <f t="shared" si="172"/>
        <v>0</v>
      </c>
      <c r="P198" s="4">
        <f t="shared" si="137"/>
        <v>18.589681740607645</v>
      </c>
      <c r="Q198" s="386">
        <f t="shared" si="138"/>
        <v>20.707438814785622</v>
      </c>
      <c r="R198" s="386">
        <f t="shared" si="173"/>
        <v>1.0656613482629489</v>
      </c>
      <c r="S198" s="386">
        <f t="shared" si="174"/>
        <v>11.800645903022357</v>
      </c>
      <c r="T198" s="386">
        <f t="shared" si="175"/>
        <v>12.866307251285306</v>
      </c>
      <c r="U198" s="4">
        <f t="shared" si="139"/>
        <v>5.3663788785446478</v>
      </c>
      <c r="V198" s="386">
        <f t="shared" si="176"/>
        <v>5.7596044536180224E-2</v>
      </c>
      <c r="W198" s="386">
        <f t="shared" si="177"/>
        <v>5.7596044536180224E-2</v>
      </c>
      <c r="X198" s="386">
        <f t="shared" si="140"/>
        <v>9.3168707768944934</v>
      </c>
      <c r="Y198" s="386">
        <f t="shared" si="178"/>
        <v>0.17360816214670122</v>
      </c>
      <c r="Z198" s="603">
        <f t="shared" si="179"/>
        <v>0.17360816214670122</v>
      </c>
      <c r="AA198" s="386">
        <f t="shared" si="141"/>
        <v>10.99461406820844</v>
      </c>
      <c r="AB198" s="386">
        <f t="shared" si="142"/>
        <v>0.22967492316680918</v>
      </c>
      <c r="AC198" s="386">
        <f t="shared" si="143"/>
        <v>3.1793684262437787</v>
      </c>
      <c r="AD198">
        <f t="shared" si="144"/>
        <v>0</v>
      </c>
      <c r="AE198" s="386">
        <f t="shared" si="145"/>
        <v>3.5731771886641552</v>
      </c>
      <c r="AF198" s="386">
        <f t="shared" si="146"/>
        <v>17.547549223730453</v>
      </c>
      <c r="AG198" s="386">
        <f t="shared" si="147"/>
        <v>0.58504131914256208</v>
      </c>
      <c r="AH198" s="386">
        <f t="shared" si="148"/>
        <v>0</v>
      </c>
      <c r="AI198" s="386">
        <f t="shared" si="149"/>
        <v>0.66256715117086895</v>
      </c>
      <c r="AJ198" s="386">
        <f t="shared" si="150"/>
        <v>0</v>
      </c>
      <c r="AK198" s="386">
        <f t="shared" si="151"/>
        <v>0</v>
      </c>
      <c r="AL198" s="386">
        <f t="shared" si="152"/>
        <v>0</v>
      </c>
      <c r="AM198">
        <f t="shared" si="153"/>
        <v>0</v>
      </c>
      <c r="AN198" s="386">
        <f t="shared" si="154"/>
        <v>0</v>
      </c>
      <c r="AO198" s="386">
        <f t="shared" si="155"/>
        <v>20.707438814785622</v>
      </c>
      <c r="AP198" s="386">
        <f t="shared" si="156"/>
        <v>0.21439901113404508</v>
      </c>
      <c r="AQ198" s="386">
        <f t="shared" si="157"/>
        <v>0</v>
      </c>
      <c r="AR198" s="386">
        <f t="shared" si="158"/>
        <v>0.22400426992645209</v>
      </c>
      <c r="AS198" s="386">
        <f t="shared" si="159"/>
        <v>0.21439901113404508</v>
      </c>
      <c r="AT198" s="386">
        <f t="shared" si="160"/>
        <v>0.27500000000000002</v>
      </c>
      <c r="AU198" s="386">
        <f t="shared" si="161"/>
        <v>3.1499187500000003</v>
      </c>
      <c r="AV198" s="386">
        <f t="shared" si="162"/>
        <v>0.92374945127772956</v>
      </c>
      <c r="AW198" s="386" t="e">
        <f t="shared" si="163"/>
        <v>#VALUE!</v>
      </c>
      <c r="AX198" s="386">
        <f t="shared" si="164"/>
        <v>3.8400000000000004E-2</v>
      </c>
      <c r="AY198" s="386">
        <f t="shared" si="165"/>
        <v>0.61440000000000006</v>
      </c>
      <c r="AZ198" s="386">
        <f t="shared" si="166"/>
        <v>0.47314285714285709</v>
      </c>
      <c r="BA198" s="386">
        <f t="shared" si="180"/>
        <v>0.65280000000000005</v>
      </c>
      <c r="BB198" s="386" t="e">
        <f t="shared" si="181"/>
        <v>#VALUE!</v>
      </c>
      <c r="BC198">
        <f t="shared" si="167"/>
        <v>256</v>
      </c>
      <c r="BD198" s="604" t="e">
        <f t="shared" si="182"/>
        <v>#VALUE!</v>
      </c>
      <c r="BE198" s="614">
        <f t="shared" si="168"/>
        <v>336.15479693320776</v>
      </c>
      <c r="BF198" s="614">
        <f t="shared" si="169"/>
        <v>33.128357558543449</v>
      </c>
      <c r="BG198" s="9"/>
      <c r="BH198" s="4" t="e">
        <f t="shared" si="183"/>
        <v>#VALUE!</v>
      </c>
      <c r="BI198" s="386">
        <f t="shared" si="184"/>
        <v>12.866307251285306</v>
      </c>
      <c r="BJ198" s="386">
        <f t="shared" si="185"/>
        <v>7.6096673597614766</v>
      </c>
      <c r="BK198" s="386">
        <f t="shared" si="186"/>
        <v>1.7020403386708689</v>
      </c>
      <c r="BL198" s="386">
        <f t="shared" si="187"/>
        <v>0.92374945127772956</v>
      </c>
    </row>
    <row r="199" spans="7:64" x14ac:dyDescent="0.2">
      <c r="G199">
        <v>190</v>
      </c>
      <c r="H199" s="610">
        <f t="shared" si="131"/>
        <v>46.05</v>
      </c>
      <c r="I199" s="4" t="str">
        <f t="shared" si="132"/>
        <v>BUCK</v>
      </c>
      <c r="J199">
        <f t="shared" si="170"/>
        <v>1</v>
      </c>
      <c r="K199">
        <f t="shared" si="133"/>
        <v>20</v>
      </c>
      <c r="L199" s="4">
        <f t="shared" si="134"/>
        <v>6.1768608999879362</v>
      </c>
      <c r="M199" s="4">
        <f t="shared" si="135"/>
        <v>20</v>
      </c>
      <c r="N199" s="386">
        <f t="shared" si="136"/>
        <v>0.28071567989590113</v>
      </c>
      <c r="O199" s="386">
        <f t="shared" si="172"/>
        <v>0</v>
      </c>
      <c r="P199" s="4">
        <f t="shared" si="137"/>
        <v>18.620544765126873</v>
      </c>
      <c r="Q199" s="386">
        <f t="shared" si="138"/>
        <v>20.709749490175906</v>
      </c>
      <c r="R199" s="386">
        <f t="shared" si="173"/>
        <v>1.0659194703771815</v>
      </c>
      <c r="S199" s="386">
        <f t="shared" si="174"/>
        <v>11.845834069123741</v>
      </c>
      <c r="T199" s="386">
        <f t="shared" si="175"/>
        <v>12.911753539500923</v>
      </c>
      <c r="U199" s="4">
        <f t="shared" si="139"/>
        <v>5.3752882663017383</v>
      </c>
      <c r="V199" s="386">
        <f t="shared" si="176"/>
        <v>5.7787447891682296E-2</v>
      </c>
      <c r="W199" s="386">
        <f t="shared" si="177"/>
        <v>5.7787447891682296E-2</v>
      </c>
      <c r="X199" s="386">
        <f t="shared" si="140"/>
        <v>9.3059020701922073</v>
      </c>
      <c r="Y199" s="386">
        <f t="shared" si="178"/>
        <v>0.17319962668001523</v>
      </c>
      <c r="Z199" s="603">
        <f t="shared" si="179"/>
        <v>0.17319962668001523</v>
      </c>
      <c r="AA199" s="386">
        <f t="shared" si="141"/>
        <v>10.972565484905603</v>
      </c>
      <c r="AB199" s="386">
        <f t="shared" si="142"/>
        <v>0.2287546673090293</v>
      </c>
      <c r="AC199" s="386">
        <f t="shared" si="143"/>
        <v>3.1928888022794903</v>
      </c>
      <c r="AD199">
        <f t="shared" si="144"/>
        <v>0</v>
      </c>
      <c r="AE199" s="386">
        <f t="shared" si="145"/>
        <v>3.5856922365158708</v>
      </c>
      <c r="AF199" s="386">
        <f t="shared" si="146"/>
        <v>17.56406930711956</v>
      </c>
      <c r="AG199" s="386">
        <f t="shared" si="147"/>
        <v>0.58614340818806887</v>
      </c>
      <c r="AH199" s="386">
        <f t="shared" si="148"/>
        <v>0</v>
      </c>
      <c r="AI199" s="386">
        <f t="shared" si="149"/>
        <v>0.66398102883022225</v>
      </c>
      <c r="AJ199" s="386">
        <f t="shared" si="150"/>
        <v>0</v>
      </c>
      <c r="AK199" s="386">
        <f t="shared" si="151"/>
        <v>0</v>
      </c>
      <c r="AL199" s="386">
        <f t="shared" si="152"/>
        <v>0</v>
      </c>
      <c r="AM199">
        <f t="shared" si="153"/>
        <v>0</v>
      </c>
      <c r="AN199" s="386">
        <f t="shared" si="154"/>
        <v>0</v>
      </c>
      <c r="AO199" s="386">
        <f t="shared" si="155"/>
        <v>20.709749490175906</v>
      </c>
      <c r="AP199" s="386">
        <f t="shared" si="156"/>
        <v>0.21444686197292059</v>
      </c>
      <c r="AQ199" s="386">
        <f t="shared" si="157"/>
        <v>0</v>
      </c>
      <c r="AR199" s="386">
        <f t="shared" si="158"/>
        <v>0.22405650484672054</v>
      </c>
      <c r="AS199" s="386">
        <f t="shared" si="159"/>
        <v>0.21444686197292059</v>
      </c>
      <c r="AT199" s="386">
        <f t="shared" si="160"/>
        <v>0.27500000000000002</v>
      </c>
      <c r="AU199" s="386">
        <f t="shared" si="161"/>
        <v>3.1633250000000004</v>
      </c>
      <c r="AV199" s="386">
        <f t="shared" si="162"/>
        <v>0.92548959187589819</v>
      </c>
      <c r="AW199" s="386" t="e">
        <f t="shared" si="163"/>
        <v>#VALUE!</v>
      </c>
      <c r="AX199" s="386">
        <f t="shared" si="164"/>
        <v>3.8400000000000004E-2</v>
      </c>
      <c r="AY199" s="386">
        <f t="shared" si="165"/>
        <v>0.61440000000000006</v>
      </c>
      <c r="AZ199" s="386">
        <f t="shared" si="166"/>
        <v>0.47314285714285709</v>
      </c>
      <c r="BA199" s="386">
        <f t="shared" si="180"/>
        <v>0.65280000000000005</v>
      </c>
      <c r="BB199" s="386" t="e">
        <f t="shared" si="181"/>
        <v>#VALUE!</v>
      </c>
      <c r="BC199">
        <f t="shared" si="167"/>
        <v>256</v>
      </c>
      <c r="BD199" s="604" t="e">
        <f t="shared" si="182"/>
        <v>#VALUE!</v>
      </c>
      <c r="BE199" s="614">
        <f t="shared" si="168"/>
        <v>337.45086182579354</v>
      </c>
      <c r="BF199" s="614">
        <f t="shared" si="169"/>
        <v>33.199051441511109</v>
      </c>
      <c r="BG199" s="9"/>
      <c r="BH199" s="4" t="e">
        <f t="shared" si="183"/>
        <v>#VALUE!</v>
      </c>
      <c r="BI199" s="386">
        <f t="shared" si="184"/>
        <v>12.911753539500923</v>
      </c>
      <c r="BJ199" s="386">
        <f t="shared" si="185"/>
        <v>7.6370547701928144</v>
      </c>
      <c r="BK199" s="386">
        <f t="shared" si="186"/>
        <v>1.7078782788302225</v>
      </c>
      <c r="BL199" s="386">
        <f t="shared" si="187"/>
        <v>0.92548959187589819</v>
      </c>
    </row>
    <row r="200" spans="7:64" x14ac:dyDescent="0.2">
      <c r="G200">
        <v>191</v>
      </c>
      <c r="H200" s="610">
        <f t="shared" si="131"/>
        <v>46.244999999999997</v>
      </c>
      <c r="I200" s="4" t="str">
        <f t="shared" si="132"/>
        <v>BUCK</v>
      </c>
      <c r="J200">
        <f t="shared" si="170"/>
        <v>1</v>
      </c>
      <c r="K200">
        <f t="shared" si="133"/>
        <v>20</v>
      </c>
      <c r="L200" s="4">
        <f t="shared" si="134"/>
        <v>6.1508151031342724</v>
      </c>
      <c r="M200" s="4">
        <f t="shared" si="135"/>
        <v>20</v>
      </c>
      <c r="N200" s="386">
        <f t="shared" si="136"/>
        <v>0.27953352769679302</v>
      </c>
      <c r="O200" s="386">
        <f t="shared" si="172"/>
        <v>0</v>
      </c>
      <c r="P200" s="4">
        <f t="shared" si="137"/>
        <v>18.651147848396501</v>
      </c>
      <c r="Q200" s="386">
        <f t="shared" si="138"/>
        <v>20.712044233695575</v>
      </c>
      <c r="R200" s="386">
        <f t="shared" si="173"/>
        <v>1.0661758509933679</v>
      </c>
      <c r="S200" s="386">
        <f t="shared" si="174"/>
        <v>11.890738182536365</v>
      </c>
      <c r="T200" s="386">
        <f t="shared" si="175"/>
        <v>12.956914033529733</v>
      </c>
      <c r="U200" s="4">
        <f t="shared" si="139"/>
        <v>5.3841226154836148</v>
      </c>
      <c r="V200" s="386">
        <f t="shared" si="176"/>
        <v>5.7977552677124247E-2</v>
      </c>
      <c r="W200" s="386">
        <f t="shared" si="177"/>
        <v>5.7977552677124247E-2</v>
      </c>
      <c r="X200" s="386">
        <f t="shared" si="140"/>
        <v>9.2949445912880648</v>
      </c>
      <c r="Y200" s="386">
        <f t="shared" si="178"/>
        <v>0.17279198991023051</v>
      </c>
      <c r="Z200" s="603">
        <f t="shared" si="179"/>
        <v>0.17279198991023051</v>
      </c>
      <c r="AA200" s="386">
        <f t="shared" si="141"/>
        <v>10.950650482608273</v>
      </c>
      <c r="AB200" s="386">
        <f t="shared" si="142"/>
        <v>0.22784181738527273</v>
      </c>
      <c r="AC200" s="386">
        <f t="shared" si="143"/>
        <v>3.2064091783152016</v>
      </c>
      <c r="AD200">
        <f t="shared" si="144"/>
        <v>0</v>
      </c>
      <c r="AE200" s="386">
        <f t="shared" si="145"/>
        <v>3.598215801198362</v>
      </c>
      <c r="AF200" s="386">
        <f t="shared" si="146"/>
        <v>17.580444543478226</v>
      </c>
      <c r="AG200" s="386">
        <f t="shared" si="147"/>
        <v>0.58723685765799538</v>
      </c>
      <c r="AH200" s="386">
        <f t="shared" si="148"/>
        <v>0</v>
      </c>
      <c r="AI200" s="386">
        <f t="shared" si="149"/>
        <v>0.66538452066830023</v>
      </c>
      <c r="AJ200" s="386">
        <f t="shared" si="150"/>
        <v>0</v>
      </c>
      <c r="AK200" s="386">
        <f t="shared" si="151"/>
        <v>0</v>
      </c>
      <c r="AL200" s="386">
        <f t="shared" si="152"/>
        <v>0</v>
      </c>
      <c r="AM200">
        <f t="shared" si="153"/>
        <v>0</v>
      </c>
      <c r="AN200" s="386">
        <f t="shared" si="154"/>
        <v>0</v>
      </c>
      <c r="AO200" s="386">
        <f t="shared" si="155"/>
        <v>20.712044233695575</v>
      </c>
      <c r="AP200" s="386">
        <f t="shared" si="156"/>
        <v>0.2144943881692811</v>
      </c>
      <c r="AQ200" s="386">
        <f t="shared" si="157"/>
        <v>0</v>
      </c>
      <c r="AR200" s="386">
        <f t="shared" si="158"/>
        <v>0.22410838641481104</v>
      </c>
      <c r="AS200" s="386">
        <f t="shared" si="159"/>
        <v>0.2144943881692811</v>
      </c>
      <c r="AT200" s="386">
        <f t="shared" si="160"/>
        <v>0.27500000000000002</v>
      </c>
      <c r="AU200" s="386">
        <f t="shared" si="161"/>
        <v>3.1767312500000005</v>
      </c>
      <c r="AV200" s="386">
        <f t="shared" si="162"/>
        <v>0.92721609103894009</v>
      </c>
      <c r="AW200" s="386" t="e">
        <f t="shared" si="163"/>
        <v>#VALUE!</v>
      </c>
      <c r="AX200" s="386">
        <f t="shared" si="164"/>
        <v>3.8400000000000004E-2</v>
      </c>
      <c r="AY200" s="386">
        <f t="shared" si="165"/>
        <v>0.61440000000000006</v>
      </c>
      <c r="AZ200" s="386">
        <f t="shared" si="166"/>
        <v>0.47314285714285709</v>
      </c>
      <c r="BA200" s="386">
        <f t="shared" si="180"/>
        <v>0.65280000000000005</v>
      </c>
      <c r="BB200" s="386" t="e">
        <f t="shared" si="181"/>
        <v>#VALUE!</v>
      </c>
      <c r="BC200">
        <f t="shared" si="167"/>
        <v>256</v>
      </c>
      <c r="BD200" s="604" t="e">
        <f t="shared" si="182"/>
        <v>#VALUE!</v>
      </c>
      <c r="BE200" s="614">
        <f t="shared" si="168"/>
        <v>338.74735255991811</v>
      </c>
      <c r="BF200" s="614">
        <f t="shared" si="169"/>
        <v>33.269226033415009</v>
      </c>
      <c r="BG200" s="9"/>
      <c r="BH200" s="4" t="e">
        <f t="shared" si="183"/>
        <v>#VALUE!</v>
      </c>
      <c r="BI200" s="386">
        <f t="shared" si="184"/>
        <v>12.956914033529733</v>
      </c>
      <c r="BJ200" s="386">
        <f t="shared" si="185"/>
        <v>7.6644399582814744</v>
      </c>
      <c r="BK200" s="386">
        <f t="shared" si="186"/>
        <v>1.7137058331683004</v>
      </c>
      <c r="BL200" s="386">
        <f t="shared" si="187"/>
        <v>0.92721609103894009</v>
      </c>
    </row>
    <row r="201" spans="7:64" x14ac:dyDescent="0.2">
      <c r="G201">
        <v>192</v>
      </c>
      <c r="H201" s="610">
        <f t="shared" ref="H201:H209" si="188">VIN_min+(VIN_max-VIN_min)*(G201/200)</f>
        <v>46.44</v>
      </c>
      <c r="I201" s="4" t="str">
        <f t="shared" ref="I201:I209" si="189">IF(H201&gt;VIN_BB_to_buck, "BUCK", IF(H201&lt;VIN_boost_to_BB,"BOOST","BUCK-BST"))</f>
        <v>BUCK</v>
      </c>
      <c r="J201">
        <f t="shared" si="170"/>
        <v>1</v>
      </c>
      <c r="K201">
        <f t="shared" ref="K201:K209" si="190">Iout</f>
        <v>20</v>
      </c>
      <c r="L201" s="4">
        <f t="shared" ref="L201:L209" si="191">Vout*K201/(H201*Efficiency)</f>
        <v>6.1249880371327396</v>
      </c>
      <c r="M201" s="4">
        <f t="shared" ref="M201:M209" si="192">Iout/(1-O201)</f>
        <v>20</v>
      </c>
      <c r="N201" s="386">
        <f t="shared" ref="N201:N209" si="193">CHOOSE(J201,(Vout+(Rdson2+Rs+Rdcr)*K201)/(H201+(Rs+Rdson2-Rdson1)*K201),1,IF(H201&lt;Vout,D_max_buck_BB,Vout/H201*(1-D_min_boost_exitBB_to_buck)))</f>
        <v>0.27836129032258067</v>
      </c>
      <c r="O201" s="386">
        <f t="shared" si="172"/>
        <v>0</v>
      </c>
      <c r="P201" s="4">
        <f t="shared" ref="P201:P209" si="194">MAX(0, CHOOSE(J201, (H201-(Rdson1+Rdcr)*K201-Vout)*N201/(Fsw*Lf), (H201-(Rdson4+Rdcr+Rs)*L201)*O201/(Fsw*Lf), IF(H201&lt;Vout, (H201-(Rdson4+Rdcr+Rs)*L201)*O201/(0.5*Fsw*Lf),(H201-(Rdson1+Rdcr)*K201-Vout)*N201/(0.5*Fsw*Lf))))</f>
        <v>18.681494260645167</v>
      </c>
      <c r="Q201" s="386">
        <f t="shared" ref="Q201:Q209" si="195">CHOOSE(J201, SQRT(K201^2+(P201^2)/12), SQRT(L201^2+(P201^2)/12), SQRT(M201^2+(P201^2)/12))</f>
        <v>20.714323200405957</v>
      </c>
      <c r="R201" s="386">
        <f t="shared" si="173"/>
        <v>1.0664305066498758</v>
      </c>
      <c r="S201" s="386">
        <f t="shared" si="174"/>
        <v>11.935360654775948</v>
      </c>
      <c r="T201" s="386">
        <f t="shared" si="175"/>
        <v>13.001791161425825</v>
      </c>
      <c r="U201" s="4">
        <f t="shared" ref="U201:U209" si="196">IF(H201&gt;Vout, P201/SQRT(12), SQRT(O201/(1-O201))*SQRT(K201^2+(P201^2)/12))</f>
        <v>5.3928828701239677</v>
      </c>
      <c r="V201" s="386">
        <f t="shared" si="176"/>
        <v>5.8166371301753048E-2</v>
      </c>
      <c r="W201" s="386">
        <f t="shared" si="177"/>
        <v>5.8166371301753048E-2</v>
      </c>
      <c r="X201" s="386">
        <f t="shared" ref="X201:X209" si="197">IF(H201&gt;Vout, SQRT(N201*(1-N201))*SQRT(K201^2+(P201^2)/12), P201/SQRT(12))</f>
        <v>9.2839988777524951</v>
      </c>
      <c r="Y201" s="386">
        <f t="shared" si="178"/>
        <v>0.17238527032421916</v>
      </c>
      <c r="Z201" s="603">
        <f t="shared" si="179"/>
        <v>0.17238527032421916</v>
      </c>
      <c r="AA201" s="386">
        <f t="shared" ref="AA201:AA209" si="198">CHOOSE(J201, SQRT(N201)*SQRT(K201^2+(P201^2)/12), SQRT(L201^2+(P201^2)/12), SQRT(N201)*SQRT(M201^2+(P201^2)/12))</f>
        <v>10.928867700429967</v>
      </c>
      <c r="AB201" s="386">
        <f t="shared" ref="AB201:AB209" si="199">Rdson1*AA201^2</f>
        <v>0.22693628350565262</v>
      </c>
      <c r="AC201" s="386">
        <f t="shared" ref="AC201:AC209" si="200">CHOOSE(J201, (H201*K201/2)*(Fsw)*(Tr_buck+Tf_buck), 0, (H201*M201/2)*(Fsw/2)*(Tr_buck+Tf_buck))</f>
        <v>3.2199295543509128</v>
      </c>
      <c r="AD201">
        <f t="shared" ref="AD201:AD209" si="201">IF(H201&gt;Vout, IF(K201&gt;P201/2,0,ABS(K201-P201/2)*Vsd_Q1*Deadtime*Fsw),0)</f>
        <v>0</v>
      </c>
      <c r="AE201" s="386">
        <f t="shared" ref="AE201:AE209" si="202">(AD201+AC201+AB201*(1+RdsonTopTc*Ta-RdsonTopTc*25))/(1-AB201*RdsonTopTc*ThetaJA_Q1)</f>
        <v>3.6107477739561489</v>
      </c>
      <c r="AF201" s="386">
        <f t="shared" ref="AF201:AF209" si="203">CHOOSE(J201, SQRT((1-N201))*SQRT(K201^2+(P201^2)/12), 0, SQRT((1-N201))*SQRT(M201^2+(P201^2)/12))</f>
        <v>17.596676857786957</v>
      </c>
      <c r="AG201" s="386">
        <f t="shared" ref="AG201:AG209" si="204">Rdson2*AF201^2</f>
        <v>0.58832176923101254</v>
      </c>
      <c r="AH201" s="386">
        <f t="shared" ref="AH201:AH209" si="205">CHOOSE(J201, IF(K201&lt;P201/2,Deadtime*Fsw*IF(VfdSky_Q2&gt;0,0,Vsd_Q2)*(K201+P201/2),2*Deadtime*Fsw*IF(VfdSky_Q2&gt;0,0,Vsd_Q2)*K201),0, IF(K201&lt;P201/2,Deadtime*Fsw/2*IF(VfdSky_Q2&gt;0,0,Vsd_Q2)*(K201+P201/2),2*Deadtime*Fsw/2*IF(VfdSky_Q2&gt;0,0,Vsd_Q2)*K201))</f>
        <v>0</v>
      </c>
      <c r="AI201" s="386">
        <f t="shared" ref="AI201:AI209" si="206">(AH201+AG201*(1+RdsonBotTc*Ta-RdsonBotTc*25))/(1-AG201*RdsonBotTc*ThetaJA_Q2)</f>
        <v>0.66677774132278889</v>
      </c>
      <c r="AJ201" s="386">
        <f t="shared" ref="AJ201:AJ209" si="207">CHOOSE(J201, 0, SQRT(O201)*SQRT(L201^2+(P201^2)/12), SQRT(O201)*SQRT(M201^2+(P201^2)/12))</f>
        <v>0</v>
      </c>
      <c r="AK201" s="386">
        <f t="shared" ref="AK201:AK209" si="208">Rdson4*AJ201^2</f>
        <v>0</v>
      </c>
      <c r="AL201" s="386">
        <f t="shared" ref="AL201:AL209" si="209">CHOOSE(J201, 0, (Vout*L201/2)*(Fsw)*(Tr_boost+Tf_boost), (Vout*Iout/2)*(Fsw/2)*(Tr_boost+Tf_boost))</f>
        <v>0</v>
      </c>
      <c r="AM201">
        <f t="shared" ref="AM201:AM209" si="210">IF(H201&gt;Vout, 0, IF(L201&gt;P201/2,0,ABS(L201-P201/2)*Vsd_Q4*Deadtime*Fsw))</f>
        <v>0</v>
      </c>
      <c r="AN201" s="386">
        <f t="shared" ref="AN201:AN209" si="211">(AM201+AL201+AK201*(1+RdsonTopTc*Ta-RdsonTopTc*25))/(1-AK201*RdsonTopTc*ThetaJA_Q4)</f>
        <v>0</v>
      </c>
      <c r="AO201" s="386">
        <f t="shared" ref="AO201:AO209" si="212">CHOOSE(J201, SQRT(Iout^2+(P201^2)/12), SQRT(1-O201)*SQRT(L201^2+(P201^2)/12), SQRT(1-O201)*SQRT(M201^2+(P201^2)/12))</f>
        <v>20.714323200405957</v>
      </c>
      <c r="AP201" s="386">
        <f t="shared" ref="AP201:AP209" si="213">Rdson3*AO201^2</f>
        <v>0.21454159282543825</v>
      </c>
      <c r="AQ201" s="386">
        <f t="shared" ref="AQ201:AQ209" si="214">CHOOSE(J201, 0, IF(L201&lt;P201/2,Deadtime*Fsw*IF(VfdSky_Q3&gt;0,0,Vsd_Q3)*(L201+P201/2), 2*Deadtime*Fsw*IF(VfdSky_Q3&gt;0,0,Vsd_Q3)*L201), IF(L201&lt;P201/2,Deadtime*Fsw/2*IF(VfdSky_Q3&gt;0,0,Vsd_Q3)*(L201+P201/2), 2*Deadtime*Fsw/2*IF(VfdSky_Q3&gt;0,0,Vsd_Q3)*L201))</f>
        <v>0</v>
      </c>
      <c r="AR201" s="386">
        <f t="shared" ref="AR201:AR209" si="215">(AQ201+AP201*(1+RdsonBotTc*Ta-RdsonBotTc*25))/(1-AP201*RdsonBotTc*ThetaJA_Q3)</f>
        <v>0.22415991799634954</v>
      </c>
      <c r="AS201" s="386">
        <f t="shared" ref="AS201:AS209" si="216">CHOOSE(J201, Rdson3*Q201^2, Rdson1*Q201^2, 0)</f>
        <v>0.21454159282543825</v>
      </c>
      <c r="AT201" s="386">
        <f t="shared" ref="AT201:AT209" si="217">CHOOSE(J201, 2*Deadtime*Fsw*IF(VfdSky_Q2&gt;0,VfdSky_Q2,0)*K201, 2*Deadtime*Fsw*IF(VfdSky_Q3&gt;0,VfdSky_Q3,0)*L201, 2*Deadtime*Fsw/2*IF(VfdSky_Q2&gt;0,VfdSky_Q2,0)*K201+2*Deadtime*Fsw/2*IF(VfdSky_Q3&gt;0,VfdSky_Q3,0)*L201)</f>
        <v>0.27500000000000002</v>
      </c>
      <c r="AU201" s="386">
        <f t="shared" ref="AU201:AU209" si="218">CHOOSE(J201, IF(QrrSky_Q2&gt;0,QrrSky_Q2,Qrr_Q2)*Fsw*(H201-K201*Rdson1), IF(QrrSky_Q3&gt;0,QrrSky_Q3,Qrr_Q3)*Fsw*Vout,  IF(QrrSky_Q2&gt;0,QrrSky_Q2,Qrr_Q2)*Fsw/2*(H201-K201*Rdson1)+IF(QrrSky_Q3&gt;0,QrrSky_Q3,Qrr_Q3)*Fsw/2*Vout)</f>
        <v>3.1901375000000005</v>
      </c>
      <c r="AV201" s="386">
        <f t="shared" ref="AV201:AV209" si="219">CHOOSE(J201, Rs*AF201^2, Rs*AJ201^2, Rs*(AF201^2+AJ201^2))</f>
        <v>0.92892910931212513</v>
      </c>
      <c r="AW201" s="386" t="e">
        <f t="shared" ref="AW201:AW209" si="220">Rshunt_std/1000*Iout^2</f>
        <v>#VALUE!</v>
      </c>
      <c r="AX201" s="386">
        <f t="shared" ref="AX201:AX209" si="221">IF(Vout&gt;8, Iq*Vout, Iq*H201)</f>
        <v>3.8400000000000004E-2</v>
      </c>
      <c r="AY201" s="386">
        <f t="shared" ref="AY201:AY209" si="222">CHOOSE(J201, (Qg_Q1+Qg_Q2)*Fsw, (Qg_Q3+Qg_Q4)*Fsw, (Qg_Q1+Qg_Q2+Qg_Q3+Qg_Q4)*Fsw/2)*IF(Vout&gt;8, Vout, H201)</f>
        <v>0.61440000000000006</v>
      </c>
      <c r="AZ201" s="386">
        <f t="shared" ref="AZ201:AZ209" si="223">(Vin-Vdd)*Fsw*(Qg_Q1+Qg_Q2)+(RdsonDRT+RdsonDRT2)*Fsw*Qg_Q1*Vdd/(RdsonDRT+2*Rgate1+RdsonDRT2)+(RdsonDRB+RdsonDRB2)*Fsw*Qg_Q2*Vdd/(RdsonDRB+2*Rgate2+RdsonDRB2)</f>
        <v>0.47314285714285709</v>
      </c>
      <c r="BA201" s="386">
        <f t="shared" si="180"/>
        <v>0.65280000000000005</v>
      </c>
      <c r="BB201" s="386" t="e">
        <f t="shared" si="181"/>
        <v>#VALUE!</v>
      </c>
      <c r="BC201">
        <f t="shared" ref="BC201:BC209" si="224">Vout*K201</f>
        <v>256</v>
      </c>
      <c r="BD201" s="604" t="e">
        <f t="shared" si="182"/>
        <v>#VALUE!</v>
      </c>
      <c r="BE201" s="614">
        <f t="shared" ref="BE201:BE209" si="225">IF(H201&gt;Vout,ThetaJA_Q1*(AE201+AU201),ThetaJA_Q4*(AN201+AU201))</f>
        <v>340.04426369780748</v>
      </c>
      <c r="BF201" s="614">
        <f t="shared" ref="BF201:BF209" si="226">IF(H201&gt;Vout, AI201*ThetaJA_Q2, ThetaJA_Q3*AR201)</f>
        <v>33.338887066139442</v>
      </c>
      <c r="BG201" s="9"/>
      <c r="BH201" s="4" t="e">
        <f t="shared" si="183"/>
        <v>#VALUE!</v>
      </c>
      <c r="BI201" s="386">
        <f t="shared" si="184"/>
        <v>13.001791161425825</v>
      </c>
      <c r="BJ201" s="386">
        <f t="shared" si="185"/>
        <v>7.6918229332752874</v>
      </c>
      <c r="BK201" s="386">
        <f t="shared" si="186"/>
        <v>1.7195231163227891</v>
      </c>
      <c r="BL201" s="386">
        <f t="shared" si="187"/>
        <v>0.92892910931212513</v>
      </c>
    </row>
    <row r="202" spans="7:64" x14ac:dyDescent="0.2">
      <c r="G202">
        <v>193</v>
      </c>
      <c r="H202" s="610">
        <f t="shared" si="188"/>
        <v>46.634999999999998</v>
      </c>
      <c r="I202" s="4" t="str">
        <f t="shared" si="189"/>
        <v>BUCK</v>
      </c>
      <c r="J202">
        <f t="shared" ref="J202:J209" si="227">IF(I202="BOOST",2, IF(I202="BUCK", 1,3))</f>
        <v>1</v>
      </c>
      <c r="K202">
        <f t="shared" si="190"/>
        <v>20</v>
      </c>
      <c r="L202" s="4">
        <f t="shared" si="191"/>
        <v>6.0993769581739992</v>
      </c>
      <c r="M202" s="4">
        <f t="shared" si="192"/>
        <v>20</v>
      </c>
      <c r="N202" s="386">
        <f t="shared" si="193"/>
        <v>0.2771988435592676</v>
      </c>
      <c r="O202" s="386">
        <f t="shared" ref="O202:O209" si="228">CHOOSE(J202,0,(Vout+(Rdson3+Rdcr)*L202-H202)/(Vout+(Rdson3-Rdson4-Rs)*L202),IF(H202&gt;Vout,D_min_boost_exitBB_to_buck, (Vout-H202*D_max_buck_BB)/Vout))</f>
        <v>0</v>
      </c>
      <c r="P202" s="4">
        <f t="shared" si="194"/>
        <v>18.711587217475103</v>
      </c>
      <c r="Q202" s="386">
        <f t="shared" si="195"/>
        <v>20.716586543550832</v>
      </c>
      <c r="R202" s="386">
        <f t="shared" si="173"/>
        <v>1.0666834536974452</v>
      </c>
      <c r="S202" s="386">
        <f t="shared" si="174"/>
        <v>11.979703875568154</v>
      </c>
      <c r="T202" s="386">
        <f t="shared" si="175"/>
        <v>13.046387329265599</v>
      </c>
      <c r="U202" s="4">
        <f t="shared" si="196"/>
        <v>5.4015699584872054</v>
      </c>
      <c r="V202" s="386">
        <f t="shared" si="176"/>
        <v>5.835391603286294E-2</v>
      </c>
      <c r="W202" s="386">
        <f t="shared" si="177"/>
        <v>5.835391603286294E-2</v>
      </c>
      <c r="X202" s="386">
        <f t="shared" si="197"/>
        <v>9.2730654487465696</v>
      </c>
      <c r="Y202" s="386">
        <f t="shared" si="178"/>
        <v>0.17197948563347484</v>
      </c>
      <c r="Z202" s="603">
        <f t="shared" si="179"/>
        <v>0.17197948563347484</v>
      </c>
      <c r="AA202" s="386">
        <f t="shared" si="198"/>
        <v>10.907215797096852</v>
      </c>
      <c r="AB202" s="386">
        <f t="shared" si="199"/>
        <v>0.22603797724443431</v>
      </c>
      <c r="AC202" s="386">
        <f t="shared" si="200"/>
        <v>3.2334499303866235</v>
      </c>
      <c r="AD202">
        <f t="shared" si="201"/>
        <v>0</v>
      </c>
      <c r="AE202" s="386">
        <f t="shared" si="202"/>
        <v>3.6232880478950857</v>
      </c>
      <c r="AF202" s="386">
        <f t="shared" si="203"/>
        <v>17.612768140527834</v>
      </c>
      <c r="AG202" s="386">
        <f t="shared" si="204"/>
        <v>0.58939824298678534</v>
      </c>
      <c r="AH202" s="386">
        <f t="shared" si="205"/>
        <v>0</v>
      </c>
      <c r="AI202" s="386">
        <f t="shared" si="206"/>
        <v>0.66816080373794151</v>
      </c>
      <c r="AJ202" s="386">
        <f t="shared" si="207"/>
        <v>0</v>
      </c>
      <c r="AK202" s="386">
        <f t="shared" si="208"/>
        <v>0</v>
      </c>
      <c r="AL202" s="386">
        <f t="shared" si="209"/>
        <v>0</v>
      </c>
      <c r="AM202">
        <f t="shared" si="210"/>
        <v>0</v>
      </c>
      <c r="AN202" s="386">
        <f t="shared" si="211"/>
        <v>0</v>
      </c>
      <c r="AO202" s="386">
        <f t="shared" si="212"/>
        <v>20.716586543550832</v>
      </c>
      <c r="AP202" s="386">
        <f t="shared" si="213"/>
        <v>0.2145884790082157</v>
      </c>
      <c r="AQ202" s="386">
        <f t="shared" si="214"/>
        <v>0</v>
      </c>
      <c r="AR202" s="386">
        <f t="shared" si="215"/>
        <v>0.22421110291862831</v>
      </c>
      <c r="AS202" s="386">
        <f t="shared" si="216"/>
        <v>0.2145884790082157</v>
      </c>
      <c r="AT202" s="386">
        <f t="shared" si="217"/>
        <v>0.27500000000000002</v>
      </c>
      <c r="AU202" s="386">
        <f t="shared" si="218"/>
        <v>3.2035437500000001</v>
      </c>
      <c r="AV202" s="386">
        <f t="shared" si="219"/>
        <v>0.93062880471597687</v>
      </c>
      <c r="AW202" s="386" t="e">
        <f t="shared" si="220"/>
        <v>#VALUE!</v>
      </c>
      <c r="AX202" s="386">
        <f t="shared" si="221"/>
        <v>3.8400000000000004E-2</v>
      </c>
      <c r="AY202" s="386">
        <f t="shared" si="222"/>
        <v>0.61440000000000006</v>
      </c>
      <c r="AZ202" s="386">
        <f t="shared" si="223"/>
        <v>0.47314285714285709</v>
      </c>
      <c r="BA202" s="386">
        <f t="shared" si="180"/>
        <v>0.65280000000000005</v>
      </c>
      <c r="BB202" s="386" t="e">
        <f t="shared" si="181"/>
        <v>#VALUE!</v>
      </c>
      <c r="BC202">
        <f t="shared" si="224"/>
        <v>256</v>
      </c>
      <c r="BD202" s="604" t="e">
        <f t="shared" si="182"/>
        <v>#VALUE!</v>
      </c>
      <c r="BE202" s="614">
        <f t="shared" si="225"/>
        <v>341.34158989475429</v>
      </c>
      <c r="BF202" s="614">
        <f t="shared" si="226"/>
        <v>33.408040186897075</v>
      </c>
      <c r="BG202" s="9"/>
      <c r="BH202" s="4" t="e">
        <f t="shared" si="183"/>
        <v>#VALUE!</v>
      </c>
      <c r="BI202" s="386">
        <f t="shared" si="184"/>
        <v>13.046387329265599</v>
      </c>
      <c r="BJ202" s="386">
        <f t="shared" si="185"/>
        <v>7.7192037045516564</v>
      </c>
      <c r="BK202" s="386">
        <f t="shared" si="186"/>
        <v>1.7253302412379417</v>
      </c>
      <c r="BL202" s="386">
        <f t="shared" si="187"/>
        <v>0.93062880471597687</v>
      </c>
    </row>
    <row r="203" spans="7:64" x14ac:dyDescent="0.2">
      <c r="G203">
        <v>194</v>
      </c>
      <c r="H203" s="610">
        <f t="shared" si="188"/>
        <v>46.83</v>
      </c>
      <c r="I203" s="4" t="str">
        <f t="shared" si="189"/>
        <v>BUCK</v>
      </c>
      <c r="J203">
        <f t="shared" si="227"/>
        <v>1</v>
      </c>
      <c r="K203">
        <f t="shared" si="190"/>
        <v>20</v>
      </c>
      <c r="L203" s="4">
        <f t="shared" si="191"/>
        <v>6.0739791681495721</v>
      </c>
      <c r="M203" s="4">
        <f t="shared" si="192"/>
        <v>20</v>
      </c>
      <c r="N203" s="386">
        <f t="shared" si="193"/>
        <v>0.27604606525911712</v>
      </c>
      <c r="O203" s="386">
        <f t="shared" si="228"/>
        <v>0</v>
      </c>
      <c r="P203" s="4">
        <f t="shared" si="194"/>
        <v>18.741429880998087</v>
      </c>
      <c r="Q203" s="386">
        <f t="shared" si="195"/>
        <v>20.718834414577895</v>
      </c>
      <c r="R203" s="386">
        <f t="shared" si="173"/>
        <v>1.0669347083012661</v>
      </c>
      <c r="S203" s="386">
        <f t="shared" si="174"/>
        <v>12.023770212937229</v>
      </c>
      <c r="T203" s="386">
        <f t="shared" si="175"/>
        <v>13.090704921238496</v>
      </c>
      <c r="U203" s="4">
        <f t="shared" si="196"/>
        <v>5.4101847933963709</v>
      </c>
      <c r="V203" s="386">
        <f t="shared" si="176"/>
        <v>5.8540198997394668E-2</v>
      </c>
      <c r="W203" s="386">
        <f t="shared" si="177"/>
        <v>5.8540198997394668E-2</v>
      </c>
      <c r="X203" s="386">
        <f t="shared" si="197"/>
        <v>9.2621448055890614</v>
      </c>
      <c r="Y203" s="386">
        <f t="shared" si="178"/>
        <v>0.17157465279940087</v>
      </c>
      <c r="Z203" s="603">
        <f t="shared" si="179"/>
        <v>0.17157465279940087</v>
      </c>
      <c r="AA203" s="386">
        <f t="shared" si="198"/>
        <v>10.88569345058022</v>
      </c>
      <c r="AB203" s="386">
        <f t="shared" si="199"/>
        <v>0.22514681161000968</v>
      </c>
      <c r="AC203" s="386">
        <f t="shared" si="200"/>
        <v>3.2469703064223348</v>
      </c>
      <c r="AD203">
        <f t="shared" si="201"/>
        <v>0</v>
      </c>
      <c r="AE203" s="386">
        <f t="shared" si="202"/>
        <v>3.6358365179423355</v>
      </c>
      <c r="AF203" s="386">
        <f t="shared" si="203"/>
        <v>17.628720248466486</v>
      </c>
      <c r="AG203" s="386">
        <f t="shared" si="204"/>
        <v>0.59046637743751529</v>
      </c>
      <c r="AH203" s="386">
        <f t="shared" si="205"/>
        <v>0</v>
      </c>
      <c r="AI203" s="386">
        <f t="shared" si="206"/>
        <v>0.66953381919603239</v>
      </c>
      <c r="AJ203" s="386">
        <f t="shared" si="207"/>
        <v>0</v>
      </c>
      <c r="AK203" s="386">
        <f t="shared" si="208"/>
        <v>0</v>
      </c>
      <c r="AL203" s="386">
        <f t="shared" si="209"/>
        <v>0</v>
      </c>
      <c r="AM203">
        <f t="shared" si="210"/>
        <v>0</v>
      </c>
      <c r="AN203" s="386">
        <f t="shared" si="211"/>
        <v>0</v>
      </c>
      <c r="AO203" s="386">
        <f t="shared" si="212"/>
        <v>20.718834414577895</v>
      </c>
      <c r="AP203" s="386">
        <f t="shared" si="213"/>
        <v>0.21463504974934866</v>
      </c>
      <c r="AQ203" s="386">
        <f t="shared" si="214"/>
        <v>0</v>
      </c>
      <c r="AR203" s="386">
        <f t="shared" si="215"/>
        <v>0.22426194447103387</v>
      </c>
      <c r="AS203" s="386">
        <f t="shared" si="216"/>
        <v>0.21463504974934866</v>
      </c>
      <c r="AT203" s="386">
        <f t="shared" si="217"/>
        <v>0.27500000000000002</v>
      </c>
      <c r="AU203" s="386">
        <f t="shared" si="218"/>
        <v>3.2169500000000002</v>
      </c>
      <c r="AV203" s="386">
        <f t="shared" si="219"/>
        <v>0.93231533279607681</v>
      </c>
      <c r="AW203" s="386" t="e">
        <f t="shared" si="220"/>
        <v>#VALUE!</v>
      </c>
      <c r="AX203" s="386">
        <f t="shared" si="221"/>
        <v>3.8400000000000004E-2</v>
      </c>
      <c r="AY203" s="386">
        <f t="shared" si="222"/>
        <v>0.61440000000000006</v>
      </c>
      <c r="AZ203" s="386">
        <f t="shared" si="223"/>
        <v>0.47314285714285709</v>
      </c>
      <c r="BA203" s="386">
        <f t="shared" si="180"/>
        <v>0.65280000000000005</v>
      </c>
      <c r="BB203" s="386" t="e">
        <f t="shared" si="181"/>
        <v>#VALUE!</v>
      </c>
      <c r="BC203">
        <f t="shared" si="224"/>
        <v>256</v>
      </c>
      <c r="BD203" s="604" t="e">
        <f t="shared" si="182"/>
        <v>#VALUE!</v>
      </c>
      <c r="BE203" s="614">
        <f t="shared" si="225"/>
        <v>342.63932589711681</v>
      </c>
      <c r="BF203" s="614">
        <f t="shared" si="226"/>
        <v>33.476690959801623</v>
      </c>
      <c r="BG203" s="9"/>
      <c r="BH203" s="4" t="e">
        <f t="shared" si="183"/>
        <v>#VALUE!</v>
      </c>
      <c r="BI203" s="386">
        <f t="shared" si="184"/>
        <v>13.090704921238496</v>
      </c>
      <c r="BJ203" s="386">
        <f t="shared" si="185"/>
        <v>7.7465822816094025</v>
      </c>
      <c r="BK203" s="386">
        <f t="shared" si="186"/>
        <v>1.7311273191960326</v>
      </c>
      <c r="BL203" s="386">
        <f t="shared" si="187"/>
        <v>0.93231533279607681</v>
      </c>
    </row>
    <row r="204" spans="7:64" x14ac:dyDescent="0.2">
      <c r="G204">
        <v>195</v>
      </c>
      <c r="H204" s="610">
        <f t="shared" si="188"/>
        <v>47.024999999999999</v>
      </c>
      <c r="I204" s="4" t="str">
        <f t="shared" si="189"/>
        <v>BUCK</v>
      </c>
      <c r="J204">
        <f t="shared" si="227"/>
        <v>1</v>
      </c>
      <c r="K204">
        <f t="shared" si="190"/>
        <v>20</v>
      </c>
      <c r="L204" s="4">
        <f t="shared" si="191"/>
        <v>6.0487920137042943</v>
      </c>
      <c r="M204" s="4">
        <f t="shared" si="192"/>
        <v>20</v>
      </c>
      <c r="N204" s="386">
        <f t="shared" si="193"/>
        <v>0.27490283529786558</v>
      </c>
      <c r="O204" s="386">
        <f t="shared" si="228"/>
        <v>0</v>
      </c>
      <c r="P204" s="4">
        <f t="shared" si="194"/>
        <v>18.771025360942975</v>
      </c>
      <c r="Q204" s="386">
        <f t="shared" si="195"/>
        <v>20.721066963160069</v>
      </c>
      <c r="R204" s="386">
        <f t="shared" si="173"/>
        <v>1.0671842864430501</v>
      </c>
      <c r="S204" s="386">
        <f t="shared" si="174"/>
        <v>12.067562013300991</v>
      </c>
      <c r="T204" s="386">
        <f t="shared" si="175"/>
        <v>13.134746299744041</v>
      </c>
      <c r="U204" s="4">
        <f t="shared" si="196"/>
        <v>5.41872827255286</v>
      </c>
      <c r="V204" s="386">
        <f t="shared" si="176"/>
        <v>5.8725232183527404E-2</v>
      </c>
      <c r="W204" s="386">
        <f t="shared" si="177"/>
        <v>5.8725232183527404E-2</v>
      </c>
      <c r="X204" s="386">
        <f t="shared" si="197"/>
        <v>9.2512374323047553</v>
      </c>
      <c r="Y204" s="386">
        <f t="shared" si="178"/>
        <v>0.17117078805775335</v>
      </c>
      <c r="Z204" s="603">
        <f t="shared" si="179"/>
        <v>0.17117078805775335</v>
      </c>
      <c r="AA204" s="386">
        <f t="shared" si="198"/>
        <v>10.864299357737469</v>
      </c>
      <c r="AB204" s="386">
        <f t="shared" si="199"/>
        <v>0.22426270101561607</v>
      </c>
      <c r="AC204" s="386">
        <f t="shared" si="200"/>
        <v>3.2604906824580464</v>
      </c>
      <c r="AD204">
        <f t="shared" si="201"/>
        <v>0</v>
      </c>
      <c r="AE204" s="386">
        <f t="shared" si="202"/>
        <v>3.6483930808073719</v>
      </c>
      <c r="AF204" s="386">
        <f t="shared" si="203"/>
        <v>17.64453500541255</v>
      </c>
      <c r="AG204" s="386">
        <f t="shared" si="204"/>
        <v>0.59152626955873489</v>
      </c>
      <c r="AH204" s="386">
        <f t="shared" si="205"/>
        <v>0</v>
      </c>
      <c r="AI204" s="386">
        <f t="shared" si="206"/>
        <v>0.67089689734810576</v>
      </c>
      <c r="AJ204" s="386">
        <f t="shared" si="207"/>
        <v>0</v>
      </c>
      <c r="AK204" s="386">
        <f t="shared" si="208"/>
        <v>0</v>
      </c>
      <c r="AL204" s="386">
        <f t="shared" si="209"/>
        <v>0</v>
      </c>
      <c r="AM204">
        <f t="shared" si="210"/>
        <v>0</v>
      </c>
      <c r="AN204" s="386">
        <f t="shared" si="211"/>
        <v>0</v>
      </c>
      <c r="AO204" s="386">
        <f t="shared" si="212"/>
        <v>20.721066963160069</v>
      </c>
      <c r="AP204" s="386">
        <f t="shared" si="213"/>
        <v>0.21468130804588181</v>
      </c>
      <c r="AQ204" s="386">
        <f t="shared" si="214"/>
        <v>0</v>
      </c>
      <c r="AR204" s="386">
        <f t="shared" si="215"/>
        <v>0.22431244590547345</v>
      </c>
      <c r="AS204" s="386">
        <f t="shared" si="216"/>
        <v>0.21468130804588181</v>
      </c>
      <c r="AT204" s="386">
        <f t="shared" si="217"/>
        <v>0.27500000000000002</v>
      </c>
      <c r="AU204" s="386">
        <f t="shared" si="218"/>
        <v>3.2303562500000003</v>
      </c>
      <c r="AV204" s="386">
        <f t="shared" si="219"/>
        <v>0.93398884667168658</v>
      </c>
      <c r="AW204" s="386" t="e">
        <f t="shared" si="220"/>
        <v>#VALUE!</v>
      </c>
      <c r="AX204" s="386">
        <f t="shared" si="221"/>
        <v>3.8400000000000004E-2</v>
      </c>
      <c r="AY204" s="386">
        <f t="shared" si="222"/>
        <v>0.61440000000000006</v>
      </c>
      <c r="AZ204" s="386">
        <f t="shared" si="223"/>
        <v>0.47314285714285709</v>
      </c>
      <c r="BA204" s="386">
        <f t="shared" si="180"/>
        <v>0.65280000000000005</v>
      </c>
      <c r="BB204" s="386" t="e">
        <f t="shared" si="181"/>
        <v>#VALUE!</v>
      </c>
      <c r="BC204">
        <f t="shared" si="224"/>
        <v>256</v>
      </c>
      <c r="BD204" s="604" t="e">
        <f t="shared" si="182"/>
        <v>#VALUE!</v>
      </c>
      <c r="BE204" s="614">
        <f t="shared" si="225"/>
        <v>343.93746654036858</v>
      </c>
      <c r="BF204" s="614">
        <f t="shared" si="226"/>
        <v>33.544844867405288</v>
      </c>
      <c r="BG204" s="9"/>
      <c r="BH204" s="4" t="e">
        <f t="shared" si="183"/>
        <v>#VALUE!</v>
      </c>
      <c r="BI204" s="386">
        <f t="shared" si="184"/>
        <v>13.134746299744041</v>
      </c>
      <c r="BJ204" s="386">
        <f t="shared" si="185"/>
        <v>7.7739586740609514</v>
      </c>
      <c r="BK204" s="386">
        <f t="shared" si="186"/>
        <v>1.7369144598481059</v>
      </c>
      <c r="BL204" s="386">
        <f t="shared" si="187"/>
        <v>0.93398884667168658</v>
      </c>
    </row>
    <row r="205" spans="7:64" x14ac:dyDescent="0.2">
      <c r="G205">
        <v>196</v>
      </c>
      <c r="H205" s="610">
        <f t="shared" si="188"/>
        <v>47.22</v>
      </c>
      <c r="I205" s="4" t="str">
        <f t="shared" si="189"/>
        <v>BUCK</v>
      </c>
      <c r="J205">
        <f t="shared" si="227"/>
        <v>1</v>
      </c>
      <c r="K205">
        <f t="shared" si="190"/>
        <v>20</v>
      </c>
      <c r="L205" s="4">
        <f t="shared" si="191"/>
        <v>6.0238128853122506</v>
      </c>
      <c r="M205" s="4">
        <f t="shared" si="192"/>
        <v>20</v>
      </c>
      <c r="N205" s="386">
        <f t="shared" si="193"/>
        <v>0.27376903553299492</v>
      </c>
      <c r="O205" s="386">
        <f t="shared" si="228"/>
        <v>0</v>
      </c>
      <c r="P205" s="4">
        <f t="shared" si="194"/>
        <v>18.800376715736043</v>
      </c>
      <c r="Q205" s="386">
        <f t="shared" si="195"/>
        <v>20.723284337216736</v>
      </c>
      <c r="R205" s="386">
        <f t="shared" si="173"/>
        <v>1.0674322039230975</v>
      </c>
      <c r="S205" s="386">
        <f t="shared" si="174"/>
        <v>12.111081601571813</v>
      </c>
      <c r="T205" s="386">
        <f t="shared" si="175"/>
        <v>13.17851380549491</v>
      </c>
      <c r="U205" s="4">
        <f t="shared" si="196"/>
        <v>5.4272012788482886</v>
      </c>
      <c r="V205" s="386">
        <f t="shared" si="176"/>
        <v>5.8909027442264998E-2</v>
      </c>
      <c r="W205" s="386">
        <f t="shared" si="177"/>
        <v>5.8909027442264998E-2</v>
      </c>
      <c r="X205" s="386">
        <f t="shared" si="197"/>
        <v>9.2403437961547166</v>
      </c>
      <c r="Y205" s="386">
        <f t="shared" si="178"/>
        <v>0.17076790694226993</v>
      </c>
      <c r="Z205" s="603">
        <f t="shared" si="179"/>
        <v>0.17076790694226993</v>
      </c>
      <c r="AA205" s="386">
        <f t="shared" si="198"/>
        <v>10.843032233961392</v>
      </c>
      <c r="AB205" s="386">
        <f t="shared" si="199"/>
        <v>0.22338556125077896</v>
      </c>
      <c r="AC205" s="386">
        <f t="shared" si="200"/>
        <v>3.2740110584937576</v>
      </c>
      <c r="AD205">
        <f t="shared" si="201"/>
        <v>0</v>
      </c>
      <c r="AE205" s="386">
        <f t="shared" si="202"/>
        <v>3.6609576349439945</v>
      </c>
      <c r="AF205" s="386">
        <f t="shared" si="203"/>
        <v>17.660214202959338</v>
      </c>
      <c r="AG205" s="386">
        <f t="shared" si="204"/>
        <v>0.59257801481937278</v>
      </c>
      <c r="AH205" s="386">
        <f t="shared" si="205"/>
        <v>0</v>
      </c>
      <c r="AI205" s="386">
        <f t="shared" si="206"/>
        <v>0.67225014624403778</v>
      </c>
      <c r="AJ205" s="386">
        <f t="shared" si="207"/>
        <v>0</v>
      </c>
      <c r="AK205" s="386">
        <f t="shared" si="208"/>
        <v>0</v>
      </c>
      <c r="AL205" s="386">
        <f t="shared" si="209"/>
        <v>0</v>
      </c>
      <c r="AM205">
        <f t="shared" si="210"/>
        <v>0</v>
      </c>
      <c r="AN205" s="386">
        <f t="shared" si="211"/>
        <v>0</v>
      </c>
      <c r="AO205" s="386">
        <f t="shared" si="212"/>
        <v>20.723284337216736</v>
      </c>
      <c r="AP205" s="386">
        <f t="shared" si="213"/>
        <v>0.21472725686056626</v>
      </c>
      <c r="AQ205" s="386">
        <f t="shared" si="214"/>
        <v>0</v>
      </c>
      <c r="AR205" s="386">
        <f t="shared" si="215"/>
        <v>0.22436261043680025</v>
      </c>
      <c r="AS205" s="386">
        <f t="shared" si="216"/>
        <v>0.21472725686056626</v>
      </c>
      <c r="AT205" s="386">
        <f t="shared" si="217"/>
        <v>0.27500000000000002</v>
      </c>
      <c r="AU205" s="386">
        <f t="shared" si="218"/>
        <v>3.2437625000000003</v>
      </c>
      <c r="AV205" s="386">
        <f t="shared" si="219"/>
        <v>0.93564949708322021</v>
      </c>
      <c r="AW205" s="386" t="e">
        <f t="shared" si="220"/>
        <v>#VALUE!</v>
      </c>
      <c r="AX205" s="386">
        <f t="shared" si="221"/>
        <v>3.8400000000000004E-2</v>
      </c>
      <c r="AY205" s="386">
        <f t="shared" si="222"/>
        <v>0.61440000000000006</v>
      </c>
      <c r="AZ205" s="386">
        <f t="shared" si="223"/>
        <v>0.47314285714285709</v>
      </c>
      <c r="BA205" s="386">
        <f t="shared" si="180"/>
        <v>0.65280000000000005</v>
      </c>
      <c r="BB205" s="386" t="e">
        <f t="shared" si="181"/>
        <v>#VALUE!</v>
      </c>
      <c r="BC205">
        <f t="shared" si="224"/>
        <v>256</v>
      </c>
      <c r="BD205" s="604" t="e">
        <f t="shared" si="182"/>
        <v>#VALUE!</v>
      </c>
      <c r="BE205" s="614">
        <f t="shared" si="225"/>
        <v>345.23600674719972</v>
      </c>
      <c r="BF205" s="614">
        <f t="shared" si="226"/>
        <v>33.612507312201892</v>
      </c>
      <c r="BG205" s="9"/>
      <c r="BH205" s="4" t="e">
        <f t="shared" si="183"/>
        <v>#VALUE!</v>
      </c>
      <c r="BI205" s="386">
        <f t="shared" si="184"/>
        <v>13.17851380549491</v>
      </c>
      <c r="BJ205" s="386">
        <f t="shared" si="185"/>
        <v>7.801332891624833</v>
      </c>
      <c r="BK205" s="386">
        <f t="shared" si="186"/>
        <v>1.742691771244038</v>
      </c>
      <c r="BL205" s="386">
        <f t="shared" si="187"/>
        <v>0.93564949708322021</v>
      </c>
    </row>
    <row r="206" spans="7:64" x14ac:dyDescent="0.2">
      <c r="G206">
        <v>197</v>
      </c>
      <c r="H206" s="610">
        <f t="shared" si="188"/>
        <v>47.414999999999999</v>
      </c>
      <c r="I206" s="4" t="str">
        <f t="shared" si="189"/>
        <v>BUCK</v>
      </c>
      <c r="J206">
        <f t="shared" si="227"/>
        <v>1</v>
      </c>
      <c r="K206">
        <f t="shared" si="190"/>
        <v>20</v>
      </c>
      <c r="L206" s="4">
        <f t="shared" si="191"/>
        <v>5.9990392163755031</v>
      </c>
      <c r="M206" s="4">
        <f t="shared" si="192"/>
        <v>20</v>
      </c>
      <c r="N206" s="386">
        <f t="shared" si="193"/>
        <v>0.27264454976303321</v>
      </c>
      <c r="O206" s="386">
        <f t="shared" si="228"/>
        <v>0</v>
      </c>
      <c r="P206" s="4">
        <f t="shared" si="194"/>
        <v>18.829486953554504</v>
      </c>
      <c r="Q206" s="386">
        <f t="shared" si="195"/>
        <v>20.725486682934772</v>
      </c>
      <c r="R206" s="386">
        <f t="shared" si="173"/>
        <v>1.0676784763623499</v>
      </c>
      <c r="S206" s="386">
        <f t="shared" si="174"/>
        <v>12.154331281262872</v>
      </c>
      <c r="T206" s="386">
        <f t="shared" si="175"/>
        <v>13.222009757625221</v>
      </c>
      <c r="U206" s="4">
        <f t="shared" si="196"/>
        <v>5.4356046806686198</v>
      </c>
      <c r="V206" s="386">
        <f t="shared" si="176"/>
        <v>5.9091596489013215E-2</v>
      </c>
      <c r="W206" s="386">
        <f t="shared" si="177"/>
        <v>5.9091596489013215E-2</v>
      </c>
      <c r="X206" s="386">
        <f t="shared" si="197"/>
        <v>9.229464348149115</v>
      </c>
      <c r="Y206" s="386">
        <f t="shared" si="178"/>
        <v>0.17036602430751113</v>
      </c>
      <c r="Z206" s="603">
        <f t="shared" si="179"/>
        <v>0.17036602430751113</v>
      </c>
      <c r="AA206" s="386">
        <f t="shared" si="198"/>
        <v>10.821890812837477</v>
      </c>
      <c r="AB206" s="386">
        <f t="shared" si="199"/>
        <v>0.22251530945345477</v>
      </c>
      <c r="AC206" s="386">
        <f t="shared" si="200"/>
        <v>3.2875314345294688</v>
      </c>
      <c r="AD206">
        <f t="shared" si="201"/>
        <v>0</v>
      </c>
      <c r="AE206" s="386">
        <f t="shared" si="202"/>
        <v>3.6735300805133231</v>
      </c>
      <c r="AF206" s="386">
        <f t="shared" si="203"/>
        <v>17.675759601203293</v>
      </c>
      <c r="AG206" s="386">
        <f t="shared" si="204"/>
        <v>0.59362170721110774</v>
      </c>
      <c r="AH206" s="386">
        <f t="shared" si="205"/>
        <v>0</v>
      </c>
      <c r="AI206" s="386">
        <f t="shared" si="206"/>
        <v>0.6735936723619248</v>
      </c>
      <c r="AJ206" s="386">
        <f t="shared" si="207"/>
        <v>0</v>
      </c>
      <c r="AK206" s="386">
        <f t="shared" si="208"/>
        <v>0</v>
      </c>
      <c r="AL206" s="386">
        <f t="shared" si="209"/>
        <v>0</v>
      </c>
      <c r="AM206">
        <f t="shared" si="210"/>
        <v>0</v>
      </c>
      <c r="AN206" s="386">
        <f t="shared" si="211"/>
        <v>0</v>
      </c>
      <c r="AO206" s="386">
        <f t="shared" si="212"/>
        <v>20.725486682934772</v>
      </c>
      <c r="AP206" s="386">
        <f t="shared" si="213"/>
        <v>0.21477289912225328</v>
      </c>
      <c r="AQ206" s="386">
        <f t="shared" si="214"/>
        <v>0</v>
      </c>
      <c r="AR206" s="386">
        <f t="shared" si="215"/>
        <v>0.22441244124323567</v>
      </c>
      <c r="AS206" s="386">
        <f t="shared" si="216"/>
        <v>0.21477289912225328</v>
      </c>
      <c r="AT206" s="386">
        <f t="shared" si="217"/>
        <v>0.27500000000000002</v>
      </c>
      <c r="AU206" s="386">
        <f t="shared" si="218"/>
        <v>3.2571687500000004</v>
      </c>
      <c r="AV206" s="386">
        <f t="shared" si="219"/>
        <v>0.9372974324385912</v>
      </c>
      <c r="AW206" s="386" t="e">
        <f t="shared" si="220"/>
        <v>#VALUE!</v>
      </c>
      <c r="AX206" s="386">
        <f t="shared" si="221"/>
        <v>3.8400000000000004E-2</v>
      </c>
      <c r="AY206" s="386">
        <f t="shared" si="222"/>
        <v>0.61440000000000006</v>
      </c>
      <c r="AZ206" s="386">
        <f t="shared" si="223"/>
        <v>0.47314285714285709</v>
      </c>
      <c r="BA206" s="386">
        <f t="shared" si="180"/>
        <v>0.65280000000000005</v>
      </c>
      <c r="BB206" s="386" t="e">
        <f t="shared" si="181"/>
        <v>#VALUE!</v>
      </c>
      <c r="BC206">
        <f t="shared" si="224"/>
        <v>256</v>
      </c>
      <c r="BD206" s="604" t="e">
        <f t="shared" si="182"/>
        <v>#VALUE!</v>
      </c>
      <c r="BE206" s="614">
        <f t="shared" si="225"/>
        <v>346.53494152566617</v>
      </c>
      <c r="BF206" s="614">
        <f t="shared" si="226"/>
        <v>33.679683618096242</v>
      </c>
      <c r="BG206" s="9"/>
      <c r="BH206" s="4" t="e">
        <f t="shared" si="183"/>
        <v>#VALUE!</v>
      </c>
      <c r="BI206" s="386">
        <f t="shared" si="184"/>
        <v>13.222009757625221</v>
      </c>
      <c r="BJ206" s="386">
        <f t="shared" si="185"/>
        <v>7.8287049441184848</v>
      </c>
      <c r="BK206" s="386">
        <f t="shared" si="186"/>
        <v>1.7484593598619251</v>
      </c>
      <c r="BL206" s="386">
        <f t="shared" si="187"/>
        <v>0.9372974324385912</v>
      </c>
    </row>
    <row r="207" spans="7:64" x14ac:dyDescent="0.2">
      <c r="G207">
        <v>198</v>
      </c>
      <c r="H207" s="610">
        <f t="shared" si="188"/>
        <v>47.61</v>
      </c>
      <c r="I207" s="4" t="str">
        <f t="shared" si="189"/>
        <v>BUCK</v>
      </c>
      <c r="J207">
        <f t="shared" si="227"/>
        <v>1</v>
      </c>
      <c r="K207">
        <f t="shared" si="190"/>
        <v>20</v>
      </c>
      <c r="L207" s="4">
        <f t="shared" si="191"/>
        <v>5.9744684823449781</v>
      </c>
      <c r="M207" s="4">
        <f t="shared" si="192"/>
        <v>20</v>
      </c>
      <c r="N207" s="386">
        <f t="shared" si="193"/>
        <v>0.27152926368785402</v>
      </c>
      <c r="O207" s="386">
        <f t="shared" si="228"/>
        <v>0</v>
      </c>
      <c r="P207" s="4">
        <f t="shared" si="194"/>
        <v>18.858359033354315</v>
      </c>
      <c r="Q207" s="386">
        <f t="shared" si="195"/>
        <v>20.727674144789489</v>
      </c>
      <c r="R207" s="386">
        <f t="shared" si="173"/>
        <v>1.0679231192044385</v>
      </c>
      <c r="S207" s="386">
        <f t="shared" si="174"/>
        <v>12.197313334599926</v>
      </c>
      <c r="T207" s="386">
        <f t="shared" si="175"/>
        <v>13.265236453804365</v>
      </c>
      <c r="U207" s="4">
        <f t="shared" si="196"/>
        <v>5.4439393321908627</v>
      </c>
      <c r="V207" s="386">
        <f t="shared" si="176"/>
        <v>5.9272950905149398E-2</v>
      </c>
      <c r="W207" s="386">
        <f t="shared" si="177"/>
        <v>5.9272950905149398E-2</v>
      </c>
      <c r="X207" s="386">
        <f t="shared" si="197"/>
        <v>9.2185995235432987</v>
      </c>
      <c r="Y207" s="386">
        <f t="shared" si="178"/>
        <v>0.16996515435094545</v>
      </c>
      <c r="Z207" s="603">
        <f t="shared" si="179"/>
        <v>0.16996515435094545</v>
      </c>
      <c r="AA207" s="386">
        <f t="shared" si="198"/>
        <v>10.800873845809068</v>
      </c>
      <c r="AB207" s="386">
        <f t="shared" si="199"/>
        <v>0.2216518640828565</v>
      </c>
      <c r="AC207" s="386">
        <f t="shared" si="200"/>
        <v>3.30105181056518</v>
      </c>
      <c r="AD207">
        <f t="shared" si="201"/>
        <v>0</v>
      </c>
      <c r="AE207" s="386">
        <f t="shared" si="202"/>
        <v>3.686110319347732</v>
      </c>
      <c r="AF207" s="386">
        <f t="shared" si="203"/>
        <v>17.691172929444004</v>
      </c>
      <c r="AG207" s="386">
        <f t="shared" si="204"/>
        <v>0.59465743927703552</v>
      </c>
      <c r="AH207" s="386">
        <f t="shared" si="205"/>
        <v>0</v>
      </c>
      <c r="AI207" s="386">
        <f t="shared" si="206"/>
        <v>0.67492758063682312</v>
      </c>
      <c r="AJ207" s="386">
        <f t="shared" si="207"/>
        <v>0</v>
      </c>
      <c r="AK207" s="386">
        <f t="shared" si="208"/>
        <v>0</v>
      </c>
      <c r="AL207" s="386">
        <f t="shared" si="209"/>
        <v>0</v>
      </c>
      <c r="AM207">
        <f t="shared" si="210"/>
        <v>0</v>
      </c>
      <c r="AN207" s="386">
        <f t="shared" si="211"/>
        <v>0</v>
      </c>
      <c r="AO207" s="386">
        <f t="shared" si="212"/>
        <v>20.727674144789489</v>
      </c>
      <c r="AP207" s="386">
        <f t="shared" si="213"/>
        <v>0.21481823772628736</v>
      </c>
      <c r="AQ207" s="386">
        <f t="shared" si="214"/>
        <v>0</v>
      </c>
      <c r="AR207" s="386">
        <f t="shared" si="215"/>
        <v>0.22446194146679077</v>
      </c>
      <c r="AS207" s="386">
        <f t="shared" si="216"/>
        <v>0.21481823772628736</v>
      </c>
      <c r="AT207" s="386">
        <f t="shared" si="217"/>
        <v>0.27500000000000002</v>
      </c>
      <c r="AU207" s="386">
        <f t="shared" si="218"/>
        <v>3.2705750000000005</v>
      </c>
      <c r="AV207" s="386">
        <f t="shared" si="219"/>
        <v>0.93893279885847714</v>
      </c>
      <c r="AW207" s="386" t="e">
        <f t="shared" si="220"/>
        <v>#VALUE!</v>
      </c>
      <c r="AX207" s="386">
        <f t="shared" si="221"/>
        <v>3.8400000000000004E-2</v>
      </c>
      <c r="AY207" s="386">
        <f t="shared" si="222"/>
        <v>0.61440000000000006</v>
      </c>
      <c r="AZ207" s="386">
        <f t="shared" si="223"/>
        <v>0.47314285714285709</v>
      </c>
      <c r="BA207" s="386">
        <f t="shared" si="180"/>
        <v>0.65280000000000005</v>
      </c>
      <c r="BB207" s="386" t="e">
        <f t="shared" si="181"/>
        <v>#VALUE!</v>
      </c>
      <c r="BC207">
        <f t="shared" si="224"/>
        <v>256</v>
      </c>
      <c r="BD207" s="604" t="e">
        <f t="shared" si="182"/>
        <v>#VALUE!</v>
      </c>
      <c r="BE207" s="614">
        <f t="shared" si="225"/>
        <v>347.83426596738661</v>
      </c>
      <c r="BF207" s="614">
        <f t="shared" si="226"/>
        <v>33.746379031841158</v>
      </c>
      <c r="BG207" s="9"/>
      <c r="BH207" s="4" t="e">
        <f t="shared" si="183"/>
        <v>#VALUE!</v>
      </c>
      <c r="BI207" s="386">
        <f t="shared" si="184"/>
        <v>13.265236453804365</v>
      </c>
      <c r="BJ207" s="386">
        <f t="shared" si="185"/>
        <v>7.8560748414513455</v>
      </c>
      <c r="BK207" s="386">
        <f t="shared" si="186"/>
        <v>1.7542173306368234</v>
      </c>
      <c r="BL207" s="386">
        <f t="shared" si="187"/>
        <v>0.93893279885847714</v>
      </c>
    </row>
    <row r="208" spans="7:64" x14ac:dyDescent="0.2">
      <c r="G208">
        <v>199</v>
      </c>
      <c r="H208" s="610">
        <f t="shared" si="188"/>
        <v>47.805</v>
      </c>
      <c r="I208" s="4" t="str">
        <f t="shared" si="189"/>
        <v>BUCK</v>
      </c>
      <c r="J208">
        <f t="shared" si="227"/>
        <v>1</v>
      </c>
      <c r="K208">
        <f t="shared" si="190"/>
        <v>20</v>
      </c>
      <c r="L208" s="4">
        <f t="shared" si="191"/>
        <v>5.9500981998628681</v>
      </c>
      <c r="M208" s="4">
        <f t="shared" si="192"/>
        <v>20</v>
      </c>
      <c r="N208" s="386">
        <f t="shared" si="193"/>
        <v>0.27042306486994672</v>
      </c>
      <c r="O208" s="386">
        <f t="shared" si="228"/>
        <v>0</v>
      </c>
      <c r="P208" s="4">
        <f t="shared" si="194"/>
        <v>18.886995865872766</v>
      </c>
      <c r="Q208" s="386">
        <f t="shared" si="195"/>
        <v>20.729846865565392</v>
      </c>
      <c r="R208" s="386">
        <f t="shared" si="173"/>
        <v>1.0681661477177156</v>
      </c>
      <c r="S208" s="386">
        <f t="shared" si="174"/>
        <v>12.240030022637493</v>
      </c>
      <c r="T208" s="386">
        <f t="shared" si="175"/>
        <v>13.308196170355208</v>
      </c>
      <c r="U208" s="4">
        <f t="shared" si="196"/>
        <v>5.452206073672496</v>
      </c>
      <c r="V208" s="386">
        <f t="shared" si="176"/>
        <v>5.9453102139582513E-2</v>
      </c>
      <c r="W208" s="386">
        <f t="shared" si="177"/>
        <v>5.9453102139582513E-2</v>
      </c>
      <c r="X208" s="386">
        <f t="shared" si="197"/>
        <v>9.2077497423176897</v>
      </c>
      <c r="Y208" s="386">
        <f t="shared" si="178"/>
        <v>0.16956531063430297</v>
      </c>
      <c r="Z208" s="603">
        <f t="shared" si="179"/>
        <v>0.16956531063430297</v>
      </c>
      <c r="AA208" s="386">
        <f t="shared" si="198"/>
        <v>10.779980101850125</v>
      </c>
      <c r="AB208" s="386">
        <f t="shared" si="199"/>
        <v>0.2207951448929408</v>
      </c>
      <c r="AC208" s="386">
        <f t="shared" si="200"/>
        <v>3.3145721866008913</v>
      </c>
      <c r="AD208">
        <f t="shared" si="201"/>
        <v>0</v>
      </c>
      <c r="AE208" s="386">
        <f t="shared" si="202"/>
        <v>3.6986982549157079</v>
      </c>
      <c r="AF208" s="386">
        <f t="shared" si="203"/>
        <v>17.706455886865296</v>
      </c>
      <c r="AG208" s="386">
        <f t="shared" si="204"/>
        <v>0.59568530213966275</v>
      </c>
      <c r="AH208" s="386">
        <f t="shared" si="205"/>
        <v>0</v>
      </c>
      <c r="AI208" s="386">
        <f t="shared" si="206"/>
        <v>0.67625197448884955</v>
      </c>
      <c r="AJ208" s="386">
        <f t="shared" si="207"/>
        <v>0</v>
      </c>
      <c r="AK208" s="386">
        <f t="shared" si="208"/>
        <v>0</v>
      </c>
      <c r="AL208" s="386">
        <f t="shared" si="209"/>
        <v>0</v>
      </c>
      <c r="AM208">
        <f t="shared" si="210"/>
        <v>0</v>
      </c>
      <c r="AN208" s="386">
        <f t="shared" si="211"/>
        <v>0</v>
      </c>
      <c r="AO208" s="386">
        <f t="shared" si="212"/>
        <v>20.729846865565392</v>
      </c>
      <c r="AP208" s="386">
        <f t="shared" si="213"/>
        <v>0.21486327553489565</v>
      </c>
      <c r="AQ208" s="386">
        <f t="shared" si="214"/>
        <v>0</v>
      </c>
      <c r="AR208" s="386">
        <f t="shared" si="215"/>
        <v>0.22451111421368389</v>
      </c>
      <c r="AS208" s="386">
        <f t="shared" si="216"/>
        <v>0.21486327553489565</v>
      </c>
      <c r="AT208" s="386">
        <f t="shared" si="217"/>
        <v>0.27500000000000002</v>
      </c>
      <c r="AU208" s="386">
        <f t="shared" si="218"/>
        <v>3.2839812500000005</v>
      </c>
      <c r="AV208" s="386">
        <f t="shared" si="219"/>
        <v>0.94055574022052013</v>
      </c>
      <c r="AW208" s="386" t="e">
        <f t="shared" si="220"/>
        <v>#VALUE!</v>
      </c>
      <c r="AX208" s="386">
        <f t="shared" si="221"/>
        <v>3.8400000000000004E-2</v>
      </c>
      <c r="AY208" s="386">
        <f t="shared" si="222"/>
        <v>0.61440000000000006</v>
      </c>
      <c r="AZ208" s="386">
        <f t="shared" si="223"/>
        <v>0.47314285714285709</v>
      </c>
      <c r="BA208" s="386">
        <f t="shared" si="180"/>
        <v>0.65280000000000005</v>
      </c>
      <c r="BB208" s="386" t="e">
        <f t="shared" si="181"/>
        <v>#VALUE!</v>
      </c>
      <c r="BC208">
        <f t="shared" si="224"/>
        <v>256</v>
      </c>
      <c r="BD208" s="604" t="e">
        <f t="shared" si="182"/>
        <v>#VALUE!</v>
      </c>
      <c r="BE208" s="614">
        <f t="shared" si="225"/>
        <v>349.13397524578545</v>
      </c>
      <c r="BF208" s="614">
        <f t="shared" si="226"/>
        <v>33.812598724442481</v>
      </c>
      <c r="BG208" s="9"/>
      <c r="BH208" s="4" t="e">
        <f t="shared" si="183"/>
        <v>#VALUE!</v>
      </c>
      <c r="BI208" s="386">
        <f t="shared" si="184"/>
        <v>13.308196170355208</v>
      </c>
      <c r="BJ208" s="386">
        <f t="shared" si="185"/>
        <v>7.8834425936182413</v>
      </c>
      <c r="BK208" s="386">
        <f t="shared" si="186"/>
        <v>1.7599657869888499</v>
      </c>
      <c r="BL208" s="386">
        <f t="shared" si="187"/>
        <v>0.94055574022052013</v>
      </c>
    </row>
    <row r="209" spans="7:64" x14ac:dyDescent="0.2">
      <c r="G209">
        <v>200</v>
      </c>
      <c r="H209" s="610">
        <f t="shared" si="188"/>
        <v>48</v>
      </c>
      <c r="I209" s="4" t="str">
        <f t="shared" si="189"/>
        <v>BUCK</v>
      </c>
      <c r="J209">
        <f t="shared" si="227"/>
        <v>1</v>
      </c>
      <c r="K209">
        <f t="shared" si="190"/>
        <v>20</v>
      </c>
      <c r="L209" s="4">
        <f t="shared" si="191"/>
        <v>5.9259259259259256</v>
      </c>
      <c r="M209" s="4">
        <f t="shared" si="192"/>
        <v>20</v>
      </c>
      <c r="N209" s="386">
        <f t="shared" si="193"/>
        <v>0.26932584269662924</v>
      </c>
      <c r="O209" s="386">
        <f t="shared" si="228"/>
        <v>0</v>
      </c>
      <c r="P209" s="4">
        <f t="shared" si="194"/>
        <v>18.915400314606746</v>
      </c>
      <c r="Q209" s="386">
        <f t="shared" si="195"/>
        <v>20.73200498637679</v>
      </c>
      <c r="R209" s="386">
        <f t="shared" si="173"/>
        <v>1.0684075769972803</v>
      </c>
      <c r="S209" s="386">
        <f t="shared" si="174"/>
        <v>12.282483585379858</v>
      </c>
      <c r="T209" s="386">
        <f t="shared" si="175"/>
        <v>13.350891162377138</v>
      </c>
      <c r="U209" s="4">
        <f t="shared" si="196"/>
        <v>5.4604057317338688</v>
      </c>
      <c r="V209" s="386">
        <f t="shared" si="176"/>
        <v>5.9632061510304174E-2</v>
      </c>
      <c r="W209" s="386">
        <f t="shared" si="177"/>
        <v>5.9632061510304174E-2</v>
      </c>
      <c r="X209" s="386">
        <f t="shared" si="197"/>
        <v>9.1969154096420951</v>
      </c>
      <c r="Y209" s="386">
        <f t="shared" si="178"/>
        <v>0.16916650610422446</v>
      </c>
      <c r="Z209" s="603">
        <f t="shared" si="179"/>
        <v>0.16916650610422446</v>
      </c>
      <c r="AA209" s="386">
        <f t="shared" si="198"/>
        <v>10.759208367145403</v>
      </c>
      <c r="AB209" s="386">
        <f t="shared" si="199"/>
        <v>0.21994507290653814</v>
      </c>
      <c r="AC209" s="386">
        <f t="shared" si="200"/>
        <v>3.3280925626366025</v>
      </c>
      <c r="AD209">
        <f t="shared" si="201"/>
        <v>0</v>
      </c>
      <c r="AE209" s="386">
        <f t="shared" si="202"/>
        <v>3.7112937922875964</v>
      </c>
      <c r="AF209" s="386">
        <f t="shared" si="203"/>
        <v>17.721610143198063</v>
      </c>
      <c r="AG209" s="386">
        <f t="shared" si="204"/>
        <v>0.59670538552825092</v>
      </c>
      <c r="AH209" s="386">
        <f t="shared" si="205"/>
        <v>0</v>
      </c>
      <c r="AI209" s="386">
        <f t="shared" si="206"/>
        <v>0.67756695585066595</v>
      </c>
      <c r="AJ209" s="386">
        <f t="shared" si="207"/>
        <v>0</v>
      </c>
      <c r="AK209" s="386">
        <f t="shared" si="208"/>
        <v>0</v>
      </c>
      <c r="AL209" s="386">
        <f t="shared" si="209"/>
        <v>0</v>
      </c>
      <c r="AM209">
        <f t="shared" si="210"/>
        <v>0</v>
      </c>
      <c r="AN209" s="386">
        <f t="shared" si="211"/>
        <v>0</v>
      </c>
      <c r="AO209" s="386">
        <f t="shared" si="212"/>
        <v>20.73200498637679</v>
      </c>
      <c r="AP209" s="386">
        <f t="shared" si="213"/>
        <v>0.21490801537757606</v>
      </c>
      <c r="AQ209" s="386">
        <f t="shared" si="214"/>
        <v>0</v>
      </c>
      <c r="AR209" s="386">
        <f t="shared" si="215"/>
        <v>0.22455996255475721</v>
      </c>
      <c r="AS209" s="386">
        <f t="shared" si="216"/>
        <v>0.21490801537757606</v>
      </c>
      <c r="AT209" s="386">
        <f t="shared" si="217"/>
        <v>0.27500000000000002</v>
      </c>
      <c r="AU209" s="386">
        <f t="shared" si="218"/>
        <v>3.2973875000000006</v>
      </c>
      <c r="AV209" s="386">
        <f t="shared" si="219"/>
        <v>0.94216639820250148</v>
      </c>
      <c r="AW209" s="386" t="e">
        <f t="shared" si="220"/>
        <v>#VALUE!</v>
      </c>
      <c r="AX209" s="386">
        <f t="shared" si="221"/>
        <v>3.8400000000000004E-2</v>
      </c>
      <c r="AY209" s="386">
        <f t="shared" si="222"/>
        <v>0.61440000000000006</v>
      </c>
      <c r="AZ209" s="386">
        <f t="shared" si="223"/>
        <v>0.47314285714285709</v>
      </c>
      <c r="BA209" s="386">
        <f t="shared" si="180"/>
        <v>0.65280000000000005</v>
      </c>
      <c r="BB209" s="386" t="e">
        <f t="shared" si="181"/>
        <v>#VALUE!</v>
      </c>
      <c r="BC209">
        <f t="shared" si="224"/>
        <v>256</v>
      </c>
      <c r="BD209" s="604" t="e">
        <f t="shared" si="182"/>
        <v>#VALUE!</v>
      </c>
      <c r="BE209" s="614">
        <f t="shared" si="225"/>
        <v>350.43406461437985</v>
      </c>
      <c r="BF209" s="614">
        <f t="shared" si="226"/>
        <v>33.878347792533297</v>
      </c>
      <c r="BG209" s="9"/>
      <c r="BH209" s="4" t="e">
        <f t="shared" si="183"/>
        <v>#VALUE!</v>
      </c>
      <c r="BI209" s="386">
        <f t="shared" si="184"/>
        <v>13.350891162377138</v>
      </c>
      <c r="BJ209" s="386">
        <f t="shared" si="185"/>
        <v>7.9108082106930198</v>
      </c>
      <c r="BK209" s="386">
        <f t="shared" si="186"/>
        <v>1.765704830850666</v>
      </c>
      <c r="BL209" s="386">
        <f t="shared" si="187"/>
        <v>0.94216639820250148</v>
      </c>
    </row>
    <row r="224" spans="7:64" x14ac:dyDescent="0.2">
      <c r="H224"/>
      <c r="N224"/>
      <c r="O224"/>
      <c r="P224"/>
      <c r="Q224"/>
      <c r="R224"/>
      <c r="U224"/>
      <c r="X224"/>
      <c r="AS224"/>
      <c r="AU224"/>
      <c r="BB224"/>
      <c r="BD224"/>
      <c r="BE224"/>
      <c r="BF224"/>
      <c r="BH224"/>
      <c r="BI224"/>
      <c r="BJ224"/>
      <c r="BK224"/>
    </row>
    <row r="234" customFormat="1" x14ac:dyDescent="0.2"/>
    <row r="235" customFormat="1" x14ac:dyDescent="0.2"/>
  </sheetData>
  <sheetProtection selectLockedCells="1"/>
  <mergeCells count="13">
    <mergeCell ref="AA7:AE7"/>
    <mergeCell ref="AF7:AI7"/>
    <mergeCell ref="AX7:BA7"/>
    <mergeCell ref="BB7:BF7"/>
    <mergeCell ref="BH7:BL7"/>
    <mergeCell ref="AJ7:AN7"/>
    <mergeCell ref="AO7:AR7"/>
    <mergeCell ref="X7:Z7"/>
    <mergeCell ref="A1:D4"/>
    <mergeCell ref="A6:D7"/>
    <mergeCell ref="G7:P7"/>
    <mergeCell ref="Q7:T7"/>
    <mergeCell ref="U7:W7"/>
  </mergeCells>
  <pageMargins left="0.75" right="0.75" top="1" bottom="1" header="0.5" footer="0.5"/>
  <pageSetup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3">
    <tabColor rgb="FF92D050"/>
  </sheetPr>
  <dimension ref="A1:CE209"/>
  <sheetViews>
    <sheetView zoomScaleNormal="100" workbookViewId="0">
      <pane ySplit="8" topLeftCell="A9" activePane="bottomLeft" state="frozen"/>
      <selection activeCell="F1" sqref="F1"/>
      <selection pane="bottomLeft" activeCell="BH109" sqref="BH109"/>
    </sheetView>
  </sheetViews>
  <sheetFormatPr defaultRowHeight="12.75" x14ac:dyDescent="0.2"/>
  <cols>
    <col min="1" max="1" width="19.85546875" customWidth="1"/>
    <col min="2" max="2" width="13.140625" bestFit="1" customWidth="1"/>
    <col min="4" max="4" width="71.5703125" customWidth="1"/>
    <col min="6" max="6" width="9.140625" customWidth="1"/>
    <col min="7" max="7" width="6.85546875" customWidth="1"/>
    <col min="8" max="8" width="9.140625" style="609"/>
    <col min="9" max="9" width="11" customWidth="1"/>
    <col min="10" max="10" width="6.7109375" customWidth="1"/>
    <col min="11" max="11" width="8.140625" customWidth="1"/>
    <col min="12" max="12" width="7.42578125" customWidth="1"/>
    <col min="13" max="13" width="7.140625" customWidth="1"/>
    <col min="14" max="14" width="10.7109375" style="386" customWidth="1"/>
    <col min="15" max="15" width="11.42578125" style="386" customWidth="1"/>
    <col min="16" max="16" width="8.85546875" style="4" customWidth="1"/>
    <col min="17" max="17" width="8" style="4" customWidth="1"/>
    <col min="18" max="18" width="9.42578125" style="335" customWidth="1"/>
    <col min="19" max="19" width="8" customWidth="1"/>
    <col min="20" max="20" width="9.28515625" customWidth="1"/>
    <col min="21" max="21" width="8.85546875" style="4" customWidth="1"/>
    <col min="22" max="22" width="9.85546875" customWidth="1"/>
    <col min="23" max="23" width="10.7109375" customWidth="1"/>
    <col min="24" max="24" width="9.7109375" style="335" customWidth="1"/>
    <col min="25" max="25" width="10.5703125" customWidth="1"/>
    <col min="27" max="28" width="8.5703125" customWidth="1"/>
    <col min="29" max="29" width="10" customWidth="1"/>
    <col min="30" max="30" width="8" customWidth="1"/>
    <col min="31" max="31" width="9.85546875" customWidth="1"/>
    <col min="32" max="33" width="8.85546875" customWidth="1"/>
    <col min="34" max="34" width="10.5703125" customWidth="1"/>
    <col min="35" max="35" width="10.28515625" customWidth="1"/>
    <col min="36" max="37" width="8.5703125" customWidth="1"/>
    <col min="38" max="38" width="10" customWidth="1"/>
    <col min="39" max="39" width="8" customWidth="1"/>
    <col min="40" max="40" width="9.85546875" customWidth="1"/>
    <col min="41" max="42" width="8.85546875" customWidth="1"/>
    <col min="43" max="43" width="10.42578125" customWidth="1"/>
    <col min="44" max="44" width="10.28515625" customWidth="1"/>
    <col min="45" max="45" width="12.28515625" style="335" customWidth="1"/>
    <col min="46" max="46" width="13.7109375" customWidth="1"/>
    <col min="47" max="47" width="12" style="335" customWidth="1"/>
    <col min="48" max="48" width="11.5703125" customWidth="1"/>
    <col min="49" max="49" width="11" customWidth="1"/>
    <col min="50" max="50" width="9.28515625" customWidth="1"/>
    <col min="51" max="52" width="10.42578125" customWidth="1"/>
    <col min="54" max="54" width="8.42578125" style="4" customWidth="1"/>
    <col min="55" max="55" width="7.28515625" customWidth="1"/>
    <col min="56" max="56" width="10.140625" style="9" customWidth="1"/>
    <col min="57" max="57" width="12.42578125" style="406" customWidth="1"/>
    <col min="58" max="58" width="11.42578125" style="406" customWidth="1"/>
    <col min="59" max="59" width="3.28515625" customWidth="1"/>
    <col min="60" max="60" width="7.85546875" style="386" customWidth="1"/>
    <col min="61" max="61" width="9.140625" style="335"/>
    <col min="62" max="62" width="10.28515625" style="335" customWidth="1"/>
    <col min="63" max="63" width="12.140625" style="335" customWidth="1"/>
    <col min="64" max="64" width="8.85546875" style="335" customWidth="1"/>
    <col min="65" max="65" width="7.85546875" customWidth="1"/>
    <col min="69" max="69" width="28.42578125" customWidth="1"/>
    <col min="72" max="72" width="12.42578125" bestFit="1" customWidth="1"/>
  </cols>
  <sheetData>
    <row r="1" spans="1:83" ht="12.75" customHeight="1" x14ac:dyDescent="0.2">
      <c r="A1" s="714" t="s">
        <v>888</v>
      </c>
      <c r="B1" s="714"/>
      <c r="C1" s="714"/>
      <c r="D1" s="714"/>
    </row>
    <row r="2" spans="1:83" ht="12.75" customHeight="1" x14ac:dyDescent="0.2">
      <c r="A2" s="714"/>
      <c r="B2" s="714"/>
      <c r="C2" s="714"/>
      <c r="D2" s="714"/>
      <c r="H2" s="615" t="e">
        <f>BD19</f>
        <v>#VALUE!</v>
      </c>
      <c r="I2" s="118" t="s">
        <v>920</v>
      </c>
      <c r="AI2" s="118"/>
      <c r="AJ2" s="118"/>
    </row>
    <row r="3" spans="1:83" ht="12.75" customHeight="1" x14ac:dyDescent="0.2">
      <c r="A3" s="714"/>
      <c r="B3" s="714"/>
      <c r="C3" s="714"/>
      <c r="D3" s="714"/>
      <c r="H3" s="615" t="e">
        <f>BD59</f>
        <v>#VALUE!</v>
      </c>
      <c r="I3" s="118" t="s">
        <v>922</v>
      </c>
      <c r="AI3" s="118"/>
      <c r="AJ3" s="118"/>
    </row>
    <row r="4" spans="1:83" ht="12.75" customHeight="1" x14ac:dyDescent="0.2">
      <c r="A4" s="714"/>
      <c r="B4" s="714"/>
      <c r="C4" s="714"/>
      <c r="D4" s="714"/>
      <c r="H4" s="615" t="e">
        <f>BD109</f>
        <v>#VALUE!</v>
      </c>
      <c r="I4" s="118" t="s">
        <v>921</v>
      </c>
      <c r="AI4" s="118"/>
      <c r="AJ4" s="118"/>
    </row>
    <row r="5" spans="1:83" x14ac:dyDescent="0.2">
      <c r="A5" s="10"/>
      <c r="B5" s="11"/>
      <c r="C5" s="6"/>
      <c r="D5" s="6"/>
    </row>
    <row r="6" spans="1:83" ht="13.5" customHeight="1" thickBot="1" x14ac:dyDescent="0.25">
      <c r="A6" s="715" t="s">
        <v>682</v>
      </c>
      <c r="B6" s="715"/>
      <c r="C6" s="715"/>
      <c r="D6" s="715"/>
      <c r="BV6">
        <v>80</v>
      </c>
      <c r="BW6">
        <v>100</v>
      </c>
      <c r="BX6">
        <v>120</v>
      </c>
      <c r="BY6">
        <v>140</v>
      </c>
      <c r="BZ6">
        <v>160</v>
      </c>
      <c r="CA6">
        <v>180</v>
      </c>
      <c r="CB6">
        <v>20</v>
      </c>
      <c r="CC6">
        <v>30</v>
      </c>
      <c r="CD6">
        <v>40</v>
      </c>
      <c r="CE6">
        <v>50</v>
      </c>
    </row>
    <row r="7" spans="1:83" ht="13.5" thickBot="1" x14ac:dyDescent="0.25">
      <c r="A7" s="715"/>
      <c r="B7" s="715"/>
      <c r="C7" s="715"/>
      <c r="D7" s="715"/>
      <c r="G7" s="711" t="s">
        <v>903</v>
      </c>
      <c r="H7" s="712"/>
      <c r="I7" s="712"/>
      <c r="J7" s="712"/>
      <c r="K7" s="712"/>
      <c r="L7" s="712"/>
      <c r="M7" s="712"/>
      <c r="N7" s="712"/>
      <c r="O7" s="712"/>
      <c r="P7" s="713"/>
      <c r="Q7" s="711" t="s">
        <v>694</v>
      </c>
      <c r="R7" s="712"/>
      <c r="S7" s="712"/>
      <c r="T7" s="713"/>
      <c r="U7" s="716" t="s">
        <v>27</v>
      </c>
      <c r="V7" s="717"/>
      <c r="W7" s="718"/>
      <c r="X7" s="711" t="s">
        <v>61</v>
      </c>
      <c r="Y7" s="712"/>
      <c r="Z7" s="713"/>
      <c r="AA7" s="711" t="s">
        <v>898</v>
      </c>
      <c r="AB7" s="712"/>
      <c r="AC7" s="712"/>
      <c r="AD7" s="712"/>
      <c r="AE7" s="713"/>
      <c r="AF7" s="711" t="s">
        <v>899</v>
      </c>
      <c r="AG7" s="712"/>
      <c r="AH7" s="712"/>
      <c r="AI7" s="713"/>
      <c r="AJ7" s="711" t="s">
        <v>900</v>
      </c>
      <c r="AK7" s="712"/>
      <c r="AL7" s="712"/>
      <c r="AM7" s="712"/>
      <c r="AN7" s="713"/>
      <c r="AO7" s="711" t="s">
        <v>901</v>
      </c>
      <c r="AP7" s="712"/>
      <c r="AQ7" s="712"/>
      <c r="AR7" s="713"/>
      <c r="AS7" s="510" t="s">
        <v>893</v>
      </c>
      <c r="AT7" s="508" t="s">
        <v>237</v>
      </c>
      <c r="AU7" s="511" t="s">
        <v>656</v>
      </c>
      <c r="AV7" s="509" t="s">
        <v>714</v>
      </c>
      <c r="AW7" s="509" t="s">
        <v>711</v>
      </c>
      <c r="AX7" s="719" t="s">
        <v>701</v>
      </c>
      <c r="AY7" s="720"/>
      <c r="AZ7" s="720"/>
      <c r="BA7" s="721"/>
      <c r="BB7" s="711" t="s">
        <v>709</v>
      </c>
      <c r="BC7" s="712"/>
      <c r="BD7" s="712"/>
      <c r="BE7" s="712"/>
      <c r="BF7" s="712"/>
      <c r="BG7" s="605"/>
      <c r="BH7" s="722" t="s">
        <v>710</v>
      </c>
      <c r="BI7" s="722"/>
      <c r="BJ7" s="722"/>
      <c r="BK7" s="722"/>
      <c r="BL7" s="722"/>
      <c r="BM7" s="722"/>
    </row>
    <row r="8" spans="1:83" ht="51.75" thickBot="1" x14ac:dyDescent="0.45">
      <c r="A8" s="13" t="s">
        <v>112</v>
      </c>
      <c r="B8" s="13"/>
      <c r="C8" s="13"/>
      <c r="D8" s="6"/>
      <c r="G8" s="493" t="s">
        <v>57</v>
      </c>
      <c r="H8" s="608" t="s">
        <v>4</v>
      </c>
      <c r="I8" s="600" t="s">
        <v>902</v>
      </c>
      <c r="J8" s="600" t="s">
        <v>904</v>
      </c>
      <c r="K8" s="494" t="s">
        <v>6</v>
      </c>
      <c r="L8" s="494" t="s">
        <v>412</v>
      </c>
      <c r="M8" s="494" t="s">
        <v>912</v>
      </c>
      <c r="N8" s="505" t="s">
        <v>908</v>
      </c>
      <c r="O8" s="611" t="s">
        <v>907</v>
      </c>
      <c r="P8" s="602" t="s">
        <v>695</v>
      </c>
      <c r="Q8" s="601" t="s">
        <v>897</v>
      </c>
      <c r="R8" s="507" t="s">
        <v>91</v>
      </c>
      <c r="S8" s="494" t="s">
        <v>896</v>
      </c>
      <c r="T8" s="495" t="s">
        <v>747</v>
      </c>
      <c r="U8" s="601" t="s">
        <v>697</v>
      </c>
      <c r="V8" s="496" t="s">
        <v>696</v>
      </c>
      <c r="W8" s="495" t="s">
        <v>746</v>
      </c>
      <c r="X8" s="506" t="s">
        <v>698</v>
      </c>
      <c r="Y8" s="494" t="s">
        <v>699</v>
      </c>
      <c r="Z8" s="495" t="s">
        <v>744</v>
      </c>
      <c r="AA8" s="493" t="s">
        <v>88</v>
      </c>
      <c r="AB8" s="494" t="s">
        <v>700</v>
      </c>
      <c r="AC8" s="494" t="s">
        <v>889</v>
      </c>
      <c r="AD8" s="497" t="s">
        <v>238</v>
      </c>
      <c r="AE8" s="495" t="s">
        <v>890</v>
      </c>
      <c r="AF8" s="493" t="s">
        <v>88</v>
      </c>
      <c r="AG8" s="494" t="s">
        <v>700</v>
      </c>
      <c r="AH8" s="494" t="s">
        <v>703</v>
      </c>
      <c r="AI8" s="498" t="s">
        <v>891</v>
      </c>
      <c r="AJ8" s="493" t="s">
        <v>88</v>
      </c>
      <c r="AK8" s="494" t="s">
        <v>700</v>
      </c>
      <c r="AL8" s="494" t="s">
        <v>889</v>
      </c>
      <c r="AM8" s="497" t="s">
        <v>238</v>
      </c>
      <c r="AN8" s="495" t="s">
        <v>890</v>
      </c>
      <c r="AO8" s="493" t="s">
        <v>88</v>
      </c>
      <c r="AP8" s="494" t="s">
        <v>700</v>
      </c>
      <c r="AQ8" s="494" t="s">
        <v>703</v>
      </c>
      <c r="AR8" s="498" t="s">
        <v>891</v>
      </c>
      <c r="AS8" s="507" t="s">
        <v>892</v>
      </c>
      <c r="AT8" s="495" t="s">
        <v>703</v>
      </c>
      <c r="AU8" s="512" t="s">
        <v>97</v>
      </c>
      <c r="AV8" s="513" t="s">
        <v>713</v>
      </c>
      <c r="AW8" s="513" t="s">
        <v>712</v>
      </c>
      <c r="AX8" s="499" t="s">
        <v>704</v>
      </c>
      <c r="AY8" s="500" t="s">
        <v>166</v>
      </c>
      <c r="AZ8" s="501" t="s">
        <v>240</v>
      </c>
      <c r="BA8" s="502" t="s">
        <v>702</v>
      </c>
      <c r="BB8" s="503" t="s">
        <v>58</v>
      </c>
      <c r="BC8" s="494" t="s">
        <v>394</v>
      </c>
      <c r="BD8" s="504" t="s">
        <v>706</v>
      </c>
      <c r="BE8" s="613" t="str">
        <f>IF(Vin&gt;Vout, "Buck ''CONTROL'' MOSFET Temp Rise", "Boost ''CONTROL'' MOSFET Temp Rise")</f>
        <v>Boost ''CONTROL'' MOSFET Temp Rise</v>
      </c>
      <c r="BF8" s="613" t="str">
        <f>IF(Vin&gt;Vout, "Buck ''SYNC'' MOSFET Temp Rise", "Boost ''SYNC'' MOSFET Temp Rise")</f>
        <v>Boost ''SYNC'' MOSFET Temp Rise</v>
      </c>
      <c r="BH8" s="606" t="s">
        <v>705</v>
      </c>
      <c r="BI8" s="607" t="s">
        <v>745</v>
      </c>
      <c r="BJ8" s="607" t="s">
        <v>914</v>
      </c>
      <c r="BK8" s="607" t="str">
        <f>IF(Vin&gt;Vout, "Buck ''Control'' MOSFET Loss", "Boost ''Control'' MOSFET Loss")</f>
        <v>Boost ''Control'' MOSFET Loss</v>
      </c>
      <c r="BL8" s="607" t="str">
        <f>IF(Vin&gt;Vout, "Buck ''SYNC'' MOSFET Loss", "Boost ''SYNC'' MOSFET Loss")</f>
        <v>Boost ''SYNC'' MOSFET Loss</v>
      </c>
      <c r="BM8" s="607" t="s">
        <v>870</v>
      </c>
      <c r="BN8" s="607"/>
      <c r="BT8" t="s">
        <v>132</v>
      </c>
      <c r="BV8" t="s">
        <v>124</v>
      </c>
      <c r="BW8" t="s">
        <v>125</v>
      </c>
      <c r="BX8" t="s">
        <v>126</v>
      </c>
      <c r="BY8" t="s">
        <v>127</v>
      </c>
      <c r="BZ8" t="s">
        <v>128</v>
      </c>
      <c r="CA8" t="s">
        <v>129</v>
      </c>
      <c r="CB8" t="s">
        <v>133</v>
      </c>
      <c r="CC8" t="s">
        <v>134</v>
      </c>
      <c r="CD8" t="s">
        <v>135</v>
      </c>
      <c r="CE8" t="s">
        <v>136</v>
      </c>
    </row>
    <row r="9" spans="1:83" x14ac:dyDescent="0.2">
      <c r="A9" s="14" t="s">
        <v>59</v>
      </c>
      <c r="B9" s="15" t="s">
        <v>115</v>
      </c>
      <c r="C9" s="16" t="s">
        <v>80</v>
      </c>
      <c r="D9" s="17" t="s">
        <v>111</v>
      </c>
      <c r="G9">
        <v>0</v>
      </c>
      <c r="H9" s="610">
        <f t="shared" ref="H9:H40" si="0">Vin</f>
        <v>12</v>
      </c>
      <c r="I9" s="4" t="str">
        <f t="shared" ref="I9:I40" si="1">IF(H9&gt;VIN_BB_to_buck, "BUCK", IF(H9&lt;VIN_boost_to_BB,"BOOST","BUCK-BST"))</f>
        <v>BUCK-BST</v>
      </c>
      <c r="J9">
        <f>IF(I9="BOOST",2, IF(I9="BUCK", 1,3))</f>
        <v>3</v>
      </c>
      <c r="K9">
        <v>0</v>
      </c>
      <c r="L9" s="4">
        <f t="shared" ref="L9:L40" si="2">Vout*K9/(Vin*Efficiency)</f>
        <v>0</v>
      </c>
      <c r="M9" s="4">
        <f>K9/(1-O9)</f>
        <v>0</v>
      </c>
      <c r="N9" s="386">
        <f t="shared" ref="N9:N40" si="3">CHOOSE(J9,(Vout+(Rdson2+Rs+Rdcr)*K9)/(Vin+(Rs+Rdson2-Rdson1)*K9), 1, IF(Vin&lt;Vout, D_max_buck_BB, Vout/Vin*(1-D_min_boost_exitBB_to_buck)))</f>
        <v>0.96250000000000002</v>
      </c>
      <c r="O9" s="386">
        <f t="shared" ref="O9:O40" si="4">CHOOSE(J9,0,(Vout+(Rdson3+Rdcr)*L9-Vin)/(Vout+(Rdson3-Rdson4-Rs)*L9), IF(Vin&gt;Vout,D_min_boost_exitBB_to_buck, (Vout-Vin*D_max_buck_BB)/Vout))</f>
        <v>9.765625E-2</v>
      </c>
      <c r="P9" s="4">
        <f t="shared" ref="P9:P40" si="5">MAX(0, CHOOSE(J9, (Vin-(Rdson1+Rdcr)*K9-Vout)*N9/(Fsw*Lf), (Vin-(Rdson4+Rdcr+Rs)*L9)*O9/(Fsw*Lf), IF(Vin&lt;Vout, (Vin-(Rdson4+Rdcr+Rs)*L9)*O9/(0.5*Fsw*Lf),(Vin-(Rdson1+Rdcr)*K9-Vout)*N9/(0.5*Fsw*Lf))))</f>
        <v>4.6875</v>
      </c>
      <c r="Q9" s="4">
        <f t="shared" ref="Q9:Q40" si="6">CHOOSE(J9, SQRT(K9^2+(P9^2)/12), SQRT(L9^2+(P9^2)/12), SQRT(M9^2+(P9^2)/12))</f>
        <v>1.3531646934131853</v>
      </c>
      <c r="R9" s="386">
        <f t="shared" ref="R9:R73" si="7">(Q9^2*Rdcr*(1+Ltc*Ta-Ltc*25))/(1-Q9^2*Rdcr*Ltc*ThetaCa)</f>
        <v>4.1945222835980626E-3</v>
      </c>
      <c r="S9" s="386">
        <f>ABS(7.759*10^-3*Fsw^0.9458*(0.00787*P9)^2.304)</f>
        <v>0.49357358170757737</v>
      </c>
      <c r="T9" s="386">
        <f>R9+S9</f>
        <v>0.49776810399117544</v>
      </c>
      <c r="U9" s="4">
        <f t="shared" ref="U9:U40" si="8">IF(Vin&gt;Vout, P9/SQRT(12), SQRT(O9/(1-O9))*SQRT(K9^2+(P9^2)/12))</f>
        <v>0.44515850179546074</v>
      </c>
      <c r="V9" s="386">
        <f t="shared" ref="V9:V73" si="9">RCoutEsr*U9^2</f>
        <v>3.9633218344155849E-4</v>
      </c>
      <c r="W9" s="386">
        <f>V9</f>
        <v>3.9633218344155849E-4</v>
      </c>
      <c r="X9" s="4">
        <f t="shared" ref="X9:X40" si="10">IF(Vin&gt;Vout, SQRT(N9*(1-N9))*SQRT(K9^2+(P9^2)/12), P9/SQRT(12))</f>
        <v>1.3531646934131856</v>
      </c>
      <c r="Y9" s="386">
        <f t="shared" ref="Y9:Y73" si="11">RCinEsr*X9^2</f>
        <v>3.6621093750000009E-3</v>
      </c>
      <c r="Z9" s="603">
        <f>Y9</f>
        <v>3.6621093750000009E-3</v>
      </c>
      <c r="AA9" s="386">
        <f t="shared" ref="AA9:AA40" si="12">CHOOSE(J9, SQRT(N9)*SQRT(K9^2+(P9^2)/12), SQRT(L9^2+(P9^2)/12), SQRT(N9)*SQRT(M9^2+(P9^2)/12))</f>
        <v>1.3275504271848773</v>
      </c>
      <c r="AB9" s="386">
        <f t="shared" ref="AB9:AB40" si="13">Rdson1*AA9^2</f>
        <v>3.3485412597656248E-3</v>
      </c>
      <c r="AC9" s="386">
        <f t="shared" ref="AC9:AC40" si="14">CHOOSE(J9, (Vin*K9/2)*(Fsw)*(Tr_buck+Tf_buck), 0, (Vin*K9/2)*(Fsw/2)*(Tr_buck+Tf_buck))</f>
        <v>0</v>
      </c>
      <c r="AD9" s="386">
        <f t="shared" ref="AD9:AD40" si="15">CHOOSE(J9, IF(K9&gt;P9/2,0,ABS(K9-P9/2)*Vsd_Q1*Deadtime*Fsw),0, IF(K9&gt;P9/2,0,ABS(K9-P9/2)*Vsd_Q1*Deadtime*Fsw/2))</f>
        <v>1.171875E-2</v>
      </c>
      <c r="AE9" s="386">
        <f t="shared" ref="AE9:AE40" si="16">(AD9+AC9+AB9*(1+RdsonTopTc*Ta-RdsonTopTc*25))/(1-AB9*RdsonTopTc*ThetaJA_Q1)</f>
        <v>1.5077388711403558E-2</v>
      </c>
      <c r="AF9" s="386">
        <f t="shared" ref="AF9:AF40" si="17">CHOOSE(J9, SQRT((1-N9))*SQRT(K9^2+(P9^2)/12), 0, SQRT((1-N9))*SQRT(M9^2+(P9^2)/12))</f>
        <v>0.26203921611325653</v>
      </c>
      <c r="AG9" s="386">
        <f t="shared" ref="AG9:AG40" si="18">Rdson2*AF9^2</f>
        <v>1.3046264648437493E-4</v>
      </c>
      <c r="AH9" s="386">
        <f t="shared" ref="AH9:AH40" si="19">CHOOSE(J9, IF(K9&lt;P9/2,Deadtime*Fsw*IF(VfdSky_Q2&gt;0,0,Vsd_Q2)*(K9+P9/2),2*Deadtime*Fsw*IF(VfdSky_Q2&gt;0,0,Vsd_Q2)*K9),0, IF(K9&lt;P9/2,Deadtime*Fsw/2*IF(VfdSky_Q2&gt;0,0,Vsd_Q2)*(K9+P9/2),2*Deadtime*Fsw/2*IF(VfdSky_Q2&gt;0,0,Vsd_Q2)*K9))</f>
        <v>0</v>
      </c>
      <c r="AI9" s="386">
        <f t="shared" ref="AI9:AI40" si="20">(AH9+AG9*(1+RdsonBotTc*Ta-RdsonBotTc*25))/(1-AG9*RdsonBotTc*ThetaJA_Q2)</f>
        <v>1.3046605067362438E-4</v>
      </c>
      <c r="AJ9" s="386">
        <f t="shared" ref="AJ9:AJ40" si="21">CHOOSE(J9, 0, SQRT(O9)*SQRT(L9^2+(P9^2)/12), SQRT(O9)*SQRT(M9^2+(P9^2)/12))</f>
        <v>0.42286396669162041</v>
      </c>
      <c r="AK9" s="386">
        <f t="shared" ref="AK9:AK40" si="22">Rdson4*AJ9^2</f>
        <v>8.9406967163085924E-5</v>
      </c>
      <c r="AL9" s="386">
        <f t="shared" ref="AL9:AL40" si="23">CHOOSE(J9, 0, (Vout*L9/2)*(Fsw)*(Tr_boost+Tf_boost), (Vout*Iout/2)*(Fsw/2)*(Tr_boost+Tf_boost))</f>
        <v>1.1262092029730675</v>
      </c>
      <c r="AM9" s="386">
        <f t="shared" ref="AM9:AM40" si="24">IF(H9&gt;Vout, 0, IF(L9&gt;P9/2,0,ABS(L9-P9/2)*Vsd_Q4*Deadtime*Fsw))</f>
        <v>2.34375E-2</v>
      </c>
      <c r="AN9" s="386">
        <f t="shared" ref="AN9:AN40" si="25">(AM9+AL9+AK9*(1+RdsonTopTc*Ta-RdsonTopTc*25))/(1-AK9*RdsonTopTc*ThetaJA_Q4)</f>
        <v>1.1497566691915841</v>
      </c>
      <c r="AO9" s="386">
        <f>CHOOSE(J9, SQRT(K9^2+(P9^2)/12), SQRT(1-O9)*SQRT(L9^2+(P9^2)/12), SQRT(1-O9)*SQRT(M9^2+(P9^2)/12))</f>
        <v>1.285395173934393</v>
      </c>
      <c r="AP9" s="386">
        <f t="shared" ref="AP9:AP40" si="26">Rdson3*AO9^2</f>
        <v>8.2612037658691417E-4</v>
      </c>
      <c r="AQ9" s="386">
        <f t="shared" ref="AQ9:AQ40" si="27">CHOOSE(J9, 0, IF(L9&lt;P9/2,Deadtime*Fsw*IF(VfdSky_Q3&gt;0,0,Vsd_Q3)*(L9+P9/2), 2*Deadtime*Fsw*IF(VfdSky_Q3&gt;0,0,Vsd_Q3)*L9), IF(L9&lt;P9/2,Deadtime*Fsw/2*IF(VfdSky_Q3&gt;0,0,Vsd_Q3)*(L9+P9/2), 2*Deadtime*Fsw/2*IF(VfdSky_Q3&gt;0,0,Vsd_Q3)*L9))</f>
        <v>0</v>
      </c>
      <c r="AR9" s="386">
        <f t="shared" ref="AR9:AR40" si="28">(AQ9+AP9*(1+RdsonBotTc*Ta-RdsonBotTc*25))/(1-AP9*RdsonBotTc*ThetaJA_Q3)</f>
        <v>8.262568941182195E-4</v>
      </c>
      <c r="AS9" s="386">
        <f t="shared" ref="AS9:AS40" si="29">CHOOSE(J9, Rdson3*Q9^2, Rdson1*Q9^2, 0)</f>
        <v>0</v>
      </c>
      <c r="AT9" s="386">
        <f t="shared" ref="AT9:AT40" si="30">CHOOSE(J9, 2*Deadtime*Fsw*IF(VfdSky_Q2&gt;0,VfdSky_Q2,0)*K9, 2*Deadtime*Fsw*IF(VfdSky_Q3&gt;0,VfdSky_Q3,0)*L9, 2*Deadtime*Fsw/2*IF(VfdSky_Q2&gt;0,VfdSky_Q2,0)*K9+2*Deadtime*Fsw/2*IF(VfdSky_Q3&gt;0,VfdSky_Q3,0)*L9)</f>
        <v>0</v>
      </c>
      <c r="AU9" s="386">
        <f t="shared" ref="AU9:AU40" si="31">CHOOSE(J9, IF(QrrSky_Q2&gt;0,QrrSky_Q2,Qrr_Q2*K9/Iout)*Fsw*(Vin-K9*Rdson1), IF(QrrSky_Q3&gt;0,QrrSky_Q3,Qrr_Q3)*Fsw*Vout,  IF(QrrSky_Q2&gt;0,QrrSky_Q2,Qrr_Q2*K9/Iout)*Fsw/2*(Vin-K9*Rdson1)+IF(QrrSky_Q3&gt;0,QrrSky_Q3,Qrr_Q3)*Fsw/2*Vout)</f>
        <v>9.2800000000000007E-2</v>
      </c>
      <c r="AV9" s="386">
        <f t="shared" ref="AV9:AV40" si="32">CHOOSE(J9, Rs*AF9^2, Rs*AJ9^2, Rs*(AF9^2+AJ9^2))</f>
        <v>7.4243545532226552E-4</v>
      </c>
      <c r="AW9" s="386" t="e">
        <f t="shared" ref="AW9:AW72" si="33">Rshunt_std/1000*Iout^2</f>
        <v>#VALUE!</v>
      </c>
      <c r="AX9" s="386">
        <f t="shared" ref="AX9:AX40" si="34">IF(Vout&gt;8, Iq*Vout, Iq*Vin)</f>
        <v>3.8400000000000004E-2</v>
      </c>
      <c r="AY9" s="386">
        <f t="shared" ref="AY9:AY40" si="35">CHOOSE(J9, (Qg_Q1+Qg_Q2)*Fsw, (Qg_Q3+Qg_Q4)*Fsw, (Qg_Q1+Qg_Q2+Qg_Q3+Qg_Q4)*Fsw/2)*IF(Vout&gt;8, Vout, Vin)</f>
        <v>0.62080000000000002</v>
      </c>
      <c r="AZ9" s="386">
        <f t="shared" ref="AZ9:AZ72" si="36">(Vin-Vdd)*Fsw*(Qg_Q1+Qg_Q2)+(RdsonDRT+RdsonDRT2)*Fsw*Qg_Q1*Vdd/(RdsonDRT+2*Rgate1+RdsonDRT2)+(RdsonDRB+RdsonDRB2)*Fsw*Qg_Q2*Vdd/(RdsonDRB+2*Rgate2+RdsonDRB2)</f>
        <v>0.47314285714285709</v>
      </c>
      <c r="BA9" s="386">
        <f>SUM(AX9:AY9)</f>
        <v>0.65920000000000001</v>
      </c>
      <c r="BB9" s="386" t="e">
        <f>SUM(T9,W9,Z9,AE9,AI9,AN9,AR9, AT9,AU9,BA9,AV9,AW9)</f>
        <v>#VALUE!</v>
      </c>
      <c r="BC9">
        <f t="shared" ref="BC9:BC40" si="37">Vout*K9</f>
        <v>0</v>
      </c>
      <c r="BD9" s="604" t="e">
        <f>BC9/(BC9+BB9)</f>
        <v>#VALUE!</v>
      </c>
      <c r="BE9" s="614">
        <f t="shared" ref="BE9:BE40" si="38">IF(Vin&gt;Vout,ThetaJA_Q1*BK9,ThetaJA_Q4*BK9)</f>
        <v>60.550233459579204</v>
      </c>
      <c r="BF9" s="614">
        <f t="shared" ref="BF9:BF40" si="39">IF(Vin&gt;Vout, ThetaJA_Q2*BL9, ThetaJA_Q3*BL9)</f>
        <v>1.5725128447059114</v>
      </c>
      <c r="BH9" s="4" t="e">
        <f>BD9*100</f>
        <v>#VALUE!</v>
      </c>
      <c r="BI9" s="386">
        <f>T9</f>
        <v>0.49776810399117544</v>
      </c>
      <c r="BJ9" s="386">
        <f>AE9+AI9+AN9+AR9+AU9</f>
        <v>1.2585907808477794</v>
      </c>
      <c r="BK9" s="386">
        <f t="shared" ref="BK9:BK40" si="40">IF(Vin&gt;Vout, AE9+AU9*0.66, AN9+AU9*0.66)</f>
        <v>1.2110046691915841</v>
      </c>
      <c r="BL9" s="386">
        <f t="shared" ref="BL9:BL40" si="41">IF(Vin&gt;Vout, AI9+AU9*0.33, AR9+AU9*0.33)</f>
        <v>3.1450256894118227E-2</v>
      </c>
      <c r="BM9" s="386">
        <f>AV9</f>
        <v>7.4243545532226552E-4</v>
      </c>
      <c r="BQ9" t="s">
        <v>137</v>
      </c>
      <c r="BR9" s="18">
        <v>70</v>
      </c>
      <c r="BS9" s="18">
        <v>70</v>
      </c>
      <c r="BT9" s="18">
        <v>70</v>
      </c>
      <c r="BU9" s="19">
        <f>250000*(5-Vdd)*BT9/1000000000+((250000*BT9/1000000000*Vdd)*2.5/(2*4))</f>
        <v>-2.7343749999999972E-3</v>
      </c>
      <c r="BV9">
        <f t="shared" ref="BV9:CE17" si="42">BV$6*$BU9</f>
        <v>-0.21874999999999978</v>
      </c>
      <c r="BW9">
        <f t="shared" si="42"/>
        <v>-0.27343749999999972</v>
      </c>
      <c r="BX9">
        <f t="shared" si="42"/>
        <v>-0.32812499999999967</v>
      </c>
      <c r="BY9">
        <f t="shared" si="42"/>
        <v>-0.38281249999999961</v>
      </c>
      <c r="BZ9">
        <f t="shared" si="42"/>
        <v>-0.43749999999999956</v>
      </c>
      <c r="CA9">
        <f t="shared" si="42"/>
        <v>-0.4921874999999995</v>
      </c>
      <c r="CB9">
        <f t="shared" si="42"/>
        <v>-5.4687499999999944E-2</v>
      </c>
      <c r="CC9">
        <f t="shared" si="42"/>
        <v>-8.2031249999999917E-2</v>
      </c>
      <c r="CD9">
        <f t="shared" si="42"/>
        <v>-0.10937499999999989</v>
      </c>
      <c r="CE9">
        <f t="shared" si="42"/>
        <v>-0.13671874999999986</v>
      </c>
    </row>
    <row r="10" spans="1:83" x14ac:dyDescent="0.2">
      <c r="A10" s="547"/>
      <c r="B10" s="24"/>
      <c r="C10" s="16"/>
      <c r="D10" s="17"/>
      <c r="G10">
        <v>1</v>
      </c>
      <c r="H10" s="610">
        <f t="shared" si="0"/>
        <v>12</v>
      </c>
      <c r="I10" s="4" t="str">
        <f t="shared" si="1"/>
        <v>BUCK-BST</v>
      </c>
      <c r="J10">
        <f t="shared" ref="J10:J73" si="43">IF(I10="BOOST",2, IF(I10="BUCK", 1,3))</f>
        <v>3</v>
      </c>
      <c r="K10" s="386">
        <f t="shared" ref="K10:K41" si="44">Iout*G10/100</f>
        <v>0.2</v>
      </c>
      <c r="L10" s="4">
        <f t="shared" si="2"/>
        <v>0.23703703703703707</v>
      </c>
      <c r="M10" s="4">
        <f>K10/(1-O10)</f>
        <v>0.22164502164502164</v>
      </c>
      <c r="N10" s="386">
        <f t="shared" si="3"/>
        <v>0.96250000000000002</v>
      </c>
      <c r="O10" s="386">
        <f t="shared" si="4"/>
        <v>9.765625E-2</v>
      </c>
      <c r="P10" s="4">
        <f t="shared" si="5"/>
        <v>4.6869638888888892</v>
      </c>
      <c r="Q10" s="4">
        <f t="shared" si="6"/>
        <v>1.371044269987562</v>
      </c>
      <c r="R10" s="386">
        <f t="shared" si="7"/>
        <v>4.3061387893591242E-3</v>
      </c>
      <c r="S10" s="386">
        <f t="shared" ref="S10:S73" si="45">7.759*10^-3*Fsw^0.9458*(0.00787*P10)^2.304</f>
        <v>0.49344353016059805</v>
      </c>
      <c r="T10" s="386">
        <f t="shared" ref="T10:T73" si="46">R10+S10</f>
        <v>0.4977496689499572</v>
      </c>
      <c r="U10" s="4">
        <f t="shared" si="8"/>
        <v>0.44994418540892539</v>
      </c>
      <c r="V10" s="386">
        <f t="shared" si="9"/>
        <v>4.0489953996660286E-4</v>
      </c>
      <c r="W10" s="386">
        <f t="shared" ref="W10:W73" si="47">V10</f>
        <v>4.0489953996660286E-4</v>
      </c>
      <c r="X10" s="4">
        <f t="shared" si="10"/>
        <v>1.3530099314660278</v>
      </c>
      <c r="Y10" s="386">
        <f t="shared" si="11"/>
        <v>3.6612717492914104E-3</v>
      </c>
      <c r="Z10" s="603">
        <f t="shared" ref="Z10:Z73" si="48">Y10</f>
        <v>3.6612717492914104E-3</v>
      </c>
      <c r="AA10" s="386">
        <f t="shared" si="12"/>
        <v>1.3450915584564354</v>
      </c>
      <c r="AB10" s="386">
        <f t="shared" si="13"/>
        <v>3.4376154711984481E-3</v>
      </c>
      <c r="AC10" s="386">
        <f t="shared" si="14"/>
        <v>4.1601157032957539E-3</v>
      </c>
      <c r="AD10" s="386">
        <f t="shared" si="15"/>
        <v>1.0717409722222222E-2</v>
      </c>
      <c r="AE10" s="386">
        <f t="shared" si="16"/>
        <v>1.8327741642360805E-2</v>
      </c>
      <c r="AF10" s="386">
        <f t="shared" si="17"/>
        <v>0.26550158122874656</v>
      </c>
      <c r="AG10" s="386">
        <f t="shared" si="18"/>
        <v>1.3393307030643296E-4</v>
      </c>
      <c r="AH10" s="386">
        <f t="shared" si="19"/>
        <v>0</v>
      </c>
      <c r="AI10" s="386">
        <f t="shared" si="20"/>
        <v>1.339366580159999E-4</v>
      </c>
      <c r="AJ10" s="386">
        <f t="shared" si="21"/>
        <v>0.42845133437111316</v>
      </c>
      <c r="AK10" s="386">
        <f t="shared" si="22"/>
        <v>9.1785272962193704E-5</v>
      </c>
      <c r="AL10" s="386">
        <f t="shared" si="23"/>
        <v>1.1262092029730675</v>
      </c>
      <c r="AM10" s="386">
        <f t="shared" si="24"/>
        <v>2.1064449074074076E-2</v>
      </c>
      <c r="AN10" s="386">
        <f t="shared" si="25"/>
        <v>1.1473864999567223</v>
      </c>
      <c r="AO10" s="386">
        <f t="shared" ref="AO10:AO73" si="49">CHOOSE(J10, SQRT(K10^2+(P10^2)/12), SQRT(1-O10)*SQRT(L10^2+(P10^2)/12), SQRT(1-O10)*SQRT(M10^2+(P10^2)/12))</f>
        <v>1.3023793012564886</v>
      </c>
      <c r="AP10" s="386">
        <f t="shared" si="26"/>
        <v>8.4809592217066979E-4</v>
      </c>
      <c r="AQ10" s="386">
        <f t="shared" si="27"/>
        <v>0</v>
      </c>
      <c r="AR10" s="386">
        <f t="shared" si="28"/>
        <v>8.4823979991373571E-4</v>
      </c>
      <c r="AS10" s="386">
        <f t="shared" si="29"/>
        <v>0</v>
      </c>
      <c r="AT10" s="386">
        <f t="shared" si="30"/>
        <v>2.5305555555555559E-3</v>
      </c>
      <c r="AU10" s="386">
        <f t="shared" si="31"/>
        <v>9.6924869375000014E-2</v>
      </c>
      <c r="AV10" s="386">
        <f t="shared" si="32"/>
        <v>7.6218490667805637E-4</v>
      </c>
      <c r="AW10" s="386" t="e">
        <f t="shared" si="33"/>
        <v>#VALUE!</v>
      </c>
      <c r="AX10" s="386">
        <f t="shared" si="34"/>
        <v>3.8400000000000004E-2</v>
      </c>
      <c r="AY10" s="386">
        <f t="shared" si="35"/>
        <v>0.62080000000000002</v>
      </c>
      <c r="AZ10" s="386">
        <f t="shared" si="36"/>
        <v>0.47314285714285709</v>
      </c>
      <c r="BA10" s="386">
        <f t="shared" ref="BA10" si="50">SUM(AX10:AY10)</f>
        <v>0.65920000000000001</v>
      </c>
      <c r="BB10" s="386" t="e">
        <f>SUM(T10,W10,Z10,AE10,AI10,AN10,AR10, AT10,AU10,BA10,AV10,AW10)</f>
        <v>#VALUE!</v>
      </c>
      <c r="BC10">
        <f t="shared" si="37"/>
        <v>2.5600000000000005</v>
      </c>
      <c r="BD10" s="604" t="e">
        <f t="shared" ref="BD10:BD73" si="51">BC10/(BC10+BB10)</f>
        <v>#VALUE!</v>
      </c>
      <c r="BE10" s="614">
        <f t="shared" si="38"/>
        <v>60.567845687211118</v>
      </c>
      <c r="BF10" s="614">
        <f t="shared" si="39"/>
        <v>1.641672334683187</v>
      </c>
      <c r="BG10" s="9"/>
      <c r="BH10" s="4" t="e">
        <f t="shared" ref="BH10:BH73" si="52">BD10*100</f>
        <v>#VALUE!</v>
      </c>
      <c r="BI10" s="386">
        <f t="shared" ref="BI10:BI73" si="53">T10</f>
        <v>0.4977496689499572</v>
      </c>
      <c r="BJ10" s="386">
        <f t="shared" ref="BJ10:BJ73" si="54">AE10+AI10+AN10+AR10+AU10</f>
        <v>1.2636212874320127</v>
      </c>
      <c r="BK10" s="386">
        <f t="shared" si="40"/>
        <v>1.2113569137442224</v>
      </c>
      <c r="BL10" s="386">
        <f t="shared" si="41"/>
        <v>3.283344669366374E-2</v>
      </c>
      <c r="BM10" s="386">
        <f t="shared" ref="BM10:BM73" si="55">AV10</f>
        <v>7.6218490667805637E-4</v>
      </c>
      <c r="BR10" s="18"/>
      <c r="BS10" s="18"/>
      <c r="BT10" s="18"/>
      <c r="BU10" s="19"/>
    </row>
    <row r="11" spans="1:83" x14ac:dyDescent="0.2">
      <c r="A11" s="20" t="s">
        <v>4</v>
      </c>
      <c r="B11" s="5">
        <f>Vin</f>
        <v>12</v>
      </c>
      <c r="C11" s="482" t="s">
        <v>0</v>
      </c>
      <c r="D11" s="21" t="s">
        <v>4</v>
      </c>
      <c r="G11">
        <v>2</v>
      </c>
      <c r="H11" s="610">
        <f t="shared" si="0"/>
        <v>12</v>
      </c>
      <c r="I11" s="4" t="str">
        <f t="shared" si="1"/>
        <v>BUCK-BST</v>
      </c>
      <c r="J11">
        <f t="shared" si="43"/>
        <v>3</v>
      </c>
      <c r="K11" s="386">
        <f t="shared" si="44"/>
        <v>0.4</v>
      </c>
      <c r="L11" s="4">
        <f t="shared" si="2"/>
        <v>0.47407407407407415</v>
      </c>
      <c r="M11" s="4">
        <f t="shared" ref="M11:M74" si="56">K11/(1-O11)</f>
        <v>0.44329004329004329</v>
      </c>
      <c r="N11" s="386">
        <f t="shared" si="3"/>
        <v>0.96250000000000002</v>
      </c>
      <c r="O11" s="386">
        <f t="shared" si="4"/>
        <v>9.765625E-2</v>
      </c>
      <c r="P11" s="4">
        <f t="shared" si="5"/>
        <v>4.6864277777777774</v>
      </c>
      <c r="Q11" s="4">
        <f t="shared" si="6"/>
        <v>1.4236302793120192</v>
      </c>
      <c r="R11" s="386">
        <f t="shared" si="7"/>
        <v>4.6429199604262677E-3</v>
      </c>
      <c r="S11" s="386">
        <f t="shared" si="45"/>
        <v>0.49331349801014335</v>
      </c>
      <c r="T11" s="386">
        <f t="shared" si="46"/>
        <v>0.49795641797056961</v>
      </c>
      <c r="U11" s="4">
        <f t="shared" si="8"/>
        <v>0.46410285722896344</v>
      </c>
      <c r="V11" s="386">
        <f t="shared" si="9"/>
        <v>4.3078292417617525E-4</v>
      </c>
      <c r="W11" s="386">
        <f t="shared" si="47"/>
        <v>4.3078292417617525E-4</v>
      </c>
      <c r="X11" s="4">
        <f t="shared" si="10"/>
        <v>1.3528551695188697</v>
      </c>
      <c r="Y11" s="386">
        <f t="shared" si="11"/>
        <v>3.6604342193878596E-3</v>
      </c>
      <c r="Z11" s="603">
        <f t="shared" si="48"/>
        <v>3.6604342193878596E-3</v>
      </c>
      <c r="AA11" s="386">
        <f t="shared" si="12"/>
        <v>1.3966821589815961</v>
      </c>
      <c r="AB11" s="386">
        <f t="shared" si="13"/>
        <v>3.7063700011132359E-3</v>
      </c>
      <c r="AC11" s="386">
        <f t="shared" si="14"/>
        <v>8.3202314065915078E-3</v>
      </c>
      <c r="AD11" s="386">
        <f t="shared" si="15"/>
        <v>9.7160694444444438E-3</v>
      </c>
      <c r="AE11" s="386">
        <f t="shared" si="16"/>
        <v>2.1758800084928184E-2</v>
      </c>
      <c r="AF11" s="386">
        <f t="shared" si="17"/>
        <v>0.27568481814660312</v>
      </c>
      <c r="AG11" s="386">
        <f t="shared" si="18"/>
        <v>1.4440402601739871E-4</v>
      </c>
      <c r="AH11" s="386">
        <f t="shared" si="19"/>
        <v>0</v>
      </c>
      <c r="AI11" s="386">
        <f t="shared" si="20"/>
        <v>1.4440819664239573E-4</v>
      </c>
      <c r="AJ11" s="386">
        <f t="shared" si="21"/>
        <v>0.444884462285006</v>
      </c>
      <c r="AK11" s="386">
        <f t="shared" si="22"/>
        <v>9.8961092391309464E-5</v>
      </c>
      <c r="AL11" s="386">
        <f t="shared" si="23"/>
        <v>1.1262092029730675</v>
      </c>
      <c r="AM11" s="386">
        <f t="shared" si="24"/>
        <v>1.8691398148148148E-2</v>
      </c>
      <c r="AN11" s="386">
        <f t="shared" si="25"/>
        <v>1.1450222247436417</v>
      </c>
      <c r="AO11" s="386">
        <f t="shared" si="49"/>
        <v>1.3523316854201852</v>
      </c>
      <c r="AP11" s="386">
        <f t="shared" si="26"/>
        <v>9.1440049369569945E-4</v>
      </c>
      <c r="AQ11" s="386">
        <f t="shared" si="27"/>
        <v>0</v>
      </c>
      <c r="AR11" s="386">
        <f t="shared" si="28"/>
        <v>9.1456774993611139E-4</v>
      </c>
      <c r="AS11" s="386">
        <f t="shared" si="29"/>
        <v>0</v>
      </c>
      <c r="AT11" s="386">
        <f t="shared" si="30"/>
        <v>5.0611111111111117E-3</v>
      </c>
      <c r="AU11" s="386">
        <f t="shared" si="31"/>
        <v>0.10104947750000001</v>
      </c>
      <c r="AV11" s="386">
        <f t="shared" si="32"/>
        <v>8.2177291121743367E-4</v>
      </c>
      <c r="AW11" s="386" t="e">
        <f t="shared" si="33"/>
        <v>#VALUE!</v>
      </c>
      <c r="AX11" s="386">
        <f t="shared" si="34"/>
        <v>3.8400000000000004E-2</v>
      </c>
      <c r="AY11" s="386">
        <f t="shared" si="35"/>
        <v>0.62080000000000002</v>
      </c>
      <c r="AZ11" s="386">
        <f t="shared" si="36"/>
        <v>0.47314285714285709</v>
      </c>
      <c r="BA11" s="386">
        <f t="shared" ref="BA11:BA74" si="57">SUM(AX11:AY11)</f>
        <v>0.65920000000000001</v>
      </c>
      <c r="BB11" s="386" t="e">
        <f t="shared" ref="BB11:BB74" si="58">SUM(T11,W11,Z11,AE11,AI11,AN11,AR11, AT11,AU11,BA11,AV11,AW11)</f>
        <v>#VALUE!</v>
      </c>
      <c r="BC11">
        <f t="shared" si="37"/>
        <v>5.120000000000001</v>
      </c>
      <c r="BD11" s="604" t="e">
        <f t="shared" si="51"/>
        <v>#VALUE!</v>
      </c>
      <c r="BE11" s="614">
        <f t="shared" si="38"/>
        <v>60.585743994682083</v>
      </c>
      <c r="BF11" s="614">
        <f t="shared" si="39"/>
        <v>1.713044766246806</v>
      </c>
      <c r="BG11" s="9"/>
      <c r="BH11" s="4" t="e">
        <f t="shared" si="52"/>
        <v>#VALUE!</v>
      </c>
      <c r="BI11" s="386">
        <f t="shared" si="53"/>
        <v>0.49795641797056961</v>
      </c>
      <c r="BJ11" s="386">
        <f t="shared" si="54"/>
        <v>1.2688894782751483</v>
      </c>
      <c r="BK11" s="386">
        <f t="shared" si="40"/>
        <v>1.2117148798936417</v>
      </c>
      <c r="BL11" s="386">
        <f t="shared" si="41"/>
        <v>3.4260895324936119E-2</v>
      </c>
      <c r="BM11" s="386">
        <f t="shared" si="55"/>
        <v>8.2177291121743367E-4</v>
      </c>
      <c r="BQ11" t="s">
        <v>138</v>
      </c>
      <c r="BR11" s="18">
        <v>90</v>
      </c>
      <c r="BS11" s="18">
        <v>90</v>
      </c>
      <c r="BT11" s="18">
        <v>90</v>
      </c>
      <c r="BU11" s="19">
        <f>250000*(12-Vdd)*BT11/1000000000+((250000*BT9/1000000000*Vdd)*2.5/(2*4))</f>
        <v>0.14226562500000001</v>
      </c>
      <c r="BV11">
        <f t="shared" si="42"/>
        <v>11.381250000000001</v>
      </c>
      <c r="BW11">
        <f t="shared" si="42"/>
        <v>14.2265625</v>
      </c>
      <c r="BX11">
        <f t="shared" si="42"/>
        <v>17.071875000000002</v>
      </c>
      <c r="BY11">
        <f t="shared" si="42"/>
        <v>19.917187500000001</v>
      </c>
      <c r="BZ11">
        <f t="shared" si="42"/>
        <v>22.762500000000003</v>
      </c>
      <c r="CA11">
        <f t="shared" si="42"/>
        <v>25.607812500000001</v>
      </c>
      <c r="CB11">
        <f t="shared" si="42"/>
        <v>2.8453125000000004</v>
      </c>
      <c r="CC11">
        <f t="shared" si="42"/>
        <v>4.2679687500000005</v>
      </c>
      <c r="CD11">
        <f t="shared" si="42"/>
        <v>5.6906250000000007</v>
      </c>
      <c r="CE11">
        <f t="shared" si="42"/>
        <v>7.11328125</v>
      </c>
    </row>
    <row r="12" spans="1:83" x14ac:dyDescent="0.2">
      <c r="A12" s="22" t="s">
        <v>5</v>
      </c>
      <c r="B12" s="5">
        <f>Vout</f>
        <v>12.8</v>
      </c>
      <c r="C12" s="482" t="s">
        <v>0</v>
      </c>
      <c r="D12" s="21" t="s">
        <v>5</v>
      </c>
      <c r="G12">
        <v>3</v>
      </c>
      <c r="H12" s="610">
        <f t="shared" si="0"/>
        <v>12</v>
      </c>
      <c r="I12" s="4" t="str">
        <f t="shared" si="1"/>
        <v>BUCK-BST</v>
      </c>
      <c r="J12">
        <f t="shared" si="43"/>
        <v>3</v>
      </c>
      <c r="K12" s="386">
        <f t="shared" si="44"/>
        <v>0.6</v>
      </c>
      <c r="L12" s="4">
        <f t="shared" si="2"/>
        <v>0.71111111111111103</v>
      </c>
      <c r="M12" s="4">
        <f t="shared" si="56"/>
        <v>0.66493506493506493</v>
      </c>
      <c r="N12" s="386">
        <f t="shared" si="3"/>
        <v>0.96250000000000002</v>
      </c>
      <c r="O12" s="386">
        <f t="shared" si="4"/>
        <v>9.765625E-2</v>
      </c>
      <c r="P12" s="4">
        <f t="shared" si="5"/>
        <v>4.6858916666666666</v>
      </c>
      <c r="Q12" s="4">
        <f t="shared" si="6"/>
        <v>1.5072946073096907</v>
      </c>
      <c r="R12" s="386">
        <f t="shared" si="7"/>
        <v>5.2049021845619863E-3</v>
      </c>
      <c r="S12" s="386">
        <f t="shared" si="45"/>
        <v>0.49318348525553879</v>
      </c>
      <c r="T12" s="386">
        <f t="shared" si="46"/>
        <v>0.49838838744010078</v>
      </c>
      <c r="U12" s="4">
        <f t="shared" si="8"/>
        <v>0.48681738674285052</v>
      </c>
      <c r="V12" s="386">
        <f t="shared" si="9"/>
        <v>4.7398233607027617E-4</v>
      </c>
      <c r="W12" s="386">
        <f t="shared" si="47"/>
        <v>4.7398233607027617E-4</v>
      </c>
      <c r="X12" s="4">
        <f t="shared" si="10"/>
        <v>1.3527004075717122</v>
      </c>
      <c r="Y12" s="386">
        <f t="shared" si="11"/>
        <v>3.6595967852893524E-3</v>
      </c>
      <c r="Z12" s="603">
        <f t="shared" si="48"/>
        <v>3.6595967852893524E-3</v>
      </c>
      <c r="AA12" s="386">
        <f t="shared" si="12"/>
        <v>1.4787627918225905</v>
      </c>
      <c r="AB12" s="386">
        <f t="shared" si="13"/>
        <v>4.1548048495099899E-3</v>
      </c>
      <c r="AC12" s="386">
        <f t="shared" si="14"/>
        <v>1.2480347109887258E-2</v>
      </c>
      <c r="AD12" s="386">
        <f t="shared" si="15"/>
        <v>8.7147291666666658E-3</v>
      </c>
      <c r="AE12" s="386">
        <f t="shared" si="16"/>
        <v>2.5370963406423464E-2</v>
      </c>
      <c r="AF12" s="386">
        <f t="shared" si="17"/>
        <v>0.29188634559693394</v>
      </c>
      <c r="AG12" s="386">
        <f t="shared" si="18"/>
        <v>1.6187551361727224E-4</v>
      </c>
      <c r="AH12" s="386">
        <f t="shared" si="19"/>
        <v>0</v>
      </c>
      <c r="AI12" s="386">
        <f t="shared" si="20"/>
        <v>1.618807545233289E-4</v>
      </c>
      <c r="AJ12" s="386">
        <f t="shared" si="21"/>
        <v>0.47102956478427832</v>
      </c>
      <c r="AK12" s="386">
        <f t="shared" si="22"/>
        <v>1.1093442545043333E-4</v>
      </c>
      <c r="AL12" s="386">
        <f t="shared" si="23"/>
        <v>1.1262092029730675</v>
      </c>
      <c r="AM12" s="386">
        <f t="shared" si="24"/>
        <v>1.6318347222222224E-2</v>
      </c>
      <c r="AN12" s="386">
        <f t="shared" si="25"/>
        <v>1.142663836771983</v>
      </c>
      <c r="AO12" s="386">
        <f t="shared" si="49"/>
        <v>1.4318059164300194</v>
      </c>
      <c r="AP12" s="386">
        <f t="shared" si="26"/>
        <v>1.0250340911620039E-3</v>
      </c>
      <c r="AQ12" s="386">
        <f t="shared" si="27"/>
        <v>0</v>
      </c>
      <c r="AR12" s="386">
        <f t="shared" si="28"/>
        <v>1.0252442732283694E-3</v>
      </c>
      <c r="AS12" s="386">
        <f t="shared" si="29"/>
        <v>0</v>
      </c>
      <c r="AT12" s="386">
        <f t="shared" si="30"/>
        <v>7.5916666666666667E-3</v>
      </c>
      <c r="AU12" s="386">
        <f t="shared" si="31"/>
        <v>0.105173824375</v>
      </c>
      <c r="AV12" s="386">
        <f t="shared" si="32"/>
        <v>9.2119946894039816E-4</v>
      </c>
      <c r="AW12" s="386" t="e">
        <f t="shared" si="33"/>
        <v>#VALUE!</v>
      </c>
      <c r="AX12" s="386">
        <f t="shared" si="34"/>
        <v>3.8400000000000004E-2</v>
      </c>
      <c r="AY12" s="386">
        <f t="shared" si="35"/>
        <v>0.62080000000000002</v>
      </c>
      <c r="AZ12" s="386">
        <f t="shared" si="36"/>
        <v>0.47314285714285709</v>
      </c>
      <c r="BA12" s="386">
        <f t="shared" si="57"/>
        <v>0.65920000000000001</v>
      </c>
      <c r="BB12" s="386" t="e">
        <f t="shared" si="58"/>
        <v>#VALUE!</v>
      </c>
      <c r="BC12">
        <f t="shared" si="37"/>
        <v>7.68</v>
      </c>
      <c r="BD12" s="604" t="e">
        <f t="shared" si="51"/>
        <v>#VALUE!</v>
      </c>
      <c r="BE12" s="614">
        <f t="shared" si="38"/>
        <v>60.603928042974154</v>
      </c>
      <c r="BF12" s="614">
        <f t="shared" si="39"/>
        <v>1.7866303158489187</v>
      </c>
      <c r="BG12" s="9"/>
      <c r="BH12" s="4" t="e">
        <f t="shared" si="52"/>
        <v>#VALUE!</v>
      </c>
      <c r="BI12" s="386">
        <f t="shared" si="53"/>
        <v>0.49838838744010078</v>
      </c>
      <c r="BJ12" s="386">
        <f t="shared" si="54"/>
        <v>1.2743957495811582</v>
      </c>
      <c r="BK12" s="386">
        <f t="shared" si="40"/>
        <v>1.2120785608594831</v>
      </c>
      <c r="BL12" s="386">
        <f t="shared" si="41"/>
        <v>3.5732606316978374E-2</v>
      </c>
      <c r="BM12" s="386">
        <f t="shared" si="55"/>
        <v>9.2119946894039816E-4</v>
      </c>
      <c r="BQ12" t="s">
        <v>143</v>
      </c>
      <c r="BR12" s="18">
        <v>60</v>
      </c>
      <c r="BS12" s="18">
        <v>60</v>
      </c>
      <c r="BT12" s="18">
        <v>60</v>
      </c>
      <c r="BU12" s="19">
        <f>250000*(18-Vdd)*BT12/1000000000+((250000*BT9/1000000000*Vdd)*2.5/(2*4))</f>
        <v>0.198515625</v>
      </c>
      <c r="BV12">
        <f t="shared" si="42"/>
        <v>15.88125</v>
      </c>
      <c r="BW12">
        <f t="shared" si="42"/>
        <v>19.8515625</v>
      </c>
      <c r="BX12">
        <f t="shared" si="42"/>
        <v>23.821874999999999</v>
      </c>
      <c r="BY12">
        <f t="shared" si="42"/>
        <v>27.792187500000001</v>
      </c>
      <c r="BZ12">
        <f t="shared" si="42"/>
        <v>31.762499999999999</v>
      </c>
      <c r="CA12">
        <f t="shared" si="42"/>
        <v>35.732812500000001</v>
      </c>
      <c r="CB12">
        <f t="shared" si="42"/>
        <v>3.9703124999999999</v>
      </c>
      <c r="CC12">
        <f t="shared" si="42"/>
        <v>5.9554687499999996</v>
      </c>
      <c r="CD12">
        <f t="shared" si="42"/>
        <v>7.9406249999999998</v>
      </c>
      <c r="CE12">
        <f t="shared" si="42"/>
        <v>9.92578125</v>
      </c>
    </row>
    <row r="13" spans="1:83" x14ac:dyDescent="0.2">
      <c r="A13" s="22" t="s">
        <v>7</v>
      </c>
      <c r="B13" s="5">
        <f>Fsw/1000</f>
        <v>250</v>
      </c>
      <c r="C13" s="482" t="s">
        <v>3</v>
      </c>
      <c r="D13" s="21" t="s">
        <v>98</v>
      </c>
      <c r="G13">
        <v>4</v>
      </c>
      <c r="H13" s="610">
        <f t="shared" si="0"/>
        <v>12</v>
      </c>
      <c r="I13" s="4" t="str">
        <f t="shared" si="1"/>
        <v>BUCK-BST</v>
      </c>
      <c r="J13">
        <f t="shared" si="43"/>
        <v>3</v>
      </c>
      <c r="K13" s="386">
        <f t="shared" si="44"/>
        <v>0.8</v>
      </c>
      <c r="L13" s="4">
        <f t="shared" si="2"/>
        <v>0.9481481481481483</v>
      </c>
      <c r="M13" s="4">
        <f t="shared" si="56"/>
        <v>0.88658008658008658</v>
      </c>
      <c r="N13" s="386">
        <f t="shared" si="3"/>
        <v>0.96250000000000002</v>
      </c>
      <c r="O13" s="386">
        <f t="shared" si="4"/>
        <v>9.765625E-2</v>
      </c>
      <c r="P13" s="4">
        <f t="shared" si="5"/>
        <v>4.6853555555555557</v>
      </c>
      <c r="Q13" s="4">
        <f t="shared" si="6"/>
        <v>1.6172210651046741</v>
      </c>
      <c r="R13" s="386">
        <f t="shared" si="7"/>
        <v>5.9921461880842689E-3</v>
      </c>
      <c r="S13" s="386">
        <f t="shared" si="45"/>
        <v>0.49305349189611042</v>
      </c>
      <c r="T13" s="386">
        <f t="shared" si="46"/>
        <v>0.49904563808419466</v>
      </c>
      <c r="U13" s="4">
        <f t="shared" si="8"/>
        <v>0.51696120533793699</v>
      </c>
      <c r="V13" s="386">
        <f t="shared" si="9"/>
        <v>5.3449777564890534E-4</v>
      </c>
      <c r="W13" s="386">
        <f t="shared" si="47"/>
        <v>5.3449777564890534E-4</v>
      </c>
      <c r="X13" s="4">
        <f t="shared" si="10"/>
        <v>1.3525456456245544</v>
      </c>
      <c r="Y13" s="386">
        <f t="shared" si="11"/>
        <v>3.6587594469958853E-3</v>
      </c>
      <c r="Z13" s="603">
        <f t="shared" si="48"/>
        <v>3.6587594469958853E-3</v>
      </c>
      <c r="AA13" s="386">
        <f t="shared" si="12"/>
        <v>1.586608434496398</v>
      </c>
      <c r="AB13" s="386">
        <f t="shared" si="13"/>
        <v>4.7829200163887111E-3</v>
      </c>
      <c r="AC13" s="386">
        <f t="shared" si="14"/>
        <v>1.6640462813183016E-2</v>
      </c>
      <c r="AD13" s="386">
        <f t="shared" si="15"/>
        <v>7.7133888888888894E-3</v>
      </c>
      <c r="AE13" s="386">
        <f t="shared" si="16"/>
        <v>2.9164670175411286E-2</v>
      </c>
      <c r="AF13" s="386">
        <f t="shared" si="17"/>
        <v>0.31317351261431109</v>
      </c>
      <c r="AG13" s="386">
        <f t="shared" si="18"/>
        <v>1.8634753310605353E-4</v>
      </c>
      <c r="AH13" s="386">
        <f t="shared" si="19"/>
        <v>0</v>
      </c>
      <c r="AI13" s="386">
        <f t="shared" si="20"/>
        <v>1.8635447844552185E-4</v>
      </c>
      <c r="AJ13" s="386">
        <f t="shared" si="21"/>
        <v>0.50538158284521062</v>
      </c>
      <c r="AK13" s="386">
        <f t="shared" si="22"/>
        <v>1.2770527213956523E-4</v>
      </c>
      <c r="AL13" s="386">
        <f t="shared" si="23"/>
        <v>1.1262092029730675</v>
      </c>
      <c r="AM13" s="386">
        <f t="shared" si="24"/>
        <v>1.3945296296296298E-2</v>
      </c>
      <c r="AN13" s="386">
        <f t="shared" si="25"/>
        <v>1.1403113292952296</v>
      </c>
      <c r="AO13" s="386">
        <f t="shared" si="49"/>
        <v>1.5362270109391927</v>
      </c>
      <c r="AP13" s="386">
        <f t="shared" si="26"/>
        <v>1.1799967145695832E-3</v>
      </c>
      <c r="AQ13" s="386">
        <f t="shared" si="27"/>
        <v>0</v>
      </c>
      <c r="AR13" s="386">
        <f t="shared" si="28"/>
        <v>1.1802752587551069E-3</v>
      </c>
      <c r="AS13" s="386">
        <f t="shared" si="29"/>
        <v>0</v>
      </c>
      <c r="AT13" s="386">
        <f t="shared" si="30"/>
        <v>1.0122222222222223E-2</v>
      </c>
      <c r="AU13" s="386">
        <f t="shared" si="31"/>
        <v>0.10929791000000001</v>
      </c>
      <c r="AV13" s="386">
        <f t="shared" si="32"/>
        <v>1.0604645798469496E-3</v>
      </c>
      <c r="AW13" s="386" t="e">
        <f t="shared" si="33"/>
        <v>#VALUE!</v>
      </c>
      <c r="AX13" s="386">
        <f t="shared" si="34"/>
        <v>3.8400000000000004E-2</v>
      </c>
      <c r="AY13" s="386">
        <f t="shared" si="35"/>
        <v>0.62080000000000002</v>
      </c>
      <c r="AZ13" s="386">
        <f t="shared" si="36"/>
        <v>0.47314285714285709</v>
      </c>
      <c r="BA13" s="386">
        <f t="shared" si="57"/>
        <v>0.65920000000000001</v>
      </c>
      <c r="BB13" s="386" t="e">
        <f t="shared" si="58"/>
        <v>#VALUE!</v>
      </c>
      <c r="BC13">
        <f t="shared" si="37"/>
        <v>10.240000000000002</v>
      </c>
      <c r="BD13" s="604" t="e">
        <f t="shared" si="51"/>
        <v>#VALUE!</v>
      </c>
      <c r="BE13" s="614">
        <f t="shared" si="38"/>
        <v>60.622397494761479</v>
      </c>
      <c r="BF13" s="614">
        <f t="shared" si="39"/>
        <v>1.8624292779377556</v>
      </c>
      <c r="BG13" s="9"/>
      <c r="BH13" s="4" t="e">
        <f t="shared" si="52"/>
        <v>#VALUE!</v>
      </c>
      <c r="BI13" s="386">
        <f t="shared" si="53"/>
        <v>0.49904563808419466</v>
      </c>
      <c r="BJ13" s="386">
        <f t="shared" si="54"/>
        <v>1.2801405392078415</v>
      </c>
      <c r="BK13" s="386">
        <f t="shared" si="40"/>
        <v>1.2124479498952296</v>
      </c>
      <c r="BL13" s="386">
        <f t="shared" si="41"/>
        <v>3.7248585558755112E-2</v>
      </c>
      <c r="BM13" s="386">
        <f t="shared" si="55"/>
        <v>1.0604645798469496E-3</v>
      </c>
      <c r="BQ13" t="s">
        <v>139</v>
      </c>
      <c r="BR13" s="18">
        <v>30</v>
      </c>
      <c r="BS13" s="18">
        <v>30</v>
      </c>
      <c r="BT13" s="18">
        <v>30</v>
      </c>
      <c r="BU13" s="19">
        <f>500000*(5-Vdd)*BT13/1000000000+((500000*BT9/1000000000*Vdd)*2.5/(2*4))</f>
        <v>4.4531250000000001E-2</v>
      </c>
      <c r="BV13">
        <f t="shared" si="42"/>
        <v>3.5625</v>
      </c>
      <c r="BW13">
        <f t="shared" si="42"/>
        <v>4.453125</v>
      </c>
      <c r="BX13">
        <f t="shared" si="42"/>
        <v>5.34375</v>
      </c>
      <c r="BY13">
        <f t="shared" si="42"/>
        <v>6.234375</v>
      </c>
      <c r="BZ13">
        <f t="shared" si="42"/>
        <v>7.125</v>
      </c>
      <c r="CA13">
        <f t="shared" si="42"/>
        <v>8.015625</v>
      </c>
      <c r="CB13">
        <f t="shared" si="42"/>
        <v>0.890625</v>
      </c>
      <c r="CC13">
        <f t="shared" si="42"/>
        <v>1.3359375</v>
      </c>
      <c r="CD13">
        <f t="shared" si="42"/>
        <v>1.78125</v>
      </c>
      <c r="CE13">
        <f t="shared" si="42"/>
        <v>2.2265625</v>
      </c>
    </row>
    <row r="14" spans="1:83" x14ac:dyDescent="0.2">
      <c r="A14" s="22" t="s">
        <v>6</v>
      </c>
      <c r="B14" s="5">
        <f>Iout</f>
        <v>20</v>
      </c>
      <c r="C14" s="482" t="s">
        <v>2</v>
      </c>
      <c r="D14" s="21" t="s">
        <v>99</v>
      </c>
      <c r="G14">
        <v>5</v>
      </c>
      <c r="H14" s="610">
        <f t="shared" si="0"/>
        <v>12</v>
      </c>
      <c r="I14" s="4" t="str">
        <f t="shared" si="1"/>
        <v>BUCK-BST</v>
      </c>
      <c r="J14">
        <f t="shared" si="43"/>
        <v>3</v>
      </c>
      <c r="K14" s="386">
        <f t="shared" si="44"/>
        <v>1</v>
      </c>
      <c r="L14" s="4">
        <f t="shared" si="2"/>
        <v>1.1851851851851851</v>
      </c>
      <c r="M14" s="4">
        <f t="shared" si="56"/>
        <v>1.1082251082251082</v>
      </c>
      <c r="N14" s="386">
        <f t="shared" si="3"/>
        <v>0.96250000000000002</v>
      </c>
      <c r="O14" s="386">
        <f t="shared" si="4"/>
        <v>9.765625E-2</v>
      </c>
      <c r="P14" s="4">
        <f t="shared" si="5"/>
        <v>4.684819444444444</v>
      </c>
      <c r="Q14" s="4">
        <f t="shared" si="6"/>
        <v>1.7484633232511002</v>
      </c>
      <c r="R14" s="386">
        <f t="shared" si="7"/>
        <v>7.0047370522733398E-3</v>
      </c>
      <c r="S14" s="386">
        <f t="shared" si="45"/>
        <v>0.49292351793118339</v>
      </c>
      <c r="T14" s="386">
        <f t="shared" si="46"/>
        <v>0.49992825498345672</v>
      </c>
      <c r="U14" s="4">
        <f t="shared" si="8"/>
        <v>0.55332144496308044</v>
      </c>
      <c r="V14" s="386">
        <f t="shared" si="9"/>
        <v>6.1232924291206253E-4</v>
      </c>
      <c r="W14" s="386">
        <f t="shared" si="47"/>
        <v>6.1232924291206253E-4</v>
      </c>
      <c r="X14" s="4">
        <f t="shared" si="10"/>
        <v>1.3523908836773963</v>
      </c>
      <c r="Y14" s="386">
        <f t="shared" si="11"/>
        <v>3.6579222045074579E-3</v>
      </c>
      <c r="Z14" s="603">
        <f t="shared" si="48"/>
        <v>3.6579222045074579E-3</v>
      </c>
      <c r="AA14" s="386">
        <f t="shared" si="12"/>
        <v>1.7153663874012444</v>
      </c>
      <c r="AB14" s="386">
        <f t="shared" si="13"/>
        <v>5.5907155017493925E-3</v>
      </c>
      <c r="AC14" s="386">
        <f t="shared" si="14"/>
        <v>2.0800578516478766E-2</v>
      </c>
      <c r="AD14" s="386">
        <f t="shared" si="15"/>
        <v>6.7120486111111096E-3</v>
      </c>
      <c r="AE14" s="386">
        <f t="shared" si="16"/>
        <v>3.3140398337082724E-2</v>
      </c>
      <c r="AF14" s="386">
        <f t="shared" si="17"/>
        <v>0.33858846662029923</v>
      </c>
      <c r="AG14" s="386">
        <f t="shared" si="18"/>
        <v>2.1782008448374243E-4</v>
      </c>
      <c r="AH14" s="386">
        <f t="shared" si="19"/>
        <v>0</v>
      </c>
      <c r="AI14" s="386">
        <f t="shared" si="20"/>
        <v>2.1782957401498542E-4</v>
      </c>
      <c r="AJ14" s="386">
        <f t="shared" si="21"/>
        <v>0.54639478851596879</v>
      </c>
      <c r="AK14" s="386">
        <f t="shared" si="22"/>
        <v>1.4927363245870512E-4</v>
      </c>
      <c r="AL14" s="386">
        <f t="shared" si="23"/>
        <v>1.1262092029730675</v>
      </c>
      <c r="AM14" s="386">
        <f t="shared" si="24"/>
        <v>1.1572245370370368E-2</v>
      </c>
      <c r="AN14" s="386">
        <f t="shared" si="25"/>
        <v>1.1379646956006408</v>
      </c>
      <c r="AO14" s="386">
        <f t="shared" si="49"/>
        <v>1.6608963627622499</v>
      </c>
      <c r="AP14" s="386">
        <f t="shared" si="26"/>
        <v>1.3792883639184357E-3</v>
      </c>
      <c r="AQ14" s="386">
        <f t="shared" si="27"/>
        <v>0</v>
      </c>
      <c r="AR14" s="386">
        <f t="shared" si="28"/>
        <v>1.3796689561859012E-3</v>
      </c>
      <c r="AS14" s="386">
        <f t="shared" si="29"/>
        <v>0</v>
      </c>
      <c r="AT14" s="386">
        <f t="shared" si="30"/>
        <v>1.2652777777777777E-2</v>
      </c>
      <c r="AU14" s="386">
        <f t="shared" si="31"/>
        <v>0.11342173437500001</v>
      </c>
      <c r="AV14" s="386">
        <f t="shared" si="32"/>
        <v>1.239568243937087E-3</v>
      </c>
      <c r="AW14" s="386" t="e">
        <f t="shared" si="33"/>
        <v>#VALUE!</v>
      </c>
      <c r="AX14" s="386">
        <f t="shared" si="34"/>
        <v>3.8400000000000004E-2</v>
      </c>
      <c r="AY14" s="386">
        <f t="shared" si="35"/>
        <v>0.62080000000000002</v>
      </c>
      <c r="AZ14" s="386">
        <f t="shared" si="36"/>
        <v>0.47314285714285709</v>
      </c>
      <c r="BA14" s="386">
        <f t="shared" si="57"/>
        <v>0.65920000000000001</v>
      </c>
      <c r="BB14" s="386" t="e">
        <f t="shared" si="58"/>
        <v>#VALUE!</v>
      </c>
      <c r="BC14">
        <f t="shared" si="37"/>
        <v>12.8</v>
      </c>
      <c r="BD14" s="604" t="e">
        <f t="shared" si="51"/>
        <v>#VALUE!</v>
      </c>
      <c r="BE14" s="614">
        <f t="shared" si="38"/>
        <v>60.641152014407041</v>
      </c>
      <c r="BF14" s="614">
        <f t="shared" si="39"/>
        <v>1.9404420649967953</v>
      </c>
      <c r="BG14" s="9"/>
      <c r="BH14" s="4" t="e">
        <f t="shared" si="52"/>
        <v>#VALUE!</v>
      </c>
      <c r="BI14" s="386">
        <f t="shared" si="53"/>
        <v>0.49992825498345672</v>
      </c>
      <c r="BJ14" s="386">
        <f t="shared" si="54"/>
        <v>1.2861243268429243</v>
      </c>
      <c r="BK14" s="386">
        <f t="shared" si="40"/>
        <v>1.2128230402881408</v>
      </c>
      <c r="BL14" s="386">
        <f t="shared" si="41"/>
        <v>3.8808841299935906E-2</v>
      </c>
      <c r="BM14" s="386">
        <f t="shared" si="55"/>
        <v>1.239568243937087E-3</v>
      </c>
      <c r="BQ14" t="s">
        <v>142</v>
      </c>
      <c r="BR14" s="18">
        <v>45</v>
      </c>
      <c r="BS14" s="18">
        <v>45</v>
      </c>
      <c r="BT14" s="18">
        <v>45</v>
      </c>
      <c r="BU14" s="19">
        <f>500000*(12-Vdd)*BT14/1000000000+((500000*BT9/1000000000*Vdd)*2.5/(2*4))</f>
        <v>0.18328125000000001</v>
      </c>
      <c r="BV14">
        <f t="shared" si="42"/>
        <v>14.662500000000001</v>
      </c>
      <c r="BW14">
        <f t="shared" si="42"/>
        <v>18.328125</v>
      </c>
      <c r="BX14">
        <f t="shared" si="42"/>
        <v>21.993750000000002</v>
      </c>
      <c r="BY14">
        <f t="shared" si="42"/>
        <v>25.659375000000001</v>
      </c>
      <c r="BZ14">
        <f t="shared" si="42"/>
        <v>29.325000000000003</v>
      </c>
      <c r="CA14">
        <f t="shared" si="42"/>
        <v>32.990625000000001</v>
      </c>
      <c r="CB14">
        <f t="shared" si="42"/>
        <v>3.6656250000000004</v>
      </c>
      <c r="CC14">
        <f t="shared" si="42"/>
        <v>5.4984375000000005</v>
      </c>
      <c r="CD14">
        <f t="shared" si="42"/>
        <v>7.3312500000000007</v>
      </c>
      <c r="CE14">
        <f t="shared" si="42"/>
        <v>9.1640625</v>
      </c>
    </row>
    <row r="15" spans="1:83" x14ac:dyDescent="0.2">
      <c r="A15" s="23" t="s">
        <v>87</v>
      </c>
      <c r="B15" s="5">
        <f>Ta</f>
        <v>25</v>
      </c>
      <c r="C15" s="482" t="s">
        <v>673</v>
      </c>
      <c r="D15" s="21" t="s">
        <v>100</v>
      </c>
      <c r="G15">
        <v>6</v>
      </c>
      <c r="H15" s="610">
        <f t="shared" si="0"/>
        <v>12</v>
      </c>
      <c r="I15" s="4" t="str">
        <f t="shared" si="1"/>
        <v>BUCK-BST</v>
      </c>
      <c r="J15">
        <f t="shared" si="43"/>
        <v>3</v>
      </c>
      <c r="K15" s="386">
        <f t="shared" si="44"/>
        <v>1.2</v>
      </c>
      <c r="L15" s="4">
        <f t="shared" si="2"/>
        <v>1.4222222222222221</v>
      </c>
      <c r="M15" s="4">
        <f t="shared" si="56"/>
        <v>1.3298701298701299</v>
      </c>
      <c r="N15" s="386">
        <f t="shared" si="3"/>
        <v>0.96250000000000002</v>
      </c>
      <c r="O15" s="386">
        <f t="shared" si="4"/>
        <v>9.765625E-2</v>
      </c>
      <c r="P15" s="4">
        <f t="shared" si="5"/>
        <v>4.6842833333333331</v>
      </c>
      <c r="Q15" s="4">
        <f t="shared" si="6"/>
        <v>1.8966014581964321</v>
      </c>
      <c r="R15" s="386">
        <f t="shared" si="7"/>
        <v>8.2427842363638777E-3</v>
      </c>
      <c r="S15" s="386">
        <f t="shared" si="45"/>
        <v>0.49279356336008223</v>
      </c>
      <c r="T15" s="386">
        <f t="shared" si="46"/>
        <v>0.50103634759644611</v>
      </c>
      <c r="U15" s="4">
        <f t="shared" si="8"/>
        <v>0.59475908478128703</v>
      </c>
      <c r="V15" s="386">
        <f t="shared" si="9"/>
        <v>7.074767378597483E-4</v>
      </c>
      <c r="W15" s="386">
        <f t="shared" si="47"/>
        <v>7.074767378597483E-4</v>
      </c>
      <c r="X15" s="4">
        <f t="shared" si="10"/>
        <v>1.3522361217302388</v>
      </c>
      <c r="Y15" s="386">
        <f t="shared" si="11"/>
        <v>3.6570850578240745E-3</v>
      </c>
      <c r="Z15" s="603">
        <f t="shared" si="48"/>
        <v>3.6570850578240745E-3</v>
      </c>
      <c r="AA15" s="386">
        <f t="shared" si="12"/>
        <v>1.8607003924091599</v>
      </c>
      <c r="AB15" s="386">
        <f t="shared" si="13"/>
        <v>6.5781913055920427E-3</v>
      </c>
      <c r="AC15" s="386">
        <f t="shared" si="14"/>
        <v>2.4960694219774517E-2</v>
      </c>
      <c r="AD15" s="386">
        <f t="shared" si="15"/>
        <v>5.7107083333333333E-3</v>
      </c>
      <c r="AE15" s="386">
        <f t="shared" si="16"/>
        <v>3.7298665410001944E-2</v>
      </c>
      <c r="AF15" s="386">
        <f t="shared" si="17"/>
        <v>0.36727529309937412</v>
      </c>
      <c r="AG15" s="386">
        <f t="shared" si="18"/>
        <v>2.5629316775033922E-4</v>
      </c>
      <c r="AH15" s="386">
        <f t="shared" si="19"/>
        <v>0</v>
      </c>
      <c r="AI15" s="386">
        <f t="shared" si="20"/>
        <v>2.5630630566133769E-4</v>
      </c>
      <c r="AJ15" s="386">
        <f t="shared" si="21"/>
        <v>0.59268795568638499</v>
      </c>
      <c r="AK15" s="386">
        <f t="shared" si="22"/>
        <v>1.7563950640785315E-4</v>
      </c>
      <c r="AL15" s="386">
        <f t="shared" si="23"/>
        <v>1.1262092029730675</v>
      </c>
      <c r="AM15" s="386">
        <f t="shared" si="24"/>
        <v>9.1991944444444456E-3</v>
      </c>
      <c r="AN15" s="386">
        <f t="shared" si="25"/>
        <v>1.1356239290091912</v>
      </c>
      <c r="AO15" s="386">
        <f t="shared" si="49"/>
        <v>1.8016154080205704</v>
      </c>
      <c r="AP15" s="386">
        <f t="shared" si="26"/>
        <v>1.6229090392085633E-3</v>
      </c>
      <c r="AQ15" s="386">
        <f t="shared" si="27"/>
        <v>0</v>
      </c>
      <c r="AR15" s="386">
        <f t="shared" si="28"/>
        <v>1.623435976992891E-3</v>
      </c>
      <c r="AS15" s="386">
        <f t="shared" si="29"/>
        <v>0</v>
      </c>
      <c r="AT15" s="386">
        <f t="shared" si="30"/>
        <v>1.5183333333333333E-2</v>
      </c>
      <c r="AU15" s="386">
        <f t="shared" si="31"/>
        <v>0.11754529750000001</v>
      </c>
      <c r="AV15" s="386">
        <f t="shared" si="32"/>
        <v>1.4585104612108125E-3</v>
      </c>
      <c r="AW15" s="386" t="e">
        <f t="shared" si="33"/>
        <v>#VALUE!</v>
      </c>
      <c r="AX15" s="386">
        <f t="shared" si="34"/>
        <v>3.8400000000000004E-2</v>
      </c>
      <c r="AY15" s="386">
        <f t="shared" si="35"/>
        <v>0.62080000000000002</v>
      </c>
      <c r="AZ15" s="386">
        <f t="shared" si="36"/>
        <v>0.47314285714285709</v>
      </c>
      <c r="BA15" s="386">
        <f t="shared" si="57"/>
        <v>0.65920000000000001</v>
      </c>
      <c r="BB15" s="386" t="e">
        <f t="shared" si="58"/>
        <v>#VALUE!</v>
      </c>
      <c r="BC15">
        <f t="shared" si="37"/>
        <v>15.36</v>
      </c>
      <c r="BD15" s="604" t="e">
        <f t="shared" si="51"/>
        <v>#VALUE!</v>
      </c>
      <c r="BE15" s="614">
        <f t="shared" si="38"/>
        <v>60.660191267959561</v>
      </c>
      <c r="BF15" s="614">
        <f t="shared" si="39"/>
        <v>2.0206692075996449</v>
      </c>
      <c r="BG15" s="9"/>
      <c r="BH15" s="4" t="e">
        <f t="shared" si="52"/>
        <v>#VALUE!</v>
      </c>
      <c r="BI15" s="386">
        <f t="shared" si="53"/>
        <v>0.50103634759644611</v>
      </c>
      <c r="BJ15" s="386">
        <f t="shared" si="54"/>
        <v>1.2923476342018474</v>
      </c>
      <c r="BK15" s="386">
        <f t="shared" si="40"/>
        <v>1.2132038253591912</v>
      </c>
      <c r="BL15" s="386">
        <f t="shared" si="41"/>
        <v>4.0413384151992894E-2</v>
      </c>
      <c r="BM15" s="386">
        <f t="shared" si="55"/>
        <v>1.4585104612108125E-3</v>
      </c>
      <c r="BQ15" t="s">
        <v>140</v>
      </c>
      <c r="BR15" s="18">
        <v>20</v>
      </c>
      <c r="BS15" s="18">
        <v>20</v>
      </c>
      <c r="BT15" s="18">
        <v>20</v>
      </c>
      <c r="BU15" s="19">
        <f>1000000*(5-Vdd)*BT15/1000000000+((1000000*BT9/1000000000*Vdd)*2.5/(2*4))</f>
        <v>0.1140625</v>
      </c>
      <c r="BV15">
        <f t="shared" si="42"/>
        <v>9.125</v>
      </c>
      <c r="BW15">
        <f t="shared" si="42"/>
        <v>11.40625</v>
      </c>
      <c r="BX15">
        <f t="shared" si="42"/>
        <v>13.6875</v>
      </c>
      <c r="BY15">
        <f t="shared" si="42"/>
        <v>15.96875</v>
      </c>
      <c r="BZ15">
        <f t="shared" si="42"/>
        <v>18.25</v>
      </c>
      <c r="CA15">
        <f t="shared" si="42"/>
        <v>20.53125</v>
      </c>
      <c r="CB15">
        <f t="shared" si="42"/>
        <v>2.28125</v>
      </c>
      <c r="CC15">
        <f t="shared" si="42"/>
        <v>3.421875</v>
      </c>
      <c r="CD15">
        <f t="shared" si="42"/>
        <v>4.5625</v>
      </c>
      <c r="CE15">
        <f t="shared" si="42"/>
        <v>5.703125</v>
      </c>
    </row>
    <row r="16" spans="1:83" x14ac:dyDescent="0.2">
      <c r="A16" s="490" t="s">
        <v>684</v>
      </c>
      <c r="B16" s="5">
        <f>Vdd</f>
        <v>7.5</v>
      </c>
      <c r="C16" s="482" t="s">
        <v>0</v>
      </c>
      <c r="D16" s="482" t="s">
        <v>683</v>
      </c>
      <c r="G16">
        <v>7</v>
      </c>
      <c r="H16" s="610">
        <f t="shared" si="0"/>
        <v>12</v>
      </c>
      <c r="I16" s="4" t="str">
        <f t="shared" si="1"/>
        <v>BUCK-BST</v>
      </c>
      <c r="J16">
        <f t="shared" si="43"/>
        <v>3</v>
      </c>
      <c r="K16" s="386">
        <f t="shared" si="44"/>
        <v>1.4</v>
      </c>
      <c r="L16" s="4">
        <f t="shared" si="2"/>
        <v>1.659259259259259</v>
      </c>
      <c r="M16" s="4">
        <f t="shared" si="56"/>
        <v>1.5515151515151515</v>
      </c>
      <c r="N16" s="386">
        <f t="shared" si="3"/>
        <v>0.96250000000000002</v>
      </c>
      <c r="O16" s="386">
        <f t="shared" si="4"/>
        <v>9.765625E-2</v>
      </c>
      <c r="P16" s="4">
        <f t="shared" si="5"/>
        <v>4.6837472222222223</v>
      </c>
      <c r="Q16" s="4">
        <f t="shared" si="6"/>
        <v>2.0579901041681294</v>
      </c>
      <c r="R16" s="386">
        <f t="shared" si="7"/>
        <v>9.706421607134268E-3</v>
      </c>
      <c r="S16" s="386">
        <f t="shared" si="45"/>
        <v>0.49266362818213361</v>
      </c>
      <c r="T16" s="386">
        <f t="shared" si="46"/>
        <v>0.50237004978926791</v>
      </c>
      <c r="U16" s="4">
        <f t="shared" si="8"/>
        <v>0.64028909895919761</v>
      </c>
      <c r="V16" s="386">
        <f t="shared" si="9"/>
        <v>8.1994026049196232E-4</v>
      </c>
      <c r="W16" s="386">
        <f t="shared" si="47"/>
        <v>8.1994026049196232E-4</v>
      </c>
      <c r="X16" s="4">
        <f t="shared" si="10"/>
        <v>1.352081359783081</v>
      </c>
      <c r="Y16" s="386">
        <f t="shared" si="11"/>
        <v>3.6562480069457304E-3</v>
      </c>
      <c r="Z16" s="603">
        <f t="shared" si="48"/>
        <v>3.6562480069457304E-3</v>
      </c>
      <c r="AA16" s="386">
        <f t="shared" si="12"/>
        <v>2.0190340874467489</v>
      </c>
      <c r="AB16" s="386">
        <f t="shared" si="13"/>
        <v>7.7453474279166601E-3</v>
      </c>
      <c r="AC16" s="386">
        <f t="shared" si="14"/>
        <v>2.9120809923070264E-2</v>
      </c>
      <c r="AD16" s="386">
        <f t="shared" si="15"/>
        <v>4.709368055555556E-3</v>
      </c>
      <c r="AE16" s="386">
        <f t="shared" si="16"/>
        <v>4.1640028704387259E-2</v>
      </c>
      <c r="AF16" s="386">
        <f t="shared" si="17"/>
        <v>0.39852807000514151</v>
      </c>
      <c r="AG16" s="386">
        <f t="shared" si="18"/>
        <v>3.0176678290584369E-4</v>
      </c>
      <c r="AH16" s="386">
        <f t="shared" si="19"/>
        <v>0</v>
      </c>
      <c r="AI16" s="386">
        <f t="shared" si="20"/>
        <v>3.0178499664335696E-4</v>
      </c>
      <c r="AJ16" s="386">
        <f t="shared" si="21"/>
        <v>0.64312190755254051</v>
      </c>
      <c r="AK16" s="386">
        <f t="shared" si="22"/>
        <v>2.0680289398700925E-4</v>
      </c>
      <c r="AL16" s="386">
        <f t="shared" si="23"/>
        <v>1.1262092029730675</v>
      </c>
      <c r="AM16" s="386">
        <f t="shared" si="24"/>
        <v>6.8261435185185222E-3</v>
      </c>
      <c r="AN16" s="386">
        <f t="shared" si="25"/>
        <v>1.1332890228755039</v>
      </c>
      <c r="AO16" s="386">
        <f t="shared" si="49"/>
        <v>1.9549213490265869</v>
      </c>
      <c r="AP16" s="386">
        <f t="shared" si="26"/>
        <v>1.9108587404399651E-3</v>
      </c>
      <c r="AQ16" s="386">
        <f t="shared" si="27"/>
        <v>0</v>
      </c>
      <c r="AR16" s="386">
        <f t="shared" si="28"/>
        <v>1.9115892958627913E-3</v>
      </c>
      <c r="AS16" s="386">
        <f t="shared" si="29"/>
        <v>0</v>
      </c>
      <c r="AT16" s="386">
        <f t="shared" si="30"/>
        <v>1.7713888888888887E-2</v>
      </c>
      <c r="AU16" s="386">
        <f t="shared" si="31"/>
        <v>0.12166859937500001</v>
      </c>
      <c r="AV16" s="386">
        <f t="shared" si="32"/>
        <v>1.7172912316681245E-3</v>
      </c>
      <c r="AW16" s="386" t="e">
        <f t="shared" si="33"/>
        <v>#VALUE!</v>
      </c>
      <c r="AX16" s="386">
        <f t="shared" si="34"/>
        <v>3.8400000000000004E-2</v>
      </c>
      <c r="AY16" s="386">
        <f t="shared" si="35"/>
        <v>0.62080000000000002</v>
      </c>
      <c r="AZ16" s="386">
        <f t="shared" si="36"/>
        <v>0.47314285714285709</v>
      </c>
      <c r="BA16" s="386">
        <f t="shared" si="57"/>
        <v>0.65920000000000001</v>
      </c>
      <c r="BB16" s="386" t="e">
        <f t="shared" si="58"/>
        <v>#VALUE!</v>
      </c>
      <c r="BC16">
        <f t="shared" si="37"/>
        <v>17.919999999999998</v>
      </c>
      <c r="BD16" s="604" t="e">
        <f t="shared" si="51"/>
        <v>#VALUE!</v>
      </c>
      <c r="BE16" s="614">
        <f t="shared" si="38"/>
        <v>60.679514923150201</v>
      </c>
      <c r="BF16" s="614">
        <f t="shared" si="39"/>
        <v>2.1031113544806397</v>
      </c>
      <c r="BG16" s="9"/>
      <c r="BH16" s="4" t="e">
        <f t="shared" si="52"/>
        <v>#VALUE!</v>
      </c>
      <c r="BI16" s="386">
        <f t="shared" si="53"/>
        <v>0.50237004978926791</v>
      </c>
      <c r="BJ16" s="386">
        <f t="shared" si="54"/>
        <v>1.2988110252473972</v>
      </c>
      <c r="BK16" s="386">
        <f t="shared" si="40"/>
        <v>1.213590298463004</v>
      </c>
      <c r="BL16" s="386">
        <f t="shared" si="41"/>
        <v>4.2062227089612797E-2</v>
      </c>
      <c r="BM16" s="386">
        <f t="shared" si="55"/>
        <v>1.7172912316681245E-3</v>
      </c>
      <c r="BQ16" t="s">
        <v>141</v>
      </c>
      <c r="BR16" s="18">
        <v>25</v>
      </c>
      <c r="BS16" s="18">
        <v>25</v>
      </c>
      <c r="BT16" s="18">
        <v>25</v>
      </c>
      <c r="BU16" s="19">
        <f>1000000*(12-Vdd)*BT16/1000000000+((1000000*BT9/1000000000*Vdd)*2.5/(2*4))</f>
        <v>0.27656249999999999</v>
      </c>
      <c r="BV16">
        <f t="shared" si="42"/>
        <v>22.125</v>
      </c>
      <c r="BW16">
        <f t="shared" si="42"/>
        <v>27.65625</v>
      </c>
      <c r="BX16">
        <f t="shared" si="42"/>
        <v>33.1875</v>
      </c>
      <c r="BY16">
        <f t="shared" si="42"/>
        <v>38.71875</v>
      </c>
      <c r="BZ16">
        <f t="shared" si="42"/>
        <v>44.25</v>
      </c>
      <c r="CA16">
        <f t="shared" si="42"/>
        <v>49.78125</v>
      </c>
      <c r="CB16">
        <f t="shared" si="42"/>
        <v>5.53125</v>
      </c>
      <c r="CC16">
        <f t="shared" si="42"/>
        <v>8.296875</v>
      </c>
      <c r="CD16">
        <f t="shared" si="42"/>
        <v>11.0625</v>
      </c>
      <c r="CE16">
        <f t="shared" si="42"/>
        <v>13.828125</v>
      </c>
    </row>
    <row r="17" spans="1:83" x14ac:dyDescent="0.2">
      <c r="A17" s="24" t="s">
        <v>62</v>
      </c>
      <c r="B17" s="16" t="s">
        <v>115</v>
      </c>
      <c r="C17" s="24" t="s">
        <v>80</v>
      </c>
      <c r="D17" s="17" t="s">
        <v>111</v>
      </c>
      <c r="G17">
        <v>8</v>
      </c>
      <c r="H17" s="610">
        <f t="shared" si="0"/>
        <v>12</v>
      </c>
      <c r="I17" s="4" t="str">
        <f t="shared" si="1"/>
        <v>BUCK-BST</v>
      </c>
      <c r="J17">
        <f t="shared" si="43"/>
        <v>3</v>
      </c>
      <c r="K17" s="386">
        <f t="shared" si="44"/>
        <v>1.6</v>
      </c>
      <c r="L17" s="4">
        <f t="shared" si="2"/>
        <v>1.8962962962962966</v>
      </c>
      <c r="M17" s="4">
        <f t="shared" si="56"/>
        <v>1.7731601731601732</v>
      </c>
      <c r="N17" s="386">
        <f t="shared" si="3"/>
        <v>0.96250000000000002</v>
      </c>
      <c r="O17" s="386">
        <f t="shared" si="4"/>
        <v>9.765625E-2</v>
      </c>
      <c r="P17" s="4">
        <f t="shared" si="5"/>
        <v>4.6832111111111105</v>
      </c>
      <c r="Q17" s="4">
        <f t="shared" si="6"/>
        <v>2.2297539159327937</v>
      </c>
      <c r="R17" s="386">
        <f t="shared" si="7"/>
        <v>1.1395807475107917E-2</v>
      </c>
      <c r="S17" s="386">
        <f t="shared" si="45"/>
        <v>0.49253371239666138</v>
      </c>
      <c r="T17" s="386">
        <f t="shared" si="46"/>
        <v>0.50392951987176926</v>
      </c>
      <c r="U17" s="4">
        <f t="shared" si="8"/>
        <v>0.68910079480751751</v>
      </c>
      <c r="V17" s="386">
        <f t="shared" si="9"/>
        <v>9.497198108087047E-4</v>
      </c>
      <c r="W17" s="386">
        <f t="shared" si="47"/>
        <v>9.497198108087047E-4</v>
      </c>
      <c r="X17" s="4">
        <f t="shared" si="10"/>
        <v>1.3519265978359232</v>
      </c>
      <c r="Y17" s="386">
        <f t="shared" si="11"/>
        <v>3.6554110518724281E-3</v>
      </c>
      <c r="Z17" s="603">
        <f t="shared" si="48"/>
        <v>3.6554110518724281E-3</v>
      </c>
      <c r="AA17" s="386">
        <f t="shared" si="12"/>
        <v>2.1875465551404769</v>
      </c>
      <c r="AB17" s="386">
        <f t="shared" si="13"/>
        <v>9.0921838687232377E-3</v>
      </c>
      <c r="AC17" s="386">
        <f t="shared" si="14"/>
        <v>3.3280925626366031E-2</v>
      </c>
      <c r="AD17" s="386">
        <f t="shared" si="15"/>
        <v>3.7080277777777762E-3</v>
      </c>
      <c r="AE17" s="386">
        <f t="shared" si="16"/>
        <v>4.6165085562116258E-2</v>
      </c>
      <c r="AF17" s="386">
        <f t="shared" si="17"/>
        <v>0.431789989127424</v>
      </c>
      <c r="AG17" s="386">
        <f t="shared" si="18"/>
        <v>3.5424092995025577E-4</v>
      </c>
      <c r="AH17" s="386">
        <f t="shared" si="19"/>
        <v>0</v>
      </c>
      <c r="AI17" s="386">
        <f t="shared" si="20"/>
        <v>3.5426602905577227E-4</v>
      </c>
      <c r="AJ17" s="386">
        <f t="shared" si="21"/>
        <v>0.69679809872899801</v>
      </c>
      <c r="AK17" s="386">
        <f t="shared" si="22"/>
        <v>2.4276379519617324E-4</v>
      </c>
      <c r="AL17" s="386">
        <f t="shared" si="23"/>
        <v>1.1262092029730675</v>
      </c>
      <c r="AM17" s="386">
        <f t="shared" si="24"/>
        <v>4.4530925925925866E-3</v>
      </c>
      <c r="AN17" s="386">
        <f t="shared" si="25"/>
        <v>1.1309599705877913</v>
      </c>
      <c r="AO17" s="386">
        <f t="shared" si="49"/>
        <v>2.1180828442781179</v>
      </c>
      <c r="AP17" s="386">
        <f t="shared" si="26"/>
        <v>2.243137467612641E-3</v>
      </c>
      <c r="AQ17" s="386">
        <f t="shared" si="27"/>
        <v>0</v>
      </c>
      <c r="AR17" s="386">
        <f t="shared" si="28"/>
        <v>2.2441442524237087E-3</v>
      </c>
      <c r="AS17" s="386">
        <f t="shared" si="29"/>
        <v>0</v>
      </c>
      <c r="AT17" s="386">
        <f t="shared" si="30"/>
        <v>2.0244444444444447E-2</v>
      </c>
      <c r="AU17" s="386">
        <f t="shared" si="31"/>
        <v>0.12579164000000001</v>
      </c>
      <c r="AV17" s="386">
        <f t="shared" si="32"/>
        <v>2.015910555309022E-3</v>
      </c>
      <c r="AW17" s="386" t="e">
        <f t="shared" si="33"/>
        <v>#VALUE!</v>
      </c>
      <c r="AX17" s="386">
        <f t="shared" si="34"/>
        <v>3.8400000000000004E-2</v>
      </c>
      <c r="AY17" s="386">
        <f t="shared" si="35"/>
        <v>0.62080000000000002</v>
      </c>
      <c r="AZ17" s="386">
        <f t="shared" si="36"/>
        <v>0.47314285714285709</v>
      </c>
      <c r="BA17" s="386">
        <f t="shared" si="57"/>
        <v>0.65920000000000001</v>
      </c>
      <c r="BB17" s="386" t="e">
        <f t="shared" si="58"/>
        <v>#VALUE!</v>
      </c>
      <c r="BC17">
        <f t="shared" si="37"/>
        <v>20.480000000000004</v>
      </c>
      <c r="BD17" s="604" t="e">
        <f t="shared" si="51"/>
        <v>#VALUE!</v>
      </c>
      <c r="BE17" s="614">
        <f t="shared" si="38"/>
        <v>60.699122649389572</v>
      </c>
      <c r="BF17" s="614">
        <f t="shared" si="39"/>
        <v>2.1877692726211859</v>
      </c>
      <c r="BG17" s="9"/>
      <c r="BH17" s="4" t="e">
        <f t="shared" si="52"/>
        <v>#VALUE!</v>
      </c>
      <c r="BI17" s="386">
        <f t="shared" si="53"/>
        <v>0.50392951987176926</v>
      </c>
      <c r="BJ17" s="386">
        <f t="shared" si="54"/>
        <v>1.305515106431387</v>
      </c>
      <c r="BK17" s="386">
        <f t="shared" si="40"/>
        <v>1.2139824529877914</v>
      </c>
      <c r="BL17" s="386">
        <f t="shared" si="41"/>
        <v>4.3755385452423717E-2</v>
      </c>
      <c r="BM17" s="386">
        <f t="shared" si="55"/>
        <v>2.015910555309022E-3</v>
      </c>
      <c r="BQ17" t="s">
        <v>144</v>
      </c>
      <c r="BR17" s="18">
        <v>50</v>
      </c>
      <c r="BS17" s="18">
        <v>50</v>
      </c>
      <c r="BT17" s="18">
        <v>50</v>
      </c>
      <c r="BU17" s="19">
        <f>500000*(18-Vdd)*BT17/1000000000+((500000*BT15/1000000000*Vdd)*2.5/(2*4))</f>
        <v>0.28593750000000001</v>
      </c>
      <c r="BV17">
        <f t="shared" si="42"/>
        <v>22.875</v>
      </c>
      <c r="BW17">
        <f t="shared" si="42"/>
        <v>28.59375</v>
      </c>
      <c r="BX17">
        <f t="shared" si="42"/>
        <v>34.3125</v>
      </c>
      <c r="BY17">
        <f t="shared" si="42"/>
        <v>40.03125</v>
      </c>
      <c r="BZ17">
        <f t="shared" si="42"/>
        <v>45.75</v>
      </c>
      <c r="CA17">
        <f t="shared" si="42"/>
        <v>51.46875</v>
      </c>
      <c r="CB17">
        <f t="shared" si="42"/>
        <v>5.71875</v>
      </c>
      <c r="CC17">
        <f t="shared" si="42"/>
        <v>8.578125</v>
      </c>
      <c r="CD17">
        <f t="shared" si="42"/>
        <v>11.4375</v>
      </c>
      <c r="CE17">
        <f t="shared" si="42"/>
        <v>14.296875</v>
      </c>
    </row>
    <row r="18" spans="1:83" x14ac:dyDescent="0.2">
      <c r="A18" s="35" t="s">
        <v>60</v>
      </c>
      <c r="B18" s="38">
        <f>Lf*1000000</f>
        <v>2</v>
      </c>
      <c r="C18" s="483" t="s">
        <v>11</v>
      </c>
      <c r="D18" s="482" t="s">
        <v>676</v>
      </c>
      <c r="G18">
        <v>9</v>
      </c>
      <c r="H18" s="610">
        <f t="shared" si="0"/>
        <v>12</v>
      </c>
      <c r="I18" s="4" t="str">
        <f t="shared" si="1"/>
        <v>BUCK-BST</v>
      </c>
      <c r="J18">
        <f t="shared" si="43"/>
        <v>3</v>
      </c>
      <c r="K18" s="386">
        <f t="shared" si="44"/>
        <v>1.8</v>
      </c>
      <c r="L18" s="4">
        <f t="shared" si="2"/>
        <v>2.1333333333333333</v>
      </c>
      <c r="M18" s="4">
        <f t="shared" si="56"/>
        <v>1.9948051948051948</v>
      </c>
      <c r="N18" s="386">
        <f t="shared" si="3"/>
        <v>0.96250000000000002</v>
      </c>
      <c r="O18" s="386">
        <f t="shared" si="4"/>
        <v>9.765625E-2</v>
      </c>
      <c r="P18" s="4">
        <f t="shared" si="5"/>
        <v>4.6826749999999997</v>
      </c>
      <c r="Q18" s="4">
        <f t="shared" si="6"/>
        <v>2.4096752605950611</v>
      </c>
      <c r="R18" s="386">
        <f t="shared" si="7"/>
        <v>1.3311124637384835E-2</v>
      </c>
      <c r="S18" s="386">
        <f t="shared" si="45"/>
        <v>0.49240381600299205</v>
      </c>
      <c r="T18" s="386">
        <f t="shared" si="46"/>
        <v>0.50571494064037692</v>
      </c>
      <c r="U18" s="4">
        <f t="shared" si="8"/>
        <v>0.74054553837356107</v>
      </c>
      <c r="V18" s="386">
        <f t="shared" si="9"/>
        <v>1.0968153888099748E-3</v>
      </c>
      <c r="W18" s="386">
        <f t="shared" si="47"/>
        <v>1.0968153888099748E-3</v>
      </c>
      <c r="X18" s="4">
        <f t="shared" si="10"/>
        <v>1.3517718358887654</v>
      </c>
      <c r="Y18" s="386">
        <f t="shared" si="11"/>
        <v>3.6545741926041668E-3</v>
      </c>
      <c r="Z18" s="603">
        <f t="shared" si="48"/>
        <v>3.6545741926041668E-3</v>
      </c>
      <c r="AA18" s="386">
        <f t="shared" si="12"/>
        <v>2.3640621405150779</v>
      </c>
      <c r="AB18" s="386">
        <f t="shared" si="13"/>
        <v>1.061870062801179E-2</v>
      </c>
      <c r="AC18" s="386">
        <f t="shared" si="14"/>
        <v>3.7441041329661778E-2</v>
      </c>
      <c r="AD18" s="386">
        <f t="shared" si="15"/>
        <v>2.706687499999999E-3</v>
      </c>
      <c r="AE18" s="386">
        <f t="shared" si="16"/>
        <v>5.0874473618666427E-2</v>
      </c>
      <c r="AF18" s="386">
        <f t="shared" si="17"/>
        <v>0.46663160770263434</v>
      </c>
      <c r="AG18" s="386">
        <f t="shared" si="18"/>
        <v>4.1371560888357598E-4</v>
      </c>
      <c r="AH18" s="386">
        <f t="shared" si="19"/>
        <v>0</v>
      </c>
      <c r="AI18" s="386">
        <f t="shared" si="20"/>
        <v>4.1374984383728969E-4</v>
      </c>
      <c r="AJ18" s="386">
        <f t="shared" si="21"/>
        <v>0.75302351893595665</v>
      </c>
      <c r="AK18" s="386">
        <f t="shared" si="22"/>
        <v>2.8352221003534559E-4</v>
      </c>
      <c r="AL18" s="386">
        <f t="shared" si="23"/>
        <v>1.1262092029730675</v>
      </c>
      <c r="AM18" s="386">
        <f t="shared" si="24"/>
        <v>2.0800416666666654E-3</v>
      </c>
      <c r="AN18" s="386">
        <f t="shared" si="25"/>
        <v>1.1286367655677896</v>
      </c>
      <c r="AO18" s="386">
        <f t="shared" si="49"/>
        <v>2.2889933249035885</v>
      </c>
      <c r="AP18" s="386">
        <f t="shared" si="26"/>
        <v>2.6197452207265925E-3</v>
      </c>
      <c r="AQ18" s="386">
        <f t="shared" si="27"/>
        <v>0</v>
      </c>
      <c r="AR18" s="386">
        <f t="shared" si="28"/>
        <v>2.6211185532871791E-3</v>
      </c>
      <c r="AS18" s="386">
        <f t="shared" si="29"/>
        <v>0</v>
      </c>
      <c r="AT18" s="386">
        <f t="shared" si="30"/>
        <v>2.2775E-2</v>
      </c>
      <c r="AU18" s="386">
        <f t="shared" si="31"/>
        <v>0.12991441937500001</v>
      </c>
      <c r="AV18" s="386">
        <f t="shared" si="32"/>
        <v>2.354368432133509E-3</v>
      </c>
      <c r="AW18" s="386" t="e">
        <f t="shared" si="33"/>
        <v>#VALUE!</v>
      </c>
      <c r="AX18" s="386">
        <f t="shared" si="34"/>
        <v>3.8400000000000004E-2</v>
      </c>
      <c r="AY18" s="386">
        <f t="shared" si="35"/>
        <v>0.62080000000000002</v>
      </c>
      <c r="AZ18" s="386">
        <f t="shared" si="36"/>
        <v>0.47314285714285709</v>
      </c>
      <c r="BA18" s="386">
        <f t="shared" si="57"/>
        <v>0.65920000000000001</v>
      </c>
      <c r="BB18" s="386" t="e">
        <f t="shared" si="58"/>
        <v>#VALUE!</v>
      </c>
      <c r="BC18">
        <f t="shared" si="37"/>
        <v>23.040000000000003</v>
      </c>
      <c r="BD18" s="604" t="e">
        <f t="shared" si="51"/>
        <v>#VALUE!</v>
      </c>
      <c r="BE18" s="614">
        <f t="shared" si="38"/>
        <v>60.71901411776448</v>
      </c>
      <c r="BF18" s="614">
        <f t="shared" si="39"/>
        <v>2.2746438473518591</v>
      </c>
      <c r="BG18" s="9"/>
      <c r="BH18" s="4" t="e">
        <f t="shared" si="52"/>
        <v>#VALUE!</v>
      </c>
      <c r="BI18" s="386">
        <f t="shared" si="53"/>
        <v>0.50571494064037692</v>
      </c>
      <c r="BJ18" s="386">
        <f t="shared" si="54"/>
        <v>1.3124605269585803</v>
      </c>
      <c r="BK18" s="386">
        <f t="shared" si="40"/>
        <v>1.2143802823552896</v>
      </c>
      <c r="BL18" s="386">
        <f t="shared" si="41"/>
        <v>4.5492876947037179E-2</v>
      </c>
      <c r="BM18" s="386">
        <f t="shared" si="55"/>
        <v>2.354368432133509E-3</v>
      </c>
      <c r="BQ18" t="s">
        <v>145</v>
      </c>
      <c r="BS18" s="18"/>
      <c r="BT18" s="19"/>
    </row>
    <row r="19" spans="1:83" x14ac:dyDescent="0.2">
      <c r="A19" s="35" t="s">
        <v>12</v>
      </c>
      <c r="B19" s="39">
        <f>Rdcr*1000</f>
        <v>2.29</v>
      </c>
      <c r="C19" s="484" t="s">
        <v>674</v>
      </c>
      <c r="D19" s="482" t="s">
        <v>677</v>
      </c>
      <c r="G19">
        <v>10</v>
      </c>
      <c r="H19" s="610">
        <f t="shared" si="0"/>
        <v>12</v>
      </c>
      <c r="I19" s="4" t="str">
        <f t="shared" si="1"/>
        <v>BUCK-BST</v>
      </c>
      <c r="J19">
        <f t="shared" si="43"/>
        <v>3</v>
      </c>
      <c r="K19" s="386">
        <f t="shared" si="44"/>
        <v>2</v>
      </c>
      <c r="L19" s="4">
        <f t="shared" si="2"/>
        <v>2.3703703703703702</v>
      </c>
      <c r="M19" s="4">
        <f t="shared" si="56"/>
        <v>2.2164502164502164</v>
      </c>
      <c r="N19" s="386">
        <f t="shared" si="3"/>
        <v>0.96250000000000002</v>
      </c>
      <c r="O19" s="386">
        <f t="shared" si="4"/>
        <v>9.765625E-2</v>
      </c>
      <c r="P19" s="4">
        <f t="shared" si="5"/>
        <v>4.6821388888888889</v>
      </c>
      <c r="Q19" s="4">
        <f t="shared" si="6"/>
        <v>2.5960586042253908</v>
      </c>
      <c r="R19" s="386">
        <f t="shared" si="7"/>
        <v>1.5452580427125127E-2</v>
      </c>
      <c r="S19" s="386">
        <f t="shared" si="45"/>
        <v>0.49227393900044925</v>
      </c>
      <c r="T19" s="386">
        <f t="shared" si="46"/>
        <v>0.50772651942757441</v>
      </c>
      <c r="U19" s="4">
        <f t="shared" si="8"/>
        <v>0.79411176621926882</v>
      </c>
      <c r="V19" s="386">
        <f t="shared" si="9"/>
        <v>1.2612269944957733E-3</v>
      </c>
      <c r="W19" s="386">
        <f t="shared" si="47"/>
        <v>1.2612269944957733E-3</v>
      </c>
      <c r="X19" s="4">
        <f t="shared" si="10"/>
        <v>1.3516170739416078</v>
      </c>
      <c r="Y19" s="386">
        <f t="shared" si="11"/>
        <v>3.6537374291409474E-3</v>
      </c>
      <c r="Z19" s="603">
        <f t="shared" si="48"/>
        <v>3.6537374291409474E-3</v>
      </c>
      <c r="AA19" s="386">
        <f t="shared" si="12"/>
        <v>2.546917404668084</v>
      </c>
      <c r="AB19" s="386">
        <f t="shared" si="13"/>
        <v>1.2324897705782297E-2</v>
      </c>
      <c r="AC19" s="386">
        <f t="shared" si="14"/>
        <v>4.1601157032957532E-2</v>
      </c>
      <c r="AD19" s="386">
        <f t="shared" si="15"/>
        <v>1.7053472222222222E-3</v>
      </c>
      <c r="AE19" s="386">
        <f t="shared" si="16"/>
        <v>5.5768871087225454E-2</v>
      </c>
      <c r="AF19" s="386">
        <f t="shared" si="17"/>
        <v>0.50272458699717038</v>
      </c>
      <c r="AG19" s="386">
        <f t="shared" si="18"/>
        <v>4.8019081970580347E-4</v>
      </c>
      <c r="AH19" s="386">
        <f t="shared" si="19"/>
        <v>0</v>
      </c>
      <c r="AI19" s="386">
        <f t="shared" si="20"/>
        <v>4.8023694077985272E-4</v>
      </c>
      <c r="AJ19" s="386">
        <f t="shared" si="21"/>
        <v>0.81126831382043463</v>
      </c>
      <c r="AK19" s="386">
        <f t="shared" si="22"/>
        <v>3.2907813850452562E-4</v>
      </c>
      <c r="AL19" s="386">
        <f t="shared" si="23"/>
        <v>1.1262092029730675</v>
      </c>
      <c r="AM19" s="386">
        <f t="shared" si="24"/>
        <v>0</v>
      </c>
      <c r="AN19" s="386">
        <f t="shared" si="25"/>
        <v>1.126612429815816</v>
      </c>
      <c r="AO19" s="386">
        <f t="shared" si="49"/>
        <v>2.4660421731113265</v>
      </c>
      <c r="AP19" s="386">
        <f t="shared" si="26"/>
        <v>3.0406819997818167E-3</v>
      </c>
      <c r="AQ19" s="386">
        <f t="shared" si="27"/>
        <v>0</v>
      </c>
      <c r="AR19" s="386">
        <f t="shared" si="28"/>
        <v>3.0425322744059252E-3</v>
      </c>
      <c r="AS19" s="386">
        <f t="shared" si="29"/>
        <v>0</v>
      </c>
      <c r="AT19" s="386">
        <f t="shared" si="30"/>
        <v>2.5305555555555553E-2</v>
      </c>
      <c r="AU19" s="386">
        <f t="shared" si="31"/>
        <v>0.13403693750000001</v>
      </c>
      <c r="AV19" s="386">
        <f t="shared" si="32"/>
        <v>2.7326648621415804E-3</v>
      </c>
      <c r="AW19" s="386" t="e">
        <f t="shared" si="33"/>
        <v>#VALUE!</v>
      </c>
      <c r="AX19" s="386">
        <f t="shared" si="34"/>
        <v>3.8400000000000004E-2</v>
      </c>
      <c r="AY19" s="386">
        <f t="shared" si="35"/>
        <v>0.62080000000000002</v>
      </c>
      <c r="AZ19" s="386">
        <f t="shared" si="36"/>
        <v>0.47314285714285709</v>
      </c>
      <c r="BA19" s="386">
        <f t="shared" si="57"/>
        <v>0.65920000000000001</v>
      </c>
      <c r="BB19" s="386" t="e">
        <f t="shared" si="58"/>
        <v>#VALUE!</v>
      </c>
      <c r="BC19">
        <f t="shared" si="37"/>
        <v>25.6</v>
      </c>
      <c r="BD19" s="604" t="e">
        <f t="shared" si="51"/>
        <v>#VALUE!</v>
      </c>
      <c r="BE19" s="614">
        <f t="shared" si="38"/>
        <v>60.753840428290793</v>
      </c>
      <c r="BF19" s="614">
        <f t="shared" si="39"/>
        <v>2.3637360824702967</v>
      </c>
      <c r="BG19" s="9"/>
      <c r="BH19" s="4" t="e">
        <f t="shared" si="52"/>
        <v>#VALUE!</v>
      </c>
      <c r="BI19" s="386">
        <f t="shared" si="53"/>
        <v>0.50772651942757441</v>
      </c>
      <c r="BJ19" s="386">
        <f t="shared" si="54"/>
        <v>1.319941007618227</v>
      </c>
      <c r="BK19" s="386">
        <f t="shared" si="40"/>
        <v>1.2150768085658159</v>
      </c>
      <c r="BL19" s="386">
        <f t="shared" si="41"/>
        <v>4.7274721649405931E-2</v>
      </c>
      <c r="BM19" s="386">
        <f t="shared" si="55"/>
        <v>2.7326648621415804E-3</v>
      </c>
      <c r="BQ19" t="s">
        <v>146</v>
      </c>
      <c r="BS19" s="18"/>
      <c r="BT19" s="19"/>
    </row>
    <row r="20" spans="1:83" x14ac:dyDescent="0.2">
      <c r="A20" s="35" t="s">
        <v>86</v>
      </c>
      <c r="B20" s="39">
        <f>Ltc*1000000</f>
        <v>4000</v>
      </c>
      <c r="C20" s="483" t="s">
        <v>85</v>
      </c>
      <c r="D20" s="21" t="s">
        <v>101</v>
      </c>
      <c r="G20">
        <v>11</v>
      </c>
      <c r="H20" s="610">
        <f t="shared" si="0"/>
        <v>12</v>
      </c>
      <c r="I20" s="4" t="str">
        <f t="shared" si="1"/>
        <v>BUCK-BST</v>
      </c>
      <c r="J20">
        <f t="shared" si="43"/>
        <v>3</v>
      </c>
      <c r="K20" s="386">
        <f t="shared" si="44"/>
        <v>2.2000000000000002</v>
      </c>
      <c r="L20" s="4">
        <f t="shared" si="2"/>
        <v>2.6074074074074076</v>
      </c>
      <c r="M20" s="4">
        <f t="shared" si="56"/>
        <v>2.4380952380952383</v>
      </c>
      <c r="N20" s="386">
        <f t="shared" si="3"/>
        <v>0.96250000000000002</v>
      </c>
      <c r="O20" s="386">
        <f t="shared" si="4"/>
        <v>9.765625E-2</v>
      </c>
      <c r="P20" s="4">
        <f t="shared" si="5"/>
        <v>4.681602777777778</v>
      </c>
      <c r="Q20" s="4">
        <f t="shared" si="6"/>
        <v>2.7876080733783328</v>
      </c>
      <c r="R20" s="386">
        <f t="shared" si="7"/>
        <v>1.7820406769709529E-2</v>
      </c>
      <c r="S20" s="386">
        <f t="shared" si="45"/>
        <v>0.49214408138835974</v>
      </c>
      <c r="T20" s="386">
        <f t="shared" si="46"/>
        <v>0.50996448815806927</v>
      </c>
      <c r="U20" s="4">
        <f t="shared" si="8"/>
        <v>0.84939820692832302</v>
      </c>
      <c r="V20" s="386">
        <f t="shared" si="9"/>
        <v>1.4429546278661005E-3</v>
      </c>
      <c r="W20" s="386">
        <f t="shared" si="47"/>
        <v>1.4429546278661005E-3</v>
      </c>
      <c r="X20" s="4">
        <f t="shared" si="10"/>
        <v>1.35146231199445</v>
      </c>
      <c r="Y20" s="386">
        <f t="shared" si="11"/>
        <v>3.6529007614827685E-3</v>
      </c>
      <c r="Z20" s="603">
        <f t="shared" si="48"/>
        <v>3.6529007614827685E-3</v>
      </c>
      <c r="AA20" s="386">
        <f t="shared" si="12"/>
        <v>2.7348410039452768</v>
      </c>
      <c r="AB20" s="386">
        <f t="shared" si="13"/>
        <v>1.4210775102034778E-2</v>
      </c>
      <c r="AC20" s="386">
        <f t="shared" si="14"/>
        <v>4.5761272736253293E-2</v>
      </c>
      <c r="AD20" s="386">
        <f t="shared" si="15"/>
        <v>7.0400694444444417E-4</v>
      </c>
      <c r="AE20" s="386">
        <f t="shared" si="16"/>
        <v>6.0848997065228186E-2</v>
      </c>
      <c r="AF20" s="386">
        <f t="shared" si="17"/>
        <v>0.5398179821973812</v>
      </c>
      <c r="AG20" s="386">
        <f t="shared" si="18"/>
        <v>5.5366656241693916E-4</v>
      </c>
      <c r="AH20" s="386">
        <f t="shared" si="19"/>
        <v>0</v>
      </c>
      <c r="AI20" s="386">
        <f t="shared" si="20"/>
        <v>5.5372787853914416E-4</v>
      </c>
      <c r="AJ20" s="386">
        <f t="shared" si="21"/>
        <v>0.87112752293072904</v>
      </c>
      <c r="AK20" s="386">
        <f t="shared" si="22"/>
        <v>3.7943158060371393E-4</v>
      </c>
      <c r="AL20" s="386">
        <f t="shared" si="23"/>
        <v>1.1262092029730675</v>
      </c>
      <c r="AM20" s="386">
        <f t="shared" si="24"/>
        <v>0</v>
      </c>
      <c r="AN20" s="386">
        <f t="shared" si="25"/>
        <v>1.1266741337031463</v>
      </c>
      <c r="AO20" s="386">
        <f t="shared" si="49"/>
        <v>2.647998415701307</v>
      </c>
      <c r="AP20" s="386">
        <f t="shared" si="26"/>
        <v>3.5059478047783162E-3</v>
      </c>
      <c r="AQ20" s="386">
        <f t="shared" si="27"/>
        <v>0</v>
      </c>
      <c r="AR20" s="386">
        <f t="shared" si="28"/>
        <v>3.508407863747951E-3</v>
      </c>
      <c r="AS20" s="386">
        <f t="shared" si="29"/>
        <v>0</v>
      </c>
      <c r="AT20" s="386">
        <f t="shared" si="30"/>
        <v>2.7836111111111114E-2</v>
      </c>
      <c r="AU20" s="386">
        <f t="shared" si="31"/>
        <v>0.13815919437500002</v>
      </c>
      <c r="AV20" s="386">
        <f t="shared" si="32"/>
        <v>3.1507998453332402E-3</v>
      </c>
      <c r="AW20" s="386" t="e">
        <f t="shared" si="33"/>
        <v>#VALUE!</v>
      </c>
      <c r="AX20" s="386">
        <f t="shared" si="34"/>
        <v>3.8400000000000004E-2</v>
      </c>
      <c r="AY20" s="386">
        <f t="shared" si="35"/>
        <v>0.62080000000000002</v>
      </c>
      <c r="AZ20" s="386">
        <f t="shared" si="36"/>
        <v>0.47314285714285709</v>
      </c>
      <c r="BA20" s="386">
        <f t="shared" si="57"/>
        <v>0.65920000000000001</v>
      </c>
      <c r="BB20" s="386" t="e">
        <f t="shared" si="58"/>
        <v>#VALUE!</v>
      </c>
      <c r="BC20">
        <f t="shared" si="37"/>
        <v>28.160000000000004</v>
      </c>
      <c r="BD20" s="604" t="e">
        <f t="shared" si="51"/>
        <v>#VALUE!</v>
      </c>
      <c r="BE20" s="614">
        <f t="shared" si="38"/>
        <v>60.89296009953231</v>
      </c>
      <c r="BF20" s="614">
        <f t="shared" si="39"/>
        <v>2.4550471003748982</v>
      </c>
      <c r="BG20" s="9"/>
      <c r="BH20" s="4" t="e">
        <f t="shared" si="52"/>
        <v>#VALUE!</v>
      </c>
      <c r="BI20" s="386">
        <f t="shared" si="53"/>
        <v>0.50996448815806927</v>
      </c>
      <c r="BJ20" s="386">
        <f t="shared" si="54"/>
        <v>1.3297444608856617</v>
      </c>
      <c r="BK20" s="386">
        <f t="shared" si="40"/>
        <v>1.2178592019906462</v>
      </c>
      <c r="BL20" s="386">
        <f t="shared" si="41"/>
        <v>4.9100942007497962E-2</v>
      </c>
      <c r="BM20" s="386">
        <f t="shared" si="55"/>
        <v>3.1507998453332402E-3</v>
      </c>
      <c r="BS20" s="18"/>
      <c r="BT20" s="19"/>
    </row>
    <row r="21" spans="1:83" x14ac:dyDescent="0.2">
      <c r="A21" s="25" t="s">
        <v>159</v>
      </c>
      <c r="B21" s="39">
        <f>ThetaCa</f>
        <v>20</v>
      </c>
      <c r="C21" s="483" t="s">
        <v>241</v>
      </c>
      <c r="D21" s="26" t="s">
        <v>160</v>
      </c>
      <c r="G21">
        <v>12</v>
      </c>
      <c r="H21" s="610">
        <f t="shared" si="0"/>
        <v>12</v>
      </c>
      <c r="I21" s="4" t="str">
        <f t="shared" si="1"/>
        <v>BUCK-BST</v>
      </c>
      <c r="J21">
        <f t="shared" si="43"/>
        <v>3</v>
      </c>
      <c r="K21" s="386">
        <f t="shared" si="44"/>
        <v>2.4</v>
      </c>
      <c r="L21" s="4">
        <f t="shared" si="2"/>
        <v>2.8444444444444441</v>
      </c>
      <c r="M21" s="4">
        <f t="shared" si="56"/>
        <v>2.6597402597402597</v>
      </c>
      <c r="N21" s="386">
        <f t="shared" si="3"/>
        <v>0.96250000000000002</v>
      </c>
      <c r="O21" s="386">
        <f t="shared" si="4"/>
        <v>9.765625E-2</v>
      </c>
      <c r="P21" s="4">
        <f t="shared" si="5"/>
        <v>4.6810666666666663</v>
      </c>
      <c r="Q21" s="4">
        <f t="shared" si="6"/>
        <v>2.983328735506364</v>
      </c>
      <c r="R21" s="386">
        <f t="shared" si="7"/>
        <v>2.0414860245605203E-2</v>
      </c>
      <c r="S21" s="386">
        <f t="shared" si="45"/>
        <v>0.49201424316604714</v>
      </c>
      <c r="T21" s="386">
        <f t="shared" si="46"/>
        <v>0.51242910341165238</v>
      </c>
      <c r="U21" s="4">
        <f t="shared" si="8"/>
        <v>0.90609003110092634</v>
      </c>
      <c r="V21" s="386">
        <f t="shared" si="9"/>
        <v>1.6419982889209553E-3</v>
      </c>
      <c r="W21" s="386">
        <f t="shared" si="47"/>
        <v>1.6419982889209553E-3</v>
      </c>
      <c r="X21" s="4">
        <f t="shared" si="10"/>
        <v>1.351307550047292</v>
      </c>
      <c r="Y21" s="386">
        <f t="shared" si="11"/>
        <v>3.6520641896296293E-3</v>
      </c>
      <c r="Z21" s="603">
        <f t="shared" si="48"/>
        <v>3.6520641896296293E-3</v>
      </c>
      <c r="AA21" s="386">
        <f t="shared" si="12"/>
        <v>2.9268568390330141</v>
      </c>
      <c r="AB21" s="386">
        <f t="shared" si="13"/>
        <v>1.6276332816769223E-2</v>
      </c>
      <c r="AC21" s="386">
        <f t="shared" si="14"/>
        <v>4.9921388439549033E-2</v>
      </c>
      <c r="AD21" s="386">
        <f t="shared" si="15"/>
        <v>0</v>
      </c>
      <c r="AE21" s="386">
        <f t="shared" si="16"/>
        <v>6.6413916257251876E-2</v>
      </c>
      <c r="AF21" s="386">
        <f t="shared" si="17"/>
        <v>0.5777191254439088</v>
      </c>
      <c r="AG21" s="386">
        <f t="shared" si="18"/>
        <v>6.3414283701698217E-4</v>
      </c>
      <c r="AH21" s="386">
        <f t="shared" si="19"/>
        <v>0</v>
      </c>
      <c r="AI21" s="386">
        <f t="shared" si="20"/>
        <v>6.3422327464631952E-4</v>
      </c>
      <c r="AJ21" s="386">
        <f t="shared" si="21"/>
        <v>0.93229022984573873</v>
      </c>
      <c r="AK21" s="386">
        <f t="shared" si="22"/>
        <v>4.3458253633291019E-4</v>
      </c>
      <c r="AL21" s="386">
        <f t="shared" si="23"/>
        <v>1.1262092029730675</v>
      </c>
      <c r="AM21" s="386">
        <f t="shared" si="24"/>
        <v>0</v>
      </c>
      <c r="AN21" s="386">
        <f t="shared" si="25"/>
        <v>1.1267417179641175</v>
      </c>
      <c r="AO21" s="386">
        <f t="shared" si="49"/>
        <v>2.8339169485770364</v>
      </c>
      <c r="AP21" s="386">
        <f t="shared" si="26"/>
        <v>4.0155426357160904E-3</v>
      </c>
      <c r="AQ21" s="386">
        <f t="shared" si="27"/>
        <v>0</v>
      </c>
      <c r="AR21" s="386">
        <f t="shared" si="28"/>
        <v>4.0187701442875963E-3</v>
      </c>
      <c r="AS21" s="386">
        <f t="shared" si="29"/>
        <v>0</v>
      </c>
      <c r="AT21" s="386">
        <f t="shared" si="30"/>
        <v>3.0366666666666667E-2</v>
      </c>
      <c r="AU21" s="386">
        <f t="shared" si="31"/>
        <v>0.14228119</v>
      </c>
      <c r="AV21" s="386">
        <f t="shared" si="32"/>
        <v>3.6087733817084851E-3</v>
      </c>
      <c r="AW21" s="386" t="e">
        <f t="shared" si="33"/>
        <v>#VALUE!</v>
      </c>
      <c r="AX21" s="386">
        <f t="shared" si="34"/>
        <v>3.8400000000000004E-2</v>
      </c>
      <c r="AY21" s="386">
        <f t="shared" si="35"/>
        <v>0.62080000000000002</v>
      </c>
      <c r="AZ21" s="386">
        <f t="shared" si="36"/>
        <v>0.47314285714285709</v>
      </c>
      <c r="BA21" s="386">
        <f t="shared" si="57"/>
        <v>0.65920000000000001</v>
      </c>
      <c r="BB21" s="386" t="e">
        <f t="shared" si="58"/>
        <v>#VALUE!</v>
      </c>
      <c r="BC21">
        <f t="shared" si="37"/>
        <v>30.72</v>
      </c>
      <c r="BD21" s="604" t="e">
        <f t="shared" si="51"/>
        <v>#VALUE!</v>
      </c>
      <c r="BE21" s="614">
        <f t="shared" si="38"/>
        <v>61.032365168205871</v>
      </c>
      <c r="BF21" s="614">
        <f t="shared" si="39"/>
        <v>2.5485781422143798</v>
      </c>
      <c r="BG21" s="9"/>
      <c r="BH21" s="4" t="e">
        <f t="shared" si="52"/>
        <v>#VALUE!</v>
      </c>
      <c r="BI21" s="386">
        <f t="shared" si="53"/>
        <v>0.51242910341165238</v>
      </c>
      <c r="BJ21" s="386">
        <f t="shared" si="54"/>
        <v>1.3400898176403033</v>
      </c>
      <c r="BK21" s="386">
        <f t="shared" si="40"/>
        <v>1.2206473033641174</v>
      </c>
      <c r="BL21" s="386">
        <f t="shared" si="41"/>
        <v>5.0971562844287596E-2</v>
      </c>
      <c r="BM21" s="386">
        <f t="shared" si="55"/>
        <v>3.6087733817084851E-3</v>
      </c>
      <c r="BS21" s="18"/>
      <c r="BT21" s="19"/>
    </row>
    <row r="22" spans="1:83" x14ac:dyDescent="0.2">
      <c r="A22" s="36" t="s">
        <v>61</v>
      </c>
      <c r="B22" s="39">
        <f>Cin*1000000</f>
        <v>290</v>
      </c>
      <c r="C22" s="485" t="s">
        <v>675</v>
      </c>
      <c r="D22" s="482" t="s">
        <v>693</v>
      </c>
      <c r="G22">
        <v>13</v>
      </c>
      <c r="H22" s="610">
        <f t="shared" si="0"/>
        <v>12</v>
      </c>
      <c r="I22" s="445" t="str">
        <f t="shared" si="1"/>
        <v>BUCK-BST</v>
      </c>
      <c r="J22">
        <f t="shared" si="43"/>
        <v>3</v>
      </c>
      <c r="K22" s="386">
        <f t="shared" si="44"/>
        <v>2.6</v>
      </c>
      <c r="L22" s="4">
        <f t="shared" si="2"/>
        <v>3.0814814814814815</v>
      </c>
      <c r="M22" s="4">
        <f t="shared" si="56"/>
        <v>2.8813852813852816</v>
      </c>
      <c r="N22" s="386">
        <f t="shared" si="3"/>
        <v>0.96250000000000002</v>
      </c>
      <c r="O22" s="386">
        <f t="shared" si="4"/>
        <v>9.765625E-2</v>
      </c>
      <c r="P22" s="4">
        <f t="shared" si="5"/>
        <v>4.6805305555555554</v>
      </c>
      <c r="Q22" s="4">
        <f t="shared" si="6"/>
        <v>3.1824510988504611</v>
      </c>
      <c r="R22" s="386">
        <f t="shared" si="7"/>
        <v>2.3236222159968886E-2</v>
      </c>
      <c r="S22" s="386">
        <f t="shared" si="45"/>
        <v>0.49188442433283736</v>
      </c>
      <c r="T22" s="386">
        <f t="shared" si="46"/>
        <v>0.5151206464928062</v>
      </c>
      <c r="U22" s="4">
        <f t="shared" si="8"/>
        <v>0.96393930764865565</v>
      </c>
      <c r="V22" s="386">
        <f t="shared" si="9"/>
        <v>1.8583579776603391E-3</v>
      </c>
      <c r="W22" s="386">
        <f t="shared" si="47"/>
        <v>1.8583579776603391E-3</v>
      </c>
      <c r="X22" s="4">
        <f t="shared" si="10"/>
        <v>1.3511527881001344</v>
      </c>
      <c r="Y22" s="386">
        <f t="shared" si="11"/>
        <v>3.6512277135815337E-3</v>
      </c>
      <c r="Z22" s="603">
        <f t="shared" si="48"/>
        <v>3.6512277135815337E-3</v>
      </c>
      <c r="AA22" s="386">
        <f t="shared" si="12"/>
        <v>3.1222099840021915</v>
      </c>
      <c r="AB22" s="386">
        <f t="shared" si="13"/>
        <v>1.8521570849985632E-2</v>
      </c>
      <c r="AC22" s="386">
        <f t="shared" si="14"/>
        <v>5.4081504142844794E-2</v>
      </c>
      <c r="AD22" s="386">
        <f t="shared" si="15"/>
        <v>0</v>
      </c>
      <c r="AE22" s="386">
        <f t="shared" si="16"/>
        <v>7.2873019551766505E-2</v>
      </c>
      <c r="AF22" s="386">
        <f t="shared" si="17"/>
        <v>0.61627900529836632</v>
      </c>
      <c r="AG22" s="386">
        <f t="shared" si="18"/>
        <v>7.2161964350593328E-4</v>
      </c>
      <c r="AH22" s="386">
        <f t="shared" si="19"/>
        <v>0</v>
      </c>
      <c r="AI22" s="386">
        <f t="shared" si="20"/>
        <v>7.2172380552098332E-4</v>
      </c>
      <c r="AJ22" s="386">
        <f t="shared" si="21"/>
        <v>0.99451596839076906</v>
      </c>
      <c r="AK22" s="386">
        <f t="shared" si="22"/>
        <v>4.9453100569211452E-4</v>
      </c>
      <c r="AL22" s="386">
        <f t="shared" si="23"/>
        <v>1.1262092029730675</v>
      </c>
      <c r="AM22" s="386">
        <f t="shared" si="24"/>
        <v>0</v>
      </c>
      <c r="AN22" s="386">
        <f t="shared" si="25"/>
        <v>1.1268151829878938</v>
      </c>
      <c r="AO22" s="386">
        <f t="shared" si="49"/>
        <v>3.0230668178507529</v>
      </c>
      <c r="AP22" s="386">
        <f t="shared" si="26"/>
        <v>4.5694664925951386E-3</v>
      </c>
      <c r="AQ22" s="386">
        <f t="shared" si="27"/>
        <v>0</v>
      </c>
      <c r="AR22" s="386">
        <f t="shared" si="28"/>
        <v>4.5736463173143282E-3</v>
      </c>
      <c r="AS22" s="386">
        <f t="shared" si="29"/>
        <v>0</v>
      </c>
      <c r="AT22" s="386">
        <f t="shared" si="30"/>
        <v>3.2897222222222224E-2</v>
      </c>
      <c r="AU22" s="386">
        <f t="shared" si="31"/>
        <v>0.14640292437500002</v>
      </c>
      <c r="AV22" s="386">
        <f t="shared" si="32"/>
        <v>4.1065854712673188E-3</v>
      </c>
      <c r="AW22" s="386" t="e">
        <f t="shared" si="33"/>
        <v>#VALUE!</v>
      </c>
      <c r="AX22" s="386">
        <f t="shared" si="34"/>
        <v>3.8400000000000004E-2</v>
      </c>
      <c r="AY22" s="386">
        <f t="shared" si="35"/>
        <v>0.62080000000000002</v>
      </c>
      <c r="AZ22" s="386">
        <f t="shared" si="36"/>
        <v>0.47314285714285709</v>
      </c>
      <c r="BA22" s="386">
        <f t="shared" si="57"/>
        <v>0.65920000000000001</v>
      </c>
      <c r="BB22" s="386" t="e">
        <f t="shared" si="58"/>
        <v>#VALUE!</v>
      </c>
      <c r="BC22">
        <f t="shared" si="37"/>
        <v>33.28</v>
      </c>
      <c r="BD22" s="604" t="e">
        <f t="shared" si="51"/>
        <v>#VALUE!</v>
      </c>
      <c r="BE22" s="614">
        <f t="shared" si="38"/>
        <v>61.172055653769696</v>
      </c>
      <c r="BF22" s="614">
        <f t="shared" si="39"/>
        <v>2.644330568053217</v>
      </c>
      <c r="BG22" s="9"/>
      <c r="BH22" s="4" t="e">
        <f t="shared" si="52"/>
        <v>#VALUE!</v>
      </c>
      <c r="BI22" s="386">
        <f t="shared" si="53"/>
        <v>0.5151206464928062</v>
      </c>
      <c r="BJ22" s="386">
        <f t="shared" si="54"/>
        <v>1.3513864970374956</v>
      </c>
      <c r="BK22" s="386">
        <f t="shared" si="40"/>
        <v>1.2234411130753939</v>
      </c>
      <c r="BL22" s="386">
        <f t="shared" si="41"/>
        <v>5.2886611361064338E-2</v>
      </c>
      <c r="BM22" s="386">
        <f t="shared" si="55"/>
        <v>4.1065854712673188E-3</v>
      </c>
      <c r="BS22" s="18"/>
      <c r="BT22" s="19"/>
    </row>
    <row r="23" spans="1:83" x14ac:dyDescent="0.2">
      <c r="A23" s="36" t="s">
        <v>90</v>
      </c>
      <c r="B23" s="39">
        <f>RCinEsr*1000</f>
        <v>2</v>
      </c>
      <c r="C23" s="484" t="s">
        <v>674</v>
      </c>
      <c r="D23" s="482" t="s">
        <v>689</v>
      </c>
      <c r="G23">
        <v>14</v>
      </c>
      <c r="H23" s="610">
        <f t="shared" si="0"/>
        <v>12</v>
      </c>
      <c r="I23" s="445" t="str">
        <f t="shared" si="1"/>
        <v>BUCK-BST</v>
      </c>
      <c r="J23">
        <f t="shared" si="43"/>
        <v>3</v>
      </c>
      <c r="K23" s="386">
        <f t="shared" si="44"/>
        <v>2.8</v>
      </c>
      <c r="L23" s="4">
        <f t="shared" si="2"/>
        <v>3.318518518518518</v>
      </c>
      <c r="M23" s="4">
        <f t="shared" si="56"/>
        <v>3.103030303030303</v>
      </c>
      <c r="N23" s="386">
        <f t="shared" si="3"/>
        <v>0.96250000000000002</v>
      </c>
      <c r="O23" s="386">
        <f t="shared" si="4"/>
        <v>9.765625E-2</v>
      </c>
      <c r="P23" s="4">
        <f t="shared" si="5"/>
        <v>4.6799944444444446</v>
      </c>
      <c r="Q23" s="4">
        <f t="shared" si="6"/>
        <v>3.3843747913305307</v>
      </c>
      <c r="R23" s="386">
        <f t="shared" si="7"/>
        <v>2.6284798619022439E-2</v>
      </c>
      <c r="S23" s="386">
        <f t="shared" si="45"/>
        <v>0.4917546248880551</v>
      </c>
      <c r="T23" s="386">
        <f t="shared" si="46"/>
        <v>0.51803942350707755</v>
      </c>
      <c r="U23" s="4">
        <f t="shared" si="8"/>
        <v>1.0227496502283075</v>
      </c>
      <c r="V23" s="386">
        <f t="shared" si="9"/>
        <v>2.0920336940842507E-3</v>
      </c>
      <c r="W23" s="386">
        <f t="shared" si="47"/>
        <v>2.0920336940842507E-3</v>
      </c>
      <c r="X23" s="4">
        <f t="shared" si="10"/>
        <v>1.3509980261529766</v>
      </c>
      <c r="Y23" s="386">
        <f t="shared" si="11"/>
        <v>3.6503913333384777E-3</v>
      </c>
      <c r="Z23" s="603">
        <f t="shared" si="48"/>
        <v>3.6503913333384777E-3</v>
      </c>
      <c r="AA23" s="386">
        <f t="shared" si="12"/>
        <v>3.3203114313097672</v>
      </c>
      <c r="AB23" s="386">
        <f t="shared" si="13"/>
        <v>2.0946489201683998E-2</v>
      </c>
      <c r="AC23" s="386">
        <f t="shared" si="14"/>
        <v>5.8241619846140527E-2</v>
      </c>
      <c r="AD23" s="386">
        <f t="shared" si="15"/>
        <v>0</v>
      </c>
      <c r="AE23" s="386">
        <f t="shared" si="16"/>
        <v>7.9521247237135953E-2</v>
      </c>
      <c r="AF23" s="386">
        <f t="shared" si="17"/>
        <v>0.65538136020736715</v>
      </c>
      <c r="AG23" s="386">
        <f t="shared" si="18"/>
        <v>8.160969818837916E-4</v>
      </c>
      <c r="AH23" s="386">
        <f t="shared" si="19"/>
        <v>0</v>
      </c>
      <c r="AI23" s="386">
        <f t="shared" si="20"/>
        <v>8.1623020648539859E-4</v>
      </c>
      <c r="AJ23" s="386">
        <f t="shared" si="21"/>
        <v>1.0576171222907909</v>
      </c>
      <c r="AK23" s="386">
        <f t="shared" si="22"/>
        <v>5.5927698868132685E-4</v>
      </c>
      <c r="AL23" s="386">
        <f t="shared" si="23"/>
        <v>1.1262092029730675</v>
      </c>
      <c r="AM23" s="386">
        <f t="shared" si="24"/>
        <v>0</v>
      </c>
      <c r="AN23" s="386">
        <f t="shared" si="25"/>
        <v>1.126894529197519</v>
      </c>
      <c r="AO23" s="386">
        <f t="shared" si="49"/>
        <v>3.2148777194212097</v>
      </c>
      <c r="AP23" s="386">
        <f t="shared" si="26"/>
        <v>5.1677193754154594E-3</v>
      </c>
      <c r="AQ23" s="386">
        <f t="shared" si="27"/>
        <v>0</v>
      </c>
      <c r="AR23" s="386">
        <f t="shared" si="28"/>
        <v>5.1730659660600819E-3</v>
      </c>
      <c r="AS23" s="386">
        <f t="shared" si="29"/>
        <v>0</v>
      </c>
      <c r="AT23" s="386">
        <f t="shared" si="30"/>
        <v>3.5427777777777773E-2</v>
      </c>
      <c r="AU23" s="386">
        <f t="shared" si="31"/>
        <v>0.15052439750000002</v>
      </c>
      <c r="AV23" s="386">
        <f t="shared" si="32"/>
        <v>4.6442361140097369E-3</v>
      </c>
      <c r="AW23" s="386" t="e">
        <f t="shared" si="33"/>
        <v>#VALUE!</v>
      </c>
      <c r="AX23" s="386">
        <f t="shared" si="34"/>
        <v>3.8400000000000004E-2</v>
      </c>
      <c r="AY23" s="386">
        <f t="shared" si="35"/>
        <v>0.62080000000000002</v>
      </c>
      <c r="AZ23" s="386">
        <f t="shared" si="36"/>
        <v>0.47314285714285709</v>
      </c>
      <c r="BA23" s="386">
        <f t="shared" si="57"/>
        <v>0.65920000000000001</v>
      </c>
      <c r="BB23" s="386" t="e">
        <f t="shared" si="58"/>
        <v>#VALUE!</v>
      </c>
      <c r="BC23">
        <f t="shared" si="37"/>
        <v>35.839999999999996</v>
      </c>
      <c r="BD23" s="604" t="e">
        <f t="shared" si="51"/>
        <v>#VALUE!</v>
      </c>
      <c r="BE23" s="614">
        <f t="shared" si="38"/>
        <v>61.312031577375947</v>
      </c>
      <c r="BF23" s="614">
        <f t="shared" si="39"/>
        <v>2.7423058570530046</v>
      </c>
      <c r="BG23" s="9"/>
      <c r="BH23" s="4" t="e">
        <f t="shared" si="52"/>
        <v>#VALUE!</v>
      </c>
      <c r="BI23" s="386">
        <f t="shared" si="53"/>
        <v>0.51803942350707755</v>
      </c>
      <c r="BJ23" s="386">
        <f t="shared" si="54"/>
        <v>1.3629294701072006</v>
      </c>
      <c r="BK23" s="386">
        <f t="shared" si="40"/>
        <v>1.2262406315475189</v>
      </c>
      <c r="BL23" s="386">
        <f t="shared" si="41"/>
        <v>5.4846117141060094E-2</v>
      </c>
      <c r="BM23" s="386">
        <f t="shared" si="55"/>
        <v>4.6442361140097369E-3</v>
      </c>
      <c r="BS23" s="18"/>
      <c r="BT23" s="19"/>
    </row>
    <row r="24" spans="1:83" x14ac:dyDescent="0.2">
      <c r="A24" s="35" t="s">
        <v>27</v>
      </c>
      <c r="B24" s="39">
        <f>Cout*1000000</f>
        <v>990</v>
      </c>
      <c r="C24" s="483" t="s">
        <v>675</v>
      </c>
      <c r="D24" s="482" t="s">
        <v>692</v>
      </c>
      <c r="G24">
        <v>15</v>
      </c>
      <c r="H24" s="610">
        <f t="shared" si="0"/>
        <v>12</v>
      </c>
      <c r="I24" s="445" t="str">
        <f t="shared" si="1"/>
        <v>BUCK-BST</v>
      </c>
      <c r="J24">
        <f t="shared" si="43"/>
        <v>3</v>
      </c>
      <c r="K24" s="386">
        <f t="shared" si="44"/>
        <v>3</v>
      </c>
      <c r="L24" s="4">
        <f t="shared" si="2"/>
        <v>3.5555555555555558</v>
      </c>
      <c r="M24" s="4">
        <f t="shared" si="56"/>
        <v>3.3246753246753249</v>
      </c>
      <c r="N24" s="386">
        <f t="shared" si="3"/>
        <v>0.96250000000000002</v>
      </c>
      <c r="O24" s="386">
        <f t="shared" si="4"/>
        <v>9.765625E-2</v>
      </c>
      <c r="P24" s="4">
        <f t="shared" si="5"/>
        <v>4.6794583333333337</v>
      </c>
      <c r="Q24" s="4">
        <f t="shared" si="6"/>
        <v>3.5886269712740009</v>
      </c>
      <c r="R24" s="386">
        <f t="shared" si="7"/>
        <v>2.9560920613239831E-2</v>
      </c>
      <c r="S24" s="386">
        <f t="shared" si="45"/>
        <v>0.49162484483102425</v>
      </c>
      <c r="T24" s="386">
        <f t="shared" si="46"/>
        <v>0.52118576544426409</v>
      </c>
      <c r="U24" s="4">
        <f t="shared" si="8"/>
        <v>1.082364411414356</v>
      </c>
      <c r="V24" s="386">
        <f t="shared" si="9"/>
        <v>2.3430254381926903E-3</v>
      </c>
      <c r="W24" s="386">
        <f t="shared" si="47"/>
        <v>2.3430254381926903E-3</v>
      </c>
      <c r="X24" s="4">
        <f t="shared" si="10"/>
        <v>1.350843264205819</v>
      </c>
      <c r="Y24" s="386">
        <f t="shared" si="11"/>
        <v>3.6495550489004645E-3</v>
      </c>
      <c r="Z24" s="603">
        <f t="shared" si="48"/>
        <v>3.6495550489004645E-3</v>
      </c>
      <c r="AA24" s="386">
        <f t="shared" si="12"/>
        <v>3.5206972897771815</v>
      </c>
      <c r="AB24" s="386">
        <f t="shared" si="13"/>
        <v>2.3551087871864346E-2</v>
      </c>
      <c r="AC24" s="386">
        <f t="shared" si="14"/>
        <v>6.2401735549436295E-2</v>
      </c>
      <c r="AD24" s="386">
        <f t="shared" si="15"/>
        <v>0</v>
      </c>
      <c r="AE24" s="386">
        <f t="shared" si="16"/>
        <v>8.6359595907660638E-2</v>
      </c>
      <c r="AF24" s="386">
        <f t="shared" si="17"/>
        <v>0.69493462477474821</v>
      </c>
      <c r="AG24" s="386">
        <f t="shared" si="18"/>
        <v>9.1757485215055812E-4</v>
      </c>
      <c r="AH24" s="386">
        <f t="shared" si="19"/>
        <v>0</v>
      </c>
      <c r="AI24" s="386">
        <f t="shared" si="20"/>
        <v>9.1774327177994127E-4</v>
      </c>
      <c r="AJ24" s="386">
        <f t="shared" si="21"/>
        <v>1.1214459285231253</v>
      </c>
      <c r="AK24" s="386">
        <f t="shared" si="22"/>
        <v>6.2882048530054735E-4</v>
      </c>
      <c r="AL24" s="386">
        <f t="shared" si="23"/>
        <v>1.1262092029730675</v>
      </c>
      <c r="AM24" s="386">
        <f t="shared" si="24"/>
        <v>0</v>
      </c>
      <c r="AN24" s="386">
        <f t="shared" si="25"/>
        <v>1.1269797570499183</v>
      </c>
      <c r="AO24" s="386">
        <f t="shared" si="49"/>
        <v>3.4089004925861528</v>
      </c>
      <c r="AP24" s="386">
        <f t="shared" si="26"/>
        <v>5.8103012841770581E-3</v>
      </c>
      <c r="AQ24" s="386">
        <f t="shared" si="27"/>
        <v>0</v>
      </c>
      <c r="AR24" s="386">
        <f t="shared" si="28"/>
        <v>5.8170610596460573E-3</v>
      </c>
      <c r="AS24" s="386">
        <f t="shared" si="29"/>
        <v>0</v>
      </c>
      <c r="AT24" s="386">
        <f t="shared" si="30"/>
        <v>3.7958333333333337E-2</v>
      </c>
      <c r="AU24" s="386">
        <f t="shared" si="31"/>
        <v>0.15464560937500002</v>
      </c>
      <c r="AV24" s="386">
        <f t="shared" si="32"/>
        <v>5.2217253099357446E-3</v>
      </c>
      <c r="AW24" s="386" t="e">
        <f t="shared" si="33"/>
        <v>#VALUE!</v>
      </c>
      <c r="AX24" s="386">
        <f t="shared" si="34"/>
        <v>3.8400000000000004E-2</v>
      </c>
      <c r="AY24" s="386">
        <f t="shared" si="35"/>
        <v>0.62080000000000002</v>
      </c>
      <c r="AZ24" s="386">
        <f t="shared" si="36"/>
        <v>0.47314285714285709</v>
      </c>
      <c r="BA24" s="386">
        <f t="shared" si="57"/>
        <v>0.65920000000000001</v>
      </c>
      <c r="BB24" s="386" t="e">
        <f t="shared" si="58"/>
        <v>#VALUE!</v>
      </c>
      <c r="BC24">
        <f t="shared" si="37"/>
        <v>38.400000000000006</v>
      </c>
      <c r="BD24" s="604" t="e">
        <f t="shared" si="51"/>
        <v>#VALUE!</v>
      </c>
      <c r="BE24" s="614">
        <f t="shared" si="38"/>
        <v>61.45229296187091</v>
      </c>
      <c r="BF24" s="614">
        <f t="shared" si="39"/>
        <v>2.8425056076698034</v>
      </c>
      <c r="BG24" s="9"/>
      <c r="BH24" s="4" t="e">
        <f t="shared" si="52"/>
        <v>#VALUE!</v>
      </c>
      <c r="BI24" s="386">
        <f t="shared" si="53"/>
        <v>0.52118576544426409</v>
      </c>
      <c r="BJ24" s="386">
        <f t="shared" si="54"/>
        <v>1.3747197666640047</v>
      </c>
      <c r="BK24" s="386">
        <f t="shared" si="40"/>
        <v>1.2290458592374183</v>
      </c>
      <c r="BL24" s="386">
        <f t="shared" si="41"/>
        <v>5.6850112153396068E-2</v>
      </c>
      <c r="BM24" s="386">
        <f t="shared" si="55"/>
        <v>5.2217253099357446E-3</v>
      </c>
      <c r="BS24" s="18"/>
      <c r="BT24" s="19"/>
    </row>
    <row r="25" spans="1:83" x14ac:dyDescent="0.2">
      <c r="A25" s="35" t="s">
        <v>89</v>
      </c>
      <c r="B25" s="40">
        <f>CoutEsr*1000</f>
        <v>2</v>
      </c>
      <c r="C25" s="484" t="s">
        <v>674</v>
      </c>
      <c r="D25" s="482" t="s">
        <v>691</v>
      </c>
      <c r="G25">
        <v>16</v>
      </c>
      <c r="H25" s="610">
        <f t="shared" si="0"/>
        <v>12</v>
      </c>
      <c r="I25" s="445" t="str">
        <f t="shared" si="1"/>
        <v>BUCK-BST</v>
      </c>
      <c r="J25">
        <f t="shared" si="43"/>
        <v>3</v>
      </c>
      <c r="K25" s="386">
        <f t="shared" si="44"/>
        <v>3.2</v>
      </c>
      <c r="L25" s="4">
        <f t="shared" si="2"/>
        <v>3.7925925925925932</v>
      </c>
      <c r="M25" s="4">
        <f t="shared" si="56"/>
        <v>3.5463203463203463</v>
      </c>
      <c r="N25" s="386">
        <f t="shared" si="3"/>
        <v>0.96250000000000002</v>
      </c>
      <c r="O25" s="386">
        <f t="shared" si="4"/>
        <v>9.765625E-2</v>
      </c>
      <c r="P25" s="4">
        <f t="shared" si="5"/>
        <v>4.6789222222222229</v>
      </c>
      <c r="Q25" s="4">
        <f t="shared" si="6"/>
        <v>3.7948316733235226</v>
      </c>
      <c r="R25" s="386">
        <f t="shared" si="7"/>
        <v>3.3064944107387501E-2</v>
      </c>
      <c r="S25" s="386">
        <f t="shared" si="45"/>
        <v>0.49149508416107068</v>
      </c>
      <c r="T25" s="386">
        <f t="shared" si="46"/>
        <v>0.52456002826845816</v>
      </c>
      <c r="U25" s="4">
        <f t="shared" si="8"/>
        <v>1.1426576937092008</v>
      </c>
      <c r="V25" s="386">
        <f t="shared" si="9"/>
        <v>2.6113332099856595E-3</v>
      </c>
      <c r="W25" s="386">
        <f t="shared" si="47"/>
        <v>2.6113332099856595E-3</v>
      </c>
      <c r="X25" s="4">
        <f t="shared" si="10"/>
        <v>1.3506885022586612</v>
      </c>
      <c r="Y25" s="386">
        <f t="shared" si="11"/>
        <v>3.6487188602674914E-3</v>
      </c>
      <c r="Z25" s="603">
        <f t="shared" si="48"/>
        <v>3.6487188602674914E-3</v>
      </c>
      <c r="AA25" s="386">
        <f t="shared" si="12"/>
        <v>3.7229987107541658</v>
      </c>
      <c r="AB25" s="386">
        <f t="shared" si="13"/>
        <v>2.6335366860526642E-2</v>
      </c>
      <c r="AC25" s="386">
        <f t="shared" si="14"/>
        <v>6.6561851252732063E-2</v>
      </c>
      <c r="AD25" s="386">
        <f t="shared" si="15"/>
        <v>0</v>
      </c>
      <c r="AE25" s="386">
        <f t="shared" si="16"/>
        <v>9.3389105383468715E-2</v>
      </c>
      <c r="AF25" s="386">
        <f t="shared" si="17"/>
        <v>0.73486599362212124</v>
      </c>
      <c r="AG25" s="386">
        <f t="shared" si="18"/>
        <v>1.0260532543062324E-3</v>
      </c>
      <c r="AH25" s="386">
        <f t="shared" si="19"/>
        <v>0</v>
      </c>
      <c r="AI25" s="386">
        <f t="shared" si="20"/>
        <v>1.026263854579786E-3</v>
      </c>
      <c r="AJ25" s="386">
        <f t="shared" si="21"/>
        <v>1.1858848979136007</v>
      </c>
      <c r="AK25" s="386">
        <f t="shared" si="22"/>
        <v>7.0316149554977558E-4</v>
      </c>
      <c r="AL25" s="386">
        <f t="shared" si="23"/>
        <v>1.1262092029730675</v>
      </c>
      <c r="AM25" s="386">
        <f t="shared" si="24"/>
        <v>0</v>
      </c>
      <c r="AN25" s="386">
        <f t="shared" si="25"/>
        <v>1.1270708670359084</v>
      </c>
      <c r="AO25" s="386">
        <f t="shared" si="49"/>
        <v>3.6047780011756418</v>
      </c>
      <c r="AP25" s="386">
        <f t="shared" si="26"/>
        <v>6.4972122188799277E-3</v>
      </c>
      <c r="AQ25" s="386">
        <f t="shared" si="27"/>
        <v>0</v>
      </c>
      <c r="AR25" s="386">
        <f t="shared" si="28"/>
        <v>6.5056659573499371E-3</v>
      </c>
      <c r="AS25" s="386">
        <f t="shared" si="29"/>
        <v>0</v>
      </c>
      <c r="AT25" s="386">
        <f t="shared" si="30"/>
        <v>4.0488888888888894E-2</v>
      </c>
      <c r="AU25" s="386">
        <f t="shared" si="31"/>
        <v>0.15876656</v>
      </c>
      <c r="AV25" s="386">
        <f t="shared" si="32"/>
        <v>5.8390530590453366E-3</v>
      </c>
      <c r="AW25" s="386" t="e">
        <f t="shared" si="33"/>
        <v>#VALUE!</v>
      </c>
      <c r="AX25" s="386">
        <f t="shared" si="34"/>
        <v>3.8400000000000004E-2</v>
      </c>
      <c r="AY25" s="386">
        <f t="shared" si="35"/>
        <v>0.62080000000000002</v>
      </c>
      <c r="AZ25" s="386">
        <f t="shared" si="36"/>
        <v>0.47314285714285709</v>
      </c>
      <c r="BA25" s="386">
        <f t="shared" si="57"/>
        <v>0.65920000000000001</v>
      </c>
      <c r="BB25" s="386" t="e">
        <f t="shared" si="58"/>
        <v>#VALUE!</v>
      </c>
      <c r="BC25">
        <f t="shared" si="37"/>
        <v>40.960000000000008</v>
      </c>
      <c r="BD25" s="604" t="e">
        <f t="shared" si="51"/>
        <v>#VALUE!</v>
      </c>
      <c r="BE25" s="614">
        <f t="shared" si="38"/>
        <v>61.592839831795423</v>
      </c>
      <c r="BF25" s="614">
        <f t="shared" si="39"/>
        <v>2.9449315378674972</v>
      </c>
      <c r="BG25" s="9"/>
      <c r="BH25" s="4" t="e">
        <f t="shared" si="52"/>
        <v>#VALUE!</v>
      </c>
      <c r="BI25" s="386">
        <f t="shared" si="53"/>
        <v>0.52456002826845816</v>
      </c>
      <c r="BJ25" s="386">
        <f t="shared" si="54"/>
        <v>1.3867584622313069</v>
      </c>
      <c r="BK25" s="386">
        <f t="shared" si="40"/>
        <v>1.2318567966359084</v>
      </c>
      <c r="BL25" s="386">
        <f t="shared" si="41"/>
        <v>5.889863075734994E-2</v>
      </c>
      <c r="BM25" s="386">
        <f t="shared" si="55"/>
        <v>5.8390530590453366E-3</v>
      </c>
      <c r="BQ25" t="s">
        <v>151</v>
      </c>
      <c r="BR25" t="s">
        <v>4</v>
      </c>
      <c r="BS25" t="s">
        <v>6</v>
      </c>
      <c r="BT25" t="s">
        <v>5</v>
      </c>
      <c r="BU25" t="s">
        <v>152</v>
      </c>
      <c r="BV25" t="s">
        <v>153</v>
      </c>
    </row>
    <row r="26" spans="1:83" x14ac:dyDescent="0.2">
      <c r="A26" s="24" t="s">
        <v>116</v>
      </c>
      <c r="B26" s="37" t="s">
        <v>115</v>
      </c>
      <c r="C26" s="24" t="s">
        <v>80</v>
      </c>
      <c r="D26" s="17" t="s">
        <v>111</v>
      </c>
      <c r="G26">
        <v>17</v>
      </c>
      <c r="H26" s="610">
        <f t="shared" si="0"/>
        <v>12</v>
      </c>
      <c r="I26" s="445" t="str">
        <f t="shared" si="1"/>
        <v>BUCK-BST</v>
      </c>
      <c r="J26">
        <f t="shared" si="43"/>
        <v>3</v>
      </c>
      <c r="K26" s="386">
        <f t="shared" si="44"/>
        <v>3.4</v>
      </c>
      <c r="L26" s="4">
        <f t="shared" si="2"/>
        <v>4.0296296296296292</v>
      </c>
      <c r="M26" s="4">
        <f t="shared" si="56"/>
        <v>3.7679653679653677</v>
      </c>
      <c r="N26" s="386">
        <f t="shared" si="3"/>
        <v>0.96250000000000002</v>
      </c>
      <c r="O26" s="386">
        <f t="shared" si="4"/>
        <v>9.765625E-2</v>
      </c>
      <c r="P26" s="4">
        <f t="shared" si="5"/>
        <v>4.6783861111111111</v>
      </c>
      <c r="Q26" s="4">
        <f t="shared" si="6"/>
        <v>4.0026871471432992</v>
      </c>
      <c r="R26" s="386">
        <f t="shared" si="7"/>
        <v>3.67972501374643E-2</v>
      </c>
      <c r="S26" s="386">
        <f t="shared" si="45"/>
        <v>0.4913653428775196</v>
      </c>
      <c r="T26" s="386">
        <f t="shared" si="46"/>
        <v>0.52816259301498392</v>
      </c>
      <c r="U26" s="4">
        <f t="shared" si="8"/>
        <v>1.2035275255396438</v>
      </c>
      <c r="V26" s="386">
        <f t="shared" si="9"/>
        <v>2.8969570094631563E-3</v>
      </c>
      <c r="W26" s="386">
        <f t="shared" si="47"/>
        <v>2.8969570094631563E-3</v>
      </c>
      <c r="X26" s="4">
        <f t="shared" si="10"/>
        <v>1.3505337403115032</v>
      </c>
      <c r="Y26" s="386">
        <f t="shared" si="11"/>
        <v>3.6478827674395575E-3</v>
      </c>
      <c r="Z26" s="603">
        <f t="shared" si="48"/>
        <v>3.6478827674395575E-3</v>
      </c>
      <c r="AA26" s="386">
        <f t="shared" si="12"/>
        <v>3.926919655784249</v>
      </c>
      <c r="AB26" s="386">
        <f t="shared" si="13"/>
        <v>2.9299326167670902E-2</v>
      </c>
      <c r="AC26" s="386">
        <f t="shared" si="14"/>
        <v>7.0721966956027796E-2</v>
      </c>
      <c r="AD26" s="386">
        <f t="shared" si="15"/>
        <v>0</v>
      </c>
      <c r="AE26" s="386">
        <f t="shared" si="16"/>
        <v>0.10061085919963866</v>
      </c>
      <c r="AF26" s="386">
        <f t="shared" si="17"/>
        <v>0.77511703304822355</v>
      </c>
      <c r="AG26" s="386">
        <f t="shared" si="18"/>
        <v>1.1415321883508137E-3</v>
      </c>
      <c r="AH26" s="386">
        <f t="shared" si="19"/>
        <v>0</v>
      </c>
      <c r="AI26" s="386">
        <f t="shared" si="20"/>
        <v>1.1417928670128385E-3</v>
      </c>
      <c r="AJ26" s="386">
        <f t="shared" si="21"/>
        <v>1.2508397334822809</v>
      </c>
      <c r="AK26" s="386">
        <f t="shared" si="22"/>
        <v>7.8230001942901188E-4</v>
      </c>
      <c r="AL26" s="386">
        <f t="shared" si="23"/>
        <v>1.1262092029730675</v>
      </c>
      <c r="AM26" s="386">
        <f t="shared" si="24"/>
        <v>0</v>
      </c>
      <c r="AN26" s="386">
        <f t="shared" si="25"/>
        <v>1.1271678596802019</v>
      </c>
      <c r="AO26" s="386">
        <f t="shared" si="49"/>
        <v>3.8022236071867392</v>
      </c>
      <c r="AP26" s="386">
        <f t="shared" si="26"/>
        <v>7.228452179524069E-3</v>
      </c>
      <c r="AQ26" s="386">
        <f t="shared" si="27"/>
        <v>0</v>
      </c>
      <c r="AR26" s="386">
        <f t="shared" si="28"/>
        <v>7.2389174131946296E-3</v>
      </c>
      <c r="AS26" s="386">
        <f t="shared" si="29"/>
        <v>0</v>
      </c>
      <c r="AT26" s="386">
        <f t="shared" si="30"/>
        <v>4.3019444444444443E-2</v>
      </c>
      <c r="AU26" s="386">
        <f t="shared" si="31"/>
        <v>0.16288724937500001</v>
      </c>
      <c r="AV26" s="386">
        <f t="shared" si="32"/>
        <v>6.4962193613385139E-3</v>
      </c>
      <c r="AW26" s="386" t="e">
        <f t="shared" si="33"/>
        <v>#VALUE!</v>
      </c>
      <c r="AX26" s="386">
        <f t="shared" si="34"/>
        <v>3.8400000000000004E-2</v>
      </c>
      <c r="AY26" s="386">
        <f t="shared" si="35"/>
        <v>0.62080000000000002</v>
      </c>
      <c r="AZ26" s="386">
        <f t="shared" si="36"/>
        <v>0.47314285714285709</v>
      </c>
      <c r="BA26" s="386">
        <f t="shared" si="57"/>
        <v>0.65920000000000001</v>
      </c>
      <c r="BB26" s="386" t="e">
        <f t="shared" si="58"/>
        <v>#VALUE!</v>
      </c>
      <c r="BC26">
        <f t="shared" si="37"/>
        <v>43.52</v>
      </c>
      <c r="BD26" s="604" t="e">
        <f t="shared" si="51"/>
        <v>#VALUE!</v>
      </c>
      <c r="BE26" s="614">
        <f t="shared" si="38"/>
        <v>61.733672213385091</v>
      </c>
      <c r="BF26" s="614">
        <f t="shared" si="39"/>
        <v>3.0495854853472317</v>
      </c>
      <c r="BG26" s="9"/>
      <c r="BH26" s="4" t="e">
        <f t="shared" si="52"/>
        <v>#VALUE!</v>
      </c>
      <c r="BI26" s="386">
        <f t="shared" si="53"/>
        <v>0.52816259301498392</v>
      </c>
      <c r="BJ26" s="386">
        <f t="shared" si="54"/>
        <v>1.3990466785350479</v>
      </c>
      <c r="BK26" s="386">
        <f t="shared" si="40"/>
        <v>1.2346734442677019</v>
      </c>
      <c r="BL26" s="386">
        <f t="shared" si="41"/>
        <v>6.0991709706944633E-2</v>
      </c>
      <c r="BM26" s="386">
        <f t="shared" si="55"/>
        <v>6.4962193613385139E-3</v>
      </c>
      <c r="BQ26" t="s">
        <v>154</v>
      </c>
      <c r="BR26">
        <v>9.9989640000000009</v>
      </c>
      <c r="BS26">
        <v>0.1027</v>
      </c>
      <c r="BT26">
        <v>5.1211359999999999</v>
      </c>
      <c r="BU26">
        <v>61.870683235325004</v>
      </c>
      <c r="BV26">
        <v>324.12365701136014</v>
      </c>
    </row>
    <row r="27" spans="1:83" x14ac:dyDescent="0.2">
      <c r="A27" s="22" t="s">
        <v>65</v>
      </c>
      <c r="B27" s="5">
        <f>RdsonDRT</f>
        <v>1.5</v>
      </c>
      <c r="C27" s="486" t="s">
        <v>120</v>
      </c>
      <c r="D27" s="482" t="s">
        <v>718</v>
      </c>
      <c r="G27">
        <v>18</v>
      </c>
      <c r="H27" s="610">
        <f t="shared" si="0"/>
        <v>12</v>
      </c>
      <c r="I27" s="445" t="str">
        <f t="shared" si="1"/>
        <v>BUCK-BST</v>
      </c>
      <c r="J27">
        <f t="shared" si="43"/>
        <v>3</v>
      </c>
      <c r="K27" s="386">
        <f t="shared" si="44"/>
        <v>3.6</v>
      </c>
      <c r="L27" s="4">
        <f t="shared" si="2"/>
        <v>4.2666666666666666</v>
      </c>
      <c r="M27" s="4">
        <f t="shared" si="56"/>
        <v>3.9896103896103896</v>
      </c>
      <c r="N27" s="386">
        <f t="shared" si="3"/>
        <v>0.96250000000000002</v>
      </c>
      <c r="O27" s="386">
        <f t="shared" si="4"/>
        <v>9.765625E-2</v>
      </c>
      <c r="P27" s="4">
        <f t="shared" si="5"/>
        <v>4.6778500000000003</v>
      </c>
      <c r="Q27" s="4">
        <f t="shared" si="6"/>
        <v>4.2119490080122644</v>
      </c>
      <c r="R27" s="386">
        <f t="shared" si="7"/>
        <v>4.0758244914590208E-2</v>
      </c>
      <c r="S27" s="386">
        <f t="shared" si="45"/>
        <v>0.4912356209796942</v>
      </c>
      <c r="T27" s="386">
        <f t="shared" si="46"/>
        <v>0.53199386589428443</v>
      </c>
      <c r="U27" s="4">
        <f t="shared" si="8"/>
        <v>1.2648906744507962</v>
      </c>
      <c r="V27" s="386">
        <f t="shared" si="9"/>
        <v>3.19989683662518E-3</v>
      </c>
      <c r="W27" s="386">
        <f t="shared" si="47"/>
        <v>3.19989683662518E-3</v>
      </c>
      <c r="X27" s="4">
        <f t="shared" si="10"/>
        <v>1.3503789783643456</v>
      </c>
      <c r="Y27" s="386">
        <f t="shared" si="11"/>
        <v>3.6470467704166677E-3</v>
      </c>
      <c r="Z27" s="603">
        <f t="shared" si="48"/>
        <v>3.6470467704166677E-3</v>
      </c>
      <c r="AA27" s="386">
        <f t="shared" si="12"/>
        <v>4.1322203661429917</v>
      </c>
      <c r="AB27" s="386">
        <f t="shared" si="13"/>
        <v>3.2442965793297154E-2</v>
      </c>
      <c r="AC27" s="386">
        <f t="shared" si="14"/>
        <v>7.4882082659323557E-2</v>
      </c>
      <c r="AD27" s="386">
        <f t="shared" si="15"/>
        <v>0</v>
      </c>
      <c r="AE27" s="386">
        <f t="shared" si="16"/>
        <v>0.1080259851206319</v>
      </c>
      <c r="AF27" s="386">
        <f t="shared" si="17"/>
        <v>0.81564041815531729</v>
      </c>
      <c r="AG27" s="386">
        <f t="shared" si="18"/>
        <v>1.2640116542843036E-3</v>
      </c>
      <c r="AH27" s="386">
        <f t="shared" si="19"/>
        <v>0</v>
      </c>
      <c r="AI27" s="386">
        <f t="shared" si="20"/>
        <v>1.2643312801789081E-3</v>
      </c>
      <c r="AJ27" s="386">
        <f t="shared" si="21"/>
        <v>1.3162340650038327</v>
      </c>
      <c r="AK27" s="386">
        <f t="shared" si="22"/>
        <v>8.6623605693825678E-4</v>
      </c>
      <c r="AL27" s="386">
        <f t="shared" si="23"/>
        <v>1.1262092029730675</v>
      </c>
      <c r="AM27" s="386">
        <f t="shared" si="24"/>
        <v>0</v>
      </c>
      <c r="AN27" s="386">
        <f t="shared" si="25"/>
        <v>1.1272707355414173</v>
      </c>
      <c r="AO27" s="386">
        <f t="shared" si="49"/>
        <v>4.0010051652327299</v>
      </c>
      <c r="AP27" s="386">
        <f t="shared" si="26"/>
        <v>8.0040211661094925E-3</v>
      </c>
      <c r="AQ27" s="386">
        <f t="shared" si="27"/>
        <v>0</v>
      </c>
      <c r="AR27" s="386">
        <f t="shared" si="28"/>
        <v>8.0168545808596576E-3</v>
      </c>
      <c r="AS27" s="386">
        <f t="shared" si="29"/>
        <v>0</v>
      </c>
      <c r="AT27" s="386">
        <f t="shared" si="30"/>
        <v>4.555E-2</v>
      </c>
      <c r="AU27" s="386">
        <f t="shared" si="31"/>
        <v>0.16700767750000001</v>
      </c>
      <c r="AV27" s="386">
        <f t="shared" si="32"/>
        <v>7.1932242168152834E-3</v>
      </c>
      <c r="AW27" s="386" t="e">
        <f t="shared" si="33"/>
        <v>#VALUE!</v>
      </c>
      <c r="AX27" s="386">
        <f t="shared" si="34"/>
        <v>3.8400000000000004E-2</v>
      </c>
      <c r="AY27" s="386">
        <f t="shared" si="35"/>
        <v>0.62080000000000002</v>
      </c>
      <c r="AZ27" s="386">
        <f t="shared" si="36"/>
        <v>0.47314285714285709</v>
      </c>
      <c r="BA27" s="386">
        <f t="shared" si="57"/>
        <v>0.65920000000000001</v>
      </c>
      <c r="BB27" s="386" t="e">
        <f t="shared" si="58"/>
        <v>#VALUE!</v>
      </c>
      <c r="BC27">
        <f t="shared" si="37"/>
        <v>46.080000000000005</v>
      </c>
      <c r="BD27" s="604" t="e">
        <f t="shared" si="51"/>
        <v>#VALUE!</v>
      </c>
      <c r="BE27" s="614">
        <f t="shared" si="38"/>
        <v>61.874790134570866</v>
      </c>
      <c r="BF27" s="614">
        <f t="shared" si="39"/>
        <v>3.1564694077929834</v>
      </c>
      <c r="BG27" s="9"/>
      <c r="BH27" s="4" t="e">
        <f t="shared" si="52"/>
        <v>#VALUE!</v>
      </c>
      <c r="BI27" s="386">
        <f t="shared" si="53"/>
        <v>0.53199386589428443</v>
      </c>
      <c r="BJ27" s="386">
        <f t="shared" si="54"/>
        <v>1.4115855840230878</v>
      </c>
      <c r="BK27" s="386">
        <f t="shared" si="40"/>
        <v>1.2374958026914173</v>
      </c>
      <c r="BL27" s="386">
        <f t="shared" si="41"/>
        <v>6.3129388155859667E-2</v>
      </c>
      <c r="BM27" s="386">
        <f t="shared" si="55"/>
        <v>7.1932242168152834E-3</v>
      </c>
      <c r="BQ27" t="s">
        <v>155</v>
      </c>
      <c r="BR27">
        <v>9.9986669999999993</v>
      </c>
      <c r="BS27">
        <v>0.1166</v>
      </c>
      <c r="BT27">
        <v>5.1212980000000003</v>
      </c>
      <c r="BU27">
        <v>64.729420570558148</v>
      </c>
      <c r="BV27">
        <v>325.37886459483997</v>
      </c>
    </row>
    <row r="28" spans="1:83" x14ac:dyDescent="0.2">
      <c r="A28" s="22" t="s">
        <v>150</v>
      </c>
      <c r="B28" s="5">
        <f>RdsonDRT2</f>
        <v>1</v>
      </c>
      <c r="C28" s="486" t="s">
        <v>120</v>
      </c>
      <c r="D28" s="482" t="s">
        <v>717</v>
      </c>
      <c r="G28">
        <v>19</v>
      </c>
      <c r="H28" s="610">
        <f t="shared" si="0"/>
        <v>12</v>
      </c>
      <c r="I28" s="445" t="str">
        <f t="shared" si="1"/>
        <v>BUCK-BST</v>
      </c>
      <c r="J28">
        <f t="shared" si="43"/>
        <v>3</v>
      </c>
      <c r="K28" s="386">
        <f t="shared" si="44"/>
        <v>3.8</v>
      </c>
      <c r="L28" s="4">
        <f t="shared" si="2"/>
        <v>4.5037037037037031</v>
      </c>
      <c r="M28" s="4">
        <f t="shared" si="56"/>
        <v>4.2112554112554115</v>
      </c>
      <c r="N28" s="386">
        <f t="shared" si="3"/>
        <v>0.96250000000000002</v>
      </c>
      <c r="O28" s="386">
        <f t="shared" si="4"/>
        <v>9.765625E-2</v>
      </c>
      <c r="P28" s="4">
        <f t="shared" si="5"/>
        <v>4.6773138888888894</v>
      </c>
      <c r="Q28" s="4">
        <f t="shared" si="6"/>
        <v>4.4224176163527789</v>
      </c>
      <c r="R28" s="386">
        <f t="shared" si="7"/>
        <v>4.4948359935896659E-2</v>
      </c>
      <c r="S28" s="386">
        <f t="shared" si="45"/>
        <v>0.49110591846692037</v>
      </c>
      <c r="T28" s="386">
        <f t="shared" si="46"/>
        <v>0.53605427840281705</v>
      </c>
      <c r="U28" s="4">
        <f t="shared" si="8"/>
        <v>1.3266786897119691</v>
      </c>
      <c r="V28" s="386">
        <f t="shared" si="9"/>
        <v>3.5201526914717344E-3</v>
      </c>
      <c r="W28" s="386">
        <f t="shared" si="47"/>
        <v>3.5201526914717344E-3</v>
      </c>
      <c r="X28" s="4">
        <f t="shared" si="10"/>
        <v>1.3502242164171878</v>
      </c>
      <c r="Y28" s="386">
        <f t="shared" si="11"/>
        <v>3.6462108691988179E-3</v>
      </c>
      <c r="Z28" s="603">
        <f t="shared" si="48"/>
        <v>3.6462108691988179E-3</v>
      </c>
      <c r="AA28" s="386">
        <f t="shared" si="12"/>
        <v>4.3387049812615599</v>
      </c>
      <c r="AB28" s="386">
        <f t="shared" si="13"/>
        <v>3.5766285737405361E-2</v>
      </c>
      <c r="AC28" s="386">
        <f t="shared" si="14"/>
        <v>7.904219836261929E-2</v>
      </c>
      <c r="AD28" s="386">
        <f t="shared" si="15"/>
        <v>0</v>
      </c>
      <c r="AE28" s="386">
        <f t="shared" si="16"/>
        <v>0.11563565568052502</v>
      </c>
      <c r="AF28" s="386">
        <f t="shared" si="17"/>
        <v>0.85639748890543044</v>
      </c>
      <c r="AG28" s="386">
        <f t="shared" si="18"/>
        <v>1.3934916521067008E-3</v>
      </c>
      <c r="AH28" s="386">
        <f t="shared" si="19"/>
        <v>0</v>
      </c>
      <c r="AI28" s="386">
        <f t="shared" si="20"/>
        <v>1.3938801241701146E-3</v>
      </c>
      <c r="AJ28" s="386">
        <f t="shared" si="21"/>
        <v>1.3820055051102433</v>
      </c>
      <c r="AK28" s="386">
        <f t="shared" si="22"/>
        <v>9.5496960807750942E-4</v>
      </c>
      <c r="AL28" s="386">
        <f t="shared" si="23"/>
        <v>1.1262092029730675</v>
      </c>
      <c r="AM28" s="386">
        <f t="shared" si="24"/>
        <v>0</v>
      </c>
      <c r="AN28" s="386">
        <f t="shared" si="25"/>
        <v>1.1273794952120844</v>
      </c>
      <c r="AO28" s="386">
        <f t="shared" si="49"/>
        <v>4.2009330341332953</v>
      </c>
      <c r="AP28" s="386">
        <f t="shared" si="26"/>
        <v>8.823919178636187E-3</v>
      </c>
      <c r="AQ28" s="386">
        <f t="shared" si="27"/>
        <v>0</v>
      </c>
      <c r="AR28" s="386">
        <f t="shared" si="28"/>
        <v>8.8395190189163742E-3</v>
      </c>
      <c r="AS28" s="386">
        <f t="shared" si="29"/>
        <v>0</v>
      </c>
      <c r="AT28" s="386">
        <f t="shared" si="30"/>
        <v>4.808055555555555E-2</v>
      </c>
      <c r="AU28" s="386">
        <f t="shared" si="31"/>
        <v>0.171127844375</v>
      </c>
      <c r="AV28" s="386">
        <f t="shared" si="32"/>
        <v>7.9300676254756373E-3</v>
      </c>
      <c r="AW28" s="386" t="e">
        <f t="shared" si="33"/>
        <v>#VALUE!</v>
      </c>
      <c r="AX28" s="386">
        <f t="shared" si="34"/>
        <v>3.8400000000000004E-2</v>
      </c>
      <c r="AY28" s="386">
        <f t="shared" si="35"/>
        <v>0.62080000000000002</v>
      </c>
      <c r="AZ28" s="386">
        <f t="shared" si="36"/>
        <v>0.47314285714285709</v>
      </c>
      <c r="BA28" s="386">
        <f t="shared" si="57"/>
        <v>0.65920000000000001</v>
      </c>
      <c r="BB28" s="386" t="e">
        <f t="shared" si="58"/>
        <v>#VALUE!</v>
      </c>
      <c r="BC28">
        <f t="shared" si="37"/>
        <v>48.64</v>
      </c>
      <c r="BD28" s="604" t="e">
        <f t="shared" si="51"/>
        <v>#VALUE!</v>
      </c>
      <c r="BE28" s="614">
        <f t="shared" si="38"/>
        <v>62.016193624979223</v>
      </c>
      <c r="BF28" s="614">
        <f t="shared" si="39"/>
        <v>3.265585383133319</v>
      </c>
      <c r="BG28" s="9"/>
      <c r="BH28" s="4" t="e">
        <f t="shared" si="52"/>
        <v>#VALUE!</v>
      </c>
      <c r="BI28" s="386">
        <f t="shared" si="53"/>
        <v>0.53605427840281705</v>
      </c>
      <c r="BJ28" s="386">
        <f t="shared" si="54"/>
        <v>1.4243763944106957</v>
      </c>
      <c r="BK28" s="386">
        <f t="shared" si="40"/>
        <v>1.2403238724995844</v>
      </c>
      <c r="BL28" s="386">
        <f t="shared" si="41"/>
        <v>6.5311707662666377E-2</v>
      </c>
      <c r="BM28" s="386">
        <f t="shared" si="55"/>
        <v>7.9300676254756373E-3</v>
      </c>
      <c r="BQ28" t="s">
        <v>156</v>
      </c>
      <c r="BR28">
        <v>9.9987659999999998</v>
      </c>
      <c r="BS28">
        <v>0.14660000000000001</v>
      </c>
      <c r="BT28">
        <v>5.1213230000000003</v>
      </c>
      <c r="BU28">
        <v>69.885376918691776</v>
      </c>
      <c r="BV28">
        <v>323.52446193379996</v>
      </c>
    </row>
    <row r="29" spans="1:83" x14ac:dyDescent="0.2">
      <c r="A29" s="24" t="s">
        <v>117</v>
      </c>
      <c r="B29" s="15" t="s">
        <v>115</v>
      </c>
      <c r="C29" s="24" t="s">
        <v>80</v>
      </c>
      <c r="D29" s="17" t="s">
        <v>111</v>
      </c>
      <c r="G29">
        <v>20</v>
      </c>
      <c r="H29" s="610">
        <f t="shared" si="0"/>
        <v>12</v>
      </c>
      <c r="I29" s="445" t="str">
        <f t="shared" si="1"/>
        <v>BUCK-BST</v>
      </c>
      <c r="J29">
        <f t="shared" si="43"/>
        <v>3</v>
      </c>
      <c r="K29" s="386">
        <f t="shared" si="44"/>
        <v>4</v>
      </c>
      <c r="L29" s="4">
        <f t="shared" si="2"/>
        <v>4.7407407407407405</v>
      </c>
      <c r="M29" s="4">
        <f t="shared" si="56"/>
        <v>4.4329004329004329</v>
      </c>
      <c r="N29" s="386">
        <f t="shared" si="3"/>
        <v>0.96250000000000002</v>
      </c>
      <c r="O29" s="386">
        <f t="shared" si="4"/>
        <v>9.765625E-2</v>
      </c>
      <c r="P29" s="4">
        <f t="shared" si="5"/>
        <v>4.6767777777777777</v>
      </c>
      <c r="Q29" s="4">
        <f t="shared" si="6"/>
        <v>4.6339285471295142</v>
      </c>
      <c r="R29" s="386">
        <f t="shared" si="7"/>
        <v>4.9368052102475711E-2</v>
      </c>
      <c r="S29" s="386">
        <f t="shared" si="45"/>
        <v>0.49097623533852175</v>
      </c>
      <c r="T29" s="386">
        <f t="shared" si="46"/>
        <v>0.54034428744099749</v>
      </c>
      <c r="U29" s="4">
        <f t="shared" si="8"/>
        <v>1.3888348667143289</v>
      </c>
      <c r="V29" s="386">
        <f t="shared" si="9"/>
        <v>3.8577245740028152E-3</v>
      </c>
      <c r="W29" s="386">
        <f t="shared" si="47"/>
        <v>3.8577245740028152E-3</v>
      </c>
      <c r="X29" s="4">
        <f t="shared" si="10"/>
        <v>1.35006945447003</v>
      </c>
      <c r="Y29" s="386">
        <f t="shared" si="11"/>
        <v>3.6453750637860092E-3</v>
      </c>
      <c r="Z29" s="603">
        <f t="shared" si="48"/>
        <v>3.6453750637860092E-3</v>
      </c>
      <c r="AA29" s="386">
        <f t="shared" si="12"/>
        <v>4.5462121885318476</v>
      </c>
      <c r="AB29" s="386">
        <f t="shared" si="13"/>
        <v>3.9269285999995511E-2</v>
      </c>
      <c r="AC29" s="386">
        <f t="shared" si="14"/>
        <v>8.3202314065915065E-2</v>
      </c>
      <c r="AD29" s="386">
        <f t="shared" si="15"/>
        <v>0</v>
      </c>
      <c r="AE29" s="386">
        <f t="shared" si="16"/>
        <v>0.12344108874956204</v>
      </c>
      <c r="AF29" s="386">
        <f t="shared" si="17"/>
        <v>0.89735640452738674</v>
      </c>
      <c r="AG29" s="386">
        <f t="shared" si="18"/>
        <v>1.5299721818180058E-3</v>
      </c>
      <c r="AH29" s="386">
        <f t="shared" si="19"/>
        <v>0</v>
      </c>
      <c r="AI29" s="386">
        <f t="shared" si="20"/>
        <v>1.5304404880925478E-3</v>
      </c>
      <c r="AJ29" s="386">
        <f t="shared" si="21"/>
        <v>1.4481026709779732</v>
      </c>
      <c r="AK29" s="386">
        <f t="shared" si="22"/>
        <v>1.04850067284677E-3</v>
      </c>
      <c r="AL29" s="386">
        <f t="shared" si="23"/>
        <v>1.1262092029730675</v>
      </c>
      <c r="AM29" s="386">
        <f t="shared" si="24"/>
        <v>0</v>
      </c>
      <c r="AN29" s="386">
        <f t="shared" si="25"/>
        <v>1.1274941393186555</v>
      </c>
      <c r="AO29" s="386">
        <f t="shared" si="49"/>
        <v>4.4018510236272546</v>
      </c>
      <c r="AP29" s="386">
        <f t="shared" si="26"/>
        <v>9.6881462171041557E-3</v>
      </c>
      <c r="AQ29" s="386">
        <f t="shared" si="27"/>
        <v>0</v>
      </c>
      <c r="AR29" s="386">
        <f t="shared" si="28"/>
        <v>9.7069546963884385E-3</v>
      </c>
      <c r="AS29" s="386">
        <f t="shared" si="29"/>
        <v>0</v>
      </c>
      <c r="AT29" s="386">
        <f t="shared" si="30"/>
        <v>5.0611111111111107E-2</v>
      </c>
      <c r="AU29" s="386">
        <f t="shared" si="31"/>
        <v>0.17524775000000001</v>
      </c>
      <c r="AV29" s="386">
        <f t="shared" si="32"/>
        <v>8.7067495873195764E-3</v>
      </c>
      <c r="AW29" s="386" t="e">
        <f t="shared" si="33"/>
        <v>#VALUE!</v>
      </c>
      <c r="AX29" s="386">
        <f t="shared" si="34"/>
        <v>3.8400000000000004E-2</v>
      </c>
      <c r="AY29" s="386">
        <f t="shared" si="35"/>
        <v>0.62080000000000002</v>
      </c>
      <c r="AZ29" s="386">
        <f t="shared" si="36"/>
        <v>0.47314285714285709</v>
      </c>
      <c r="BA29" s="386">
        <f t="shared" si="57"/>
        <v>0.65920000000000001</v>
      </c>
      <c r="BB29" s="386" t="e">
        <f t="shared" si="58"/>
        <v>#VALUE!</v>
      </c>
      <c r="BC29">
        <f t="shared" si="37"/>
        <v>51.2</v>
      </c>
      <c r="BD29" s="604" t="e">
        <f t="shared" si="51"/>
        <v>#VALUE!</v>
      </c>
      <c r="BE29" s="614">
        <f t="shared" si="38"/>
        <v>62.157882715932779</v>
      </c>
      <c r="BF29" s="614">
        <f t="shared" si="39"/>
        <v>3.3769356098194225</v>
      </c>
      <c r="BG29" s="9"/>
      <c r="BH29" s="4" t="e">
        <f t="shared" si="52"/>
        <v>#VALUE!</v>
      </c>
      <c r="BI29" s="386">
        <f t="shared" si="53"/>
        <v>0.54034428744099749</v>
      </c>
      <c r="BJ29" s="386">
        <f t="shared" si="54"/>
        <v>1.4374203732526984</v>
      </c>
      <c r="BK29" s="386">
        <f t="shared" si="40"/>
        <v>1.2431576543186555</v>
      </c>
      <c r="BL29" s="386">
        <f t="shared" si="41"/>
        <v>6.7538712196388448E-2</v>
      </c>
      <c r="BM29" s="386">
        <f t="shared" si="55"/>
        <v>8.7067495873195764E-3</v>
      </c>
      <c r="BQ29" t="s">
        <v>157</v>
      </c>
      <c r="BR29">
        <v>9.9987899999999996</v>
      </c>
      <c r="BS29">
        <v>0.1958</v>
      </c>
      <c r="BT29">
        <v>5.1217600000000001</v>
      </c>
      <c r="BU29">
        <v>75.662516566515876</v>
      </c>
      <c r="BV29">
        <v>322.57199766699983</v>
      </c>
    </row>
    <row r="30" spans="1:83" x14ac:dyDescent="0.2">
      <c r="A30" s="22" t="s">
        <v>64</v>
      </c>
      <c r="B30" s="27">
        <f>RdsonDRB</f>
        <v>1.5</v>
      </c>
      <c r="C30" s="486" t="s">
        <v>120</v>
      </c>
      <c r="D30" s="482" t="s">
        <v>716</v>
      </c>
      <c r="G30">
        <v>21</v>
      </c>
      <c r="H30" s="610">
        <f t="shared" si="0"/>
        <v>12</v>
      </c>
      <c r="I30" s="445" t="str">
        <f t="shared" si="1"/>
        <v>BUCK-BST</v>
      </c>
      <c r="J30">
        <f t="shared" si="43"/>
        <v>3</v>
      </c>
      <c r="K30" s="386">
        <f t="shared" si="44"/>
        <v>4.2</v>
      </c>
      <c r="L30" s="4">
        <f t="shared" si="2"/>
        <v>4.9777777777777779</v>
      </c>
      <c r="M30" s="4">
        <f t="shared" si="56"/>
        <v>4.6545454545454543</v>
      </c>
      <c r="N30" s="386">
        <f t="shared" si="3"/>
        <v>0.96250000000000002</v>
      </c>
      <c r="O30" s="386">
        <f t="shared" si="4"/>
        <v>9.765625E-2</v>
      </c>
      <c r="P30" s="4">
        <f t="shared" si="5"/>
        <v>4.6762416666666669</v>
      </c>
      <c r="Q30" s="4">
        <f t="shared" si="6"/>
        <v>4.846345330815673</v>
      </c>
      <c r="R30" s="386">
        <f t="shared" si="7"/>
        <v>5.4017803844447973E-2</v>
      </c>
      <c r="S30" s="386">
        <f t="shared" si="45"/>
        <v>0.49084657159382367</v>
      </c>
      <c r="T30" s="386">
        <f t="shared" si="46"/>
        <v>0.5448643754382716</v>
      </c>
      <c r="U30" s="4">
        <f t="shared" si="8"/>
        <v>1.4513119037991844</v>
      </c>
      <c r="V30" s="386">
        <f t="shared" si="9"/>
        <v>4.2126124842184268E-3</v>
      </c>
      <c r="W30" s="386">
        <f t="shared" si="47"/>
        <v>4.2126124842184268E-3</v>
      </c>
      <c r="X30" s="4">
        <f t="shared" si="10"/>
        <v>1.3499146925228722</v>
      </c>
      <c r="Y30" s="386">
        <f t="shared" si="11"/>
        <v>3.6445393541782414E-3</v>
      </c>
      <c r="Z30" s="603">
        <f t="shared" si="48"/>
        <v>3.6445393541782414E-3</v>
      </c>
      <c r="AA30" s="386">
        <f t="shared" si="12"/>
        <v>4.7546081016800867</v>
      </c>
      <c r="AB30" s="386">
        <f t="shared" si="13"/>
        <v>4.2951966581067647E-2</v>
      </c>
      <c r="AC30" s="386">
        <f t="shared" si="14"/>
        <v>8.7362429769210825E-2</v>
      </c>
      <c r="AD30" s="386">
        <f t="shared" si="15"/>
        <v>0</v>
      </c>
      <c r="AE30" s="386">
        <f t="shared" si="16"/>
        <v>0.13144354812757295</v>
      </c>
      <c r="AF30" s="386">
        <f t="shared" si="17"/>
        <v>0.9384907378109586</v>
      </c>
      <c r="AG30" s="386">
        <f t="shared" si="18"/>
        <v>1.6734532434182191E-3</v>
      </c>
      <c r="AH30" s="386">
        <f t="shared" si="19"/>
        <v>0</v>
      </c>
      <c r="AI30" s="386">
        <f t="shared" si="20"/>
        <v>1.6740135200891629E-3</v>
      </c>
      <c r="AJ30" s="386">
        <f t="shared" si="21"/>
        <v>1.5144829158798978</v>
      </c>
      <c r="AK30" s="386">
        <f t="shared" si="22"/>
        <v>1.1468292512460388E-3</v>
      </c>
      <c r="AL30" s="386">
        <f t="shared" si="23"/>
        <v>1.1262092029730675</v>
      </c>
      <c r="AM30" s="386">
        <f t="shared" si="24"/>
        <v>0</v>
      </c>
      <c r="AN30" s="386">
        <f t="shared" si="25"/>
        <v>1.1276146685215125</v>
      </c>
      <c r="AO30" s="386">
        <f t="shared" si="49"/>
        <v>4.6036294988874591</v>
      </c>
      <c r="AP30" s="386">
        <f t="shared" si="26"/>
        <v>1.0596702281513399E-2</v>
      </c>
      <c r="AQ30" s="386">
        <f t="shared" si="27"/>
        <v>0</v>
      </c>
      <c r="AR30" s="386">
        <f t="shared" si="28"/>
        <v>1.0619207998638807E-2</v>
      </c>
      <c r="AS30" s="386">
        <f t="shared" si="29"/>
        <v>0</v>
      </c>
      <c r="AT30" s="386">
        <f t="shared" si="30"/>
        <v>5.314166666666667E-2</v>
      </c>
      <c r="AU30" s="386">
        <f t="shared" si="31"/>
        <v>0.17936739437500002</v>
      </c>
      <c r="AV30" s="386">
        <f t="shared" si="32"/>
        <v>9.5232701023471051E-3</v>
      </c>
      <c r="AW30" s="386" t="e">
        <f t="shared" si="33"/>
        <v>#VALUE!</v>
      </c>
      <c r="AX30" s="386">
        <f t="shared" si="34"/>
        <v>3.8400000000000004E-2</v>
      </c>
      <c r="AY30" s="386">
        <f t="shared" si="35"/>
        <v>0.62080000000000002</v>
      </c>
      <c r="AZ30" s="386">
        <f t="shared" si="36"/>
        <v>0.47314285714285709</v>
      </c>
      <c r="BA30" s="386">
        <f t="shared" si="57"/>
        <v>0.65920000000000001</v>
      </c>
      <c r="BB30" s="386" t="e">
        <f t="shared" si="58"/>
        <v>#VALUE!</v>
      </c>
      <c r="BC30">
        <f t="shared" si="37"/>
        <v>53.760000000000005</v>
      </c>
      <c r="BD30" s="604" t="e">
        <f t="shared" si="51"/>
        <v>#VALUE!</v>
      </c>
      <c r="BE30" s="614">
        <f t="shared" si="38"/>
        <v>62.299857440450623</v>
      </c>
      <c r="BF30" s="614">
        <f t="shared" si="39"/>
        <v>3.4905224071194412</v>
      </c>
      <c r="BG30" s="9"/>
      <c r="BH30" s="4" t="e">
        <f t="shared" si="52"/>
        <v>#VALUE!</v>
      </c>
      <c r="BI30" s="386">
        <f t="shared" si="53"/>
        <v>0.5448643754382716</v>
      </c>
      <c r="BJ30" s="386">
        <f t="shared" si="54"/>
        <v>1.4507188325428135</v>
      </c>
      <c r="BK30" s="386">
        <f t="shared" si="40"/>
        <v>1.2459971488090125</v>
      </c>
      <c r="BL30" s="386">
        <f t="shared" si="41"/>
        <v>6.981044814238882E-2</v>
      </c>
      <c r="BM30" s="386">
        <f t="shared" si="55"/>
        <v>9.5232701023471051E-3</v>
      </c>
      <c r="BR30">
        <v>9.9987659999999998</v>
      </c>
      <c r="BS30">
        <v>0.2681</v>
      </c>
      <c r="BT30">
        <v>5.1224080000000001</v>
      </c>
      <c r="BU30">
        <v>80.957553445887683</v>
      </c>
      <c r="BV30">
        <v>323.02506068319997</v>
      </c>
    </row>
    <row r="31" spans="1:83" x14ac:dyDescent="0.2">
      <c r="A31" s="22" t="s">
        <v>149</v>
      </c>
      <c r="B31" s="27">
        <v>1</v>
      </c>
      <c r="C31" s="486" t="s">
        <v>120</v>
      </c>
      <c r="D31" s="482" t="s">
        <v>715</v>
      </c>
      <c r="G31">
        <v>22</v>
      </c>
      <c r="H31" s="610">
        <f t="shared" si="0"/>
        <v>12</v>
      </c>
      <c r="I31" s="445" t="str">
        <f t="shared" si="1"/>
        <v>BUCK-BST</v>
      </c>
      <c r="J31">
        <f t="shared" si="43"/>
        <v>3</v>
      </c>
      <c r="K31" s="386">
        <f t="shared" si="44"/>
        <v>4.4000000000000004</v>
      </c>
      <c r="L31" s="4">
        <f t="shared" si="2"/>
        <v>5.2148148148148152</v>
      </c>
      <c r="M31" s="4">
        <f t="shared" si="56"/>
        <v>4.8761904761904766</v>
      </c>
      <c r="N31" s="386">
        <f t="shared" si="3"/>
        <v>0.96250000000000002</v>
      </c>
      <c r="O31" s="386">
        <f t="shared" si="4"/>
        <v>9.765625E-2</v>
      </c>
      <c r="P31" s="4">
        <f t="shared" si="5"/>
        <v>4.675705555555556</v>
      </c>
      <c r="Q31" s="4">
        <f t="shared" si="6"/>
        <v>5.0595538766059667</v>
      </c>
      <c r="R31" s="386">
        <f t="shared" si="7"/>
        <v>5.8898123253213551E-2</v>
      </c>
      <c r="S31" s="386">
        <f t="shared" si="45"/>
        <v>0.49071692723214999</v>
      </c>
      <c r="T31" s="386">
        <f t="shared" si="46"/>
        <v>0.54961505048536352</v>
      </c>
      <c r="U31" s="4">
        <f t="shared" si="8"/>
        <v>1.5140700812905861</v>
      </c>
      <c r="V31" s="386">
        <f t="shared" si="9"/>
        <v>4.5848164221185643E-3</v>
      </c>
      <c r="W31" s="386">
        <f t="shared" si="47"/>
        <v>4.5848164221185643E-3</v>
      </c>
      <c r="X31" s="4">
        <f t="shared" si="10"/>
        <v>1.3497599305757146</v>
      </c>
      <c r="Y31" s="386">
        <f t="shared" si="11"/>
        <v>3.643703740375516E-3</v>
      </c>
      <c r="Z31" s="603">
        <f t="shared" si="48"/>
        <v>3.643703740375516E-3</v>
      </c>
      <c r="AA31" s="386">
        <f t="shared" si="12"/>
        <v>4.9637807895436952</v>
      </c>
      <c r="AB31" s="386">
        <f t="shared" si="13"/>
        <v>4.681432748062176E-2</v>
      </c>
      <c r="AC31" s="386">
        <f t="shared" si="14"/>
        <v>9.1522545472506586E-2</v>
      </c>
      <c r="AD31" s="386">
        <f t="shared" si="15"/>
        <v>0</v>
      </c>
      <c r="AE31" s="386">
        <f t="shared" si="16"/>
        <v>0.13964434416483823</v>
      </c>
      <c r="AF31" s="386">
        <f t="shared" si="17"/>
        <v>0.97977839516670395</v>
      </c>
      <c r="AG31" s="386">
        <f t="shared" si="18"/>
        <v>1.8239348369073396E-3</v>
      </c>
      <c r="AH31" s="386">
        <f t="shared" si="19"/>
        <v>0</v>
      </c>
      <c r="AI31" s="386">
        <f t="shared" si="20"/>
        <v>1.8246004273639207E-3</v>
      </c>
      <c r="AJ31" s="386">
        <f t="shared" si="21"/>
        <v>1.5811105864393646</v>
      </c>
      <c r="AK31" s="386">
        <f t="shared" si="22"/>
        <v>1.2499553432753158E-3</v>
      </c>
      <c r="AL31" s="386">
        <f t="shared" si="23"/>
        <v>1.1262092029730675</v>
      </c>
      <c r="AM31" s="386">
        <f t="shared" si="24"/>
        <v>0</v>
      </c>
      <c r="AN31" s="386">
        <f t="shared" si="25"/>
        <v>1.1277410835149768</v>
      </c>
      <c r="AO31" s="386">
        <f t="shared" si="49"/>
        <v>4.8061600830317577</v>
      </c>
      <c r="AP31" s="386">
        <f t="shared" si="26"/>
        <v>1.1549587371863916E-2</v>
      </c>
      <c r="AQ31" s="386">
        <f t="shared" si="27"/>
        <v>0</v>
      </c>
      <c r="AR31" s="386">
        <f t="shared" si="28"/>
        <v>1.1576327733584791E-2</v>
      </c>
      <c r="AS31" s="386">
        <f t="shared" si="29"/>
        <v>0</v>
      </c>
      <c r="AT31" s="386">
        <f t="shared" si="30"/>
        <v>5.5672222222222227E-2</v>
      </c>
      <c r="AU31" s="386">
        <f t="shared" si="31"/>
        <v>0.18348677750000003</v>
      </c>
      <c r="AV31" s="386">
        <f t="shared" si="32"/>
        <v>1.0379629170558222E-2</v>
      </c>
      <c r="AW31" s="386" t="e">
        <f t="shared" si="33"/>
        <v>#VALUE!</v>
      </c>
      <c r="AX31" s="386">
        <f t="shared" si="34"/>
        <v>3.8400000000000004E-2</v>
      </c>
      <c r="AY31" s="386">
        <f t="shared" si="35"/>
        <v>0.62080000000000002</v>
      </c>
      <c r="AZ31" s="386">
        <f t="shared" si="36"/>
        <v>0.47314285714285709</v>
      </c>
      <c r="BA31" s="386">
        <f t="shared" si="57"/>
        <v>0.65920000000000001</v>
      </c>
      <c r="BB31" s="386" t="e">
        <f t="shared" si="58"/>
        <v>#VALUE!</v>
      </c>
      <c r="BC31">
        <f t="shared" si="37"/>
        <v>56.320000000000007</v>
      </c>
      <c r="BD31" s="604" t="e">
        <f t="shared" si="51"/>
        <v>#VALUE!</v>
      </c>
      <c r="BE31" s="614">
        <f t="shared" si="38"/>
        <v>62.442117833248844</v>
      </c>
      <c r="BF31" s="614">
        <f t="shared" si="39"/>
        <v>3.6063482154292399</v>
      </c>
      <c r="BG31" s="9"/>
      <c r="BH31" s="4" t="e">
        <f t="shared" si="52"/>
        <v>#VALUE!</v>
      </c>
      <c r="BI31" s="386">
        <f t="shared" si="53"/>
        <v>0.54961505048536352</v>
      </c>
      <c r="BJ31" s="386">
        <f t="shared" si="54"/>
        <v>1.4642731333407637</v>
      </c>
      <c r="BK31" s="386">
        <f t="shared" si="40"/>
        <v>1.2488423566649769</v>
      </c>
      <c r="BL31" s="386">
        <f t="shared" si="41"/>
        <v>7.2126964308584798E-2</v>
      </c>
      <c r="BM31" s="386">
        <f t="shared" si="55"/>
        <v>1.0379629170558222E-2</v>
      </c>
      <c r="BR31">
        <v>9.998704</v>
      </c>
      <c r="BS31">
        <v>0.36549999999999999</v>
      </c>
      <c r="BT31">
        <v>5.123094</v>
      </c>
      <c r="BU31">
        <v>85.419022273213088</v>
      </c>
      <c r="BV31">
        <v>319.63300692320018</v>
      </c>
    </row>
    <row r="32" spans="1:83" x14ac:dyDescent="0.2">
      <c r="A32" s="24" t="s">
        <v>66</v>
      </c>
      <c r="B32" s="15" t="s">
        <v>115</v>
      </c>
      <c r="C32" s="24" t="s">
        <v>80</v>
      </c>
      <c r="D32" s="17" t="s">
        <v>111</v>
      </c>
      <c r="G32">
        <v>23</v>
      </c>
      <c r="H32" s="610">
        <f t="shared" si="0"/>
        <v>12</v>
      </c>
      <c r="I32" s="445" t="str">
        <f t="shared" si="1"/>
        <v>BUCK-BST</v>
      </c>
      <c r="J32">
        <f t="shared" si="43"/>
        <v>3</v>
      </c>
      <c r="K32" s="386">
        <f t="shared" si="44"/>
        <v>4.5999999999999996</v>
      </c>
      <c r="L32" s="4">
        <f t="shared" si="2"/>
        <v>5.4518518518518508</v>
      </c>
      <c r="M32" s="4">
        <f t="shared" si="56"/>
        <v>5.0978354978354972</v>
      </c>
      <c r="N32" s="386">
        <f t="shared" si="3"/>
        <v>0.96250000000000002</v>
      </c>
      <c r="O32" s="386">
        <f t="shared" si="4"/>
        <v>9.765625E-2</v>
      </c>
      <c r="P32" s="4">
        <f t="shared" si="5"/>
        <v>4.6751694444444443</v>
      </c>
      <c r="Q32" s="4">
        <f t="shared" si="6"/>
        <v>5.2734581513633545</v>
      </c>
      <c r="R32" s="386">
        <f t="shared" si="7"/>
        <v>6.4009544220954229E-2</v>
      </c>
      <c r="S32" s="386">
        <f t="shared" si="45"/>
        <v>0.49058730225282593</v>
      </c>
      <c r="T32" s="386">
        <f t="shared" si="46"/>
        <v>0.55459684647378016</v>
      </c>
      <c r="U32" s="4">
        <f t="shared" si="8"/>
        <v>1.5770758364300728</v>
      </c>
      <c r="V32" s="386">
        <f t="shared" si="9"/>
        <v>4.9743363877032274E-3</v>
      </c>
      <c r="W32" s="386">
        <f t="shared" si="47"/>
        <v>4.9743363877032274E-3</v>
      </c>
      <c r="X32" s="4">
        <f t="shared" si="10"/>
        <v>1.3496051686285566</v>
      </c>
      <c r="Y32" s="386">
        <f t="shared" si="11"/>
        <v>3.6428682223778298E-3</v>
      </c>
      <c r="Z32" s="603">
        <f t="shared" si="48"/>
        <v>3.6428682223778298E-3</v>
      </c>
      <c r="AA32" s="386">
        <f t="shared" si="12"/>
        <v>5.1736360368119092</v>
      </c>
      <c r="AB32" s="386">
        <f t="shared" si="13"/>
        <v>5.0856368698657797E-2</v>
      </c>
      <c r="AC32" s="386">
        <f t="shared" si="14"/>
        <v>9.5682661175802305E-2</v>
      </c>
      <c r="AD32" s="386">
        <f t="shared" si="15"/>
        <v>0</v>
      </c>
      <c r="AE32" s="386">
        <f t="shared" si="16"/>
        <v>0.14804483441100769</v>
      </c>
      <c r="AF32" s="386">
        <f t="shared" si="17"/>
        <v>1.0212007798576008</v>
      </c>
      <c r="AG32" s="386">
        <f t="shared" si="18"/>
        <v>1.981416962285367E-3</v>
      </c>
      <c r="AH32" s="386">
        <f t="shared" si="19"/>
        <v>0</v>
      </c>
      <c r="AI32" s="386">
        <f t="shared" si="20"/>
        <v>1.9822024762071754E-3</v>
      </c>
      <c r="AJ32" s="386">
        <f t="shared" si="21"/>
        <v>1.6479556723010482</v>
      </c>
      <c r="AK32" s="386">
        <f t="shared" si="22"/>
        <v>1.3578789489346E-3</v>
      </c>
      <c r="AL32" s="386">
        <f t="shared" si="23"/>
        <v>1.1262092029730675</v>
      </c>
      <c r="AM32" s="386">
        <f t="shared" si="24"/>
        <v>0</v>
      </c>
      <c r="AN32" s="386">
        <f t="shared" si="25"/>
        <v>1.1278733850273204</v>
      </c>
      <c r="AO32" s="386">
        <f t="shared" si="49"/>
        <v>5.0093515524777663</v>
      </c>
      <c r="AP32" s="386">
        <f t="shared" si="26"/>
        <v>1.2546801488155705E-2</v>
      </c>
      <c r="AQ32" s="386">
        <f t="shared" si="27"/>
        <v>0</v>
      </c>
      <c r="AR32" s="386">
        <f t="shared" si="28"/>
        <v>1.2578365138242719E-2</v>
      </c>
      <c r="AS32" s="386">
        <f t="shared" si="29"/>
        <v>0</v>
      </c>
      <c r="AT32" s="386">
        <f t="shared" si="30"/>
        <v>5.820277777777777E-2</v>
      </c>
      <c r="AU32" s="386">
        <f t="shared" si="31"/>
        <v>0.187605899375</v>
      </c>
      <c r="AV32" s="386">
        <f t="shared" si="32"/>
        <v>1.1275826791952916E-2</v>
      </c>
      <c r="AW32" s="386" t="e">
        <f t="shared" si="33"/>
        <v>#VALUE!</v>
      </c>
      <c r="AX32" s="386">
        <f t="shared" si="34"/>
        <v>3.8400000000000004E-2</v>
      </c>
      <c r="AY32" s="386">
        <f t="shared" si="35"/>
        <v>0.62080000000000002</v>
      </c>
      <c r="AZ32" s="386">
        <f t="shared" si="36"/>
        <v>0.47314285714285709</v>
      </c>
      <c r="BA32" s="386">
        <f t="shared" si="57"/>
        <v>0.65920000000000001</v>
      </c>
      <c r="BB32" s="386" t="e">
        <f t="shared" si="58"/>
        <v>#VALUE!</v>
      </c>
      <c r="BC32">
        <f t="shared" si="37"/>
        <v>58.879999999999995</v>
      </c>
      <c r="BD32" s="604" t="e">
        <f t="shared" si="51"/>
        <v>#VALUE!</v>
      </c>
      <c r="BE32" s="614">
        <f t="shared" si="38"/>
        <v>62.584663930741023</v>
      </c>
      <c r="BF32" s="614">
        <f t="shared" si="39"/>
        <v>3.7244155965996359</v>
      </c>
      <c r="BG32" s="9"/>
      <c r="BH32" s="4" t="e">
        <f t="shared" si="52"/>
        <v>#VALUE!</v>
      </c>
      <c r="BI32" s="386">
        <f t="shared" si="53"/>
        <v>0.55459684647378016</v>
      </c>
      <c r="BJ32" s="386">
        <f t="shared" si="54"/>
        <v>1.4780846864277779</v>
      </c>
      <c r="BK32" s="386">
        <f t="shared" si="40"/>
        <v>1.2516932786148205</v>
      </c>
      <c r="BL32" s="386">
        <f t="shared" si="41"/>
        <v>7.4488311931992721E-2</v>
      </c>
      <c r="BM32" s="386">
        <f t="shared" si="55"/>
        <v>1.1275826791952916E-2</v>
      </c>
      <c r="BR32">
        <v>9.9987290000000009</v>
      </c>
      <c r="BS32">
        <v>0.49059999999999998</v>
      </c>
      <c r="BT32">
        <v>5.1238169999999998</v>
      </c>
      <c r="BU32">
        <v>88.551850267052174</v>
      </c>
      <c r="BV32">
        <v>324.98153184230057</v>
      </c>
    </row>
    <row r="33" spans="1:74" x14ac:dyDescent="0.2">
      <c r="A33" s="22" t="s">
        <v>66</v>
      </c>
      <c r="B33" s="5">
        <f>Deadtime*1000000000</f>
        <v>50</v>
      </c>
      <c r="C33" s="482" t="s">
        <v>79</v>
      </c>
      <c r="D33" s="21" t="s">
        <v>102</v>
      </c>
      <c r="G33">
        <v>24</v>
      </c>
      <c r="H33" s="610">
        <f t="shared" si="0"/>
        <v>12</v>
      </c>
      <c r="I33" s="445" t="str">
        <f t="shared" si="1"/>
        <v>BUCK-BST</v>
      </c>
      <c r="J33">
        <f t="shared" si="43"/>
        <v>3</v>
      </c>
      <c r="K33" s="386">
        <f t="shared" si="44"/>
        <v>4.8</v>
      </c>
      <c r="L33" s="4">
        <f t="shared" si="2"/>
        <v>5.6888888888888882</v>
      </c>
      <c r="M33" s="4">
        <f t="shared" si="56"/>
        <v>5.3194805194805195</v>
      </c>
      <c r="N33" s="386">
        <f t="shared" si="3"/>
        <v>0.96250000000000002</v>
      </c>
      <c r="O33" s="386">
        <f t="shared" si="4"/>
        <v>9.765625E-2</v>
      </c>
      <c r="P33" s="4">
        <f t="shared" si="5"/>
        <v>4.6746333333333334</v>
      </c>
      <c r="Q33" s="4">
        <f t="shared" si="6"/>
        <v>5.4879768036340435</v>
      </c>
      <c r="R33" s="386">
        <f t="shared" si="7"/>
        <v>6.9352626587458582E-2</v>
      </c>
      <c r="S33" s="386">
        <f t="shared" si="45"/>
        <v>0.49045769665517563</v>
      </c>
      <c r="T33" s="386">
        <f t="shared" si="46"/>
        <v>0.55981032324263424</v>
      </c>
      <c r="U33" s="4">
        <f t="shared" si="8"/>
        <v>1.640300640274889</v>
      </c>
      <c r="V33" s="386">
        <f t="shared" si="9"/>
        <v>5.3811723809724221E-3</v>
      </c>
      <c r="W33" s="386">
        <f t="shared" si="47"/>
        <v>5.3811723809724221E-3</v>
      </c>
      <c r="X33" s="4">
        <f t="shared" si="10"/>
        <v>1.3494504066813988</v>
      </c>
      <c r="Y33" s="386">
        <f t="shared" si="11"/>
        <v>3.6420328001851854E-3</v>
      </c>
      <c r="Z33" s="603">
        <f t="shared" si="48"/>
        <v>3.6420328001851854E-3</v>
      </c>
      <c r="AA33" s="386">
        <f t="shared" si="12"/>
        <v>5.3840940319453363</v>
      </c>
      <c r="AB33" s="386">
        <f t="shared" si="13"/>
        <v>5.507809023517584E-2</v>
      </c>
      <c r="AC33" s="386">
        <f t="shared" si="14"/>
        <v>9.9842776879098066E-2</v>
      </c>
      <c r="AD33" s="386">
        <f t="shared" si="15"/>
        <v>0</v>
      </c>
      <c r="AE33" s="386">
        <f t="shared" si="16"/>
        <v>0.1566464242927163</v>
      </c>
      <c r="AF33" s="386">
        <f t="shared" si="17"/>
        <v>1.0627421382423627</v>
      </c>
      <c r="AG33" s="386">
        <f t="shared" si="18"/>
        <v>2.1458996195523037E-3</v>
      </c>
      <c r="AH33" s="386">
        <f t="shared" si="19"/>
        <v>0</v>
      </c>
      <c r="AI33" s="386">
        <f t="shared" si="20"/>
        <v>2.1468209920223092E-3</v>
      </c>
      <c r="AJ33" s="386">
        <f t="shared" si="21"/>
        <v>1.7149927511356386</v>
      </c>
      <c r="AK33" s="386">
        <f t="shared" si="22"/>
        <v>1.4706000682238934E-3</v>
      </c>
      <c r="AL33" s="386">
        <f t="shared" si="23"/>
        <v>1.1262092029730675</v>
      </c>
      <c r="AM33" s="386">
        <f t="shared" si="24"/>
        <v>0</v>
      </c>
      <c r="AN33" s="386">
        <f t="shared" si="25"/>
        <v>1.128011573820775</v>
      </c>
      <c r="AO33" s="386">
        <f t="shared" si="49"/>
        <v>5.2131266300347576</v>
      </c>
      <c r="AP33" s="386">
        <f t="shared" si="26"/>
        <v>1.3588344630388775E-2</v>
      </c>
      <c r="AQ33" s="386">
        <f t="shared" si="27"/>
        <v>0</v>
      </c>
      <c r="AR33" s="386">
        <f t="shared" si="28"/>
        <v>1.3625373885603871E-2</v>
      </c>
      <c r="AS33" s="386">
        <f t="shared" si="29"/>
        <v>0</v>
      </c>
      <c r="AT33" s="386">
        <f t="shared" si="30"/>
        <v>6.0733333333333334E-2</v>
      </c>
      <c r="AU33" s="386">
        <f t="shared" si="31"/>
        <v>0.19172476000000002</v>
      </c>
      <c r="AV33" s="386">
        <f t="shared" si="32"/>
        <v>1.2211862966531208E-2</v>
      </c>
      <c r="AW33" s="386" t="e">
        <f t="shared" si="33"/>
        <v>#VALUE!</v>
      </c>
      <c r="AX33" s="386">
        <f t="shared" si="34"/>
        <v>3.8400000000000004E-2</v>
      </c>
      <c r="AY33" s="386">
        <f t="shared" si="35"/>
        <v>0.62080000000000002</v>
      </c>
      <c r="AZ33" s="386">
        <f t="shared" si="36"/>
        <v>0.47314285714285709</v>
      </c>
      <c r="BA33" s="386">
        <f t="shared" si="57"/>
        <v>0.65920000000000001</v>
      </c>
      <c r="BB33" s="386" t="e">
        <f t="shared" si="58"/>
        <v>#VALUE!</v>
      </c>
      <c r="BC33">
        <f t="shared" si="37"/>
        <v>61.44</v>
      </c>
      <c r="BD33" s="604" t="e">
        <f t="shared" si="51"/>
        <v>#VALUE!</v>
      </c>
      <c r="BE33" s="614">
        <f t="shared" si="38"/>
        <v>62.727495771038754</v>
      </c>
      <c r="BF33" s="614">
        <f t="shared" si="39"/>
        <v>3.8447272342801946</v>
      </c>
      <c r="BG33" s="9"/>
      <c r="BH33" s="4" t="e">
        <f t="shared" si="52"/>
        <v>#VALUE!</v>
      </c>
      <c r="BI33" s="386">
        <f t="shared" si="53"/>
        <v>0.55981032324263424</v>
      </c>
      <c r="BJ33" s="386">
        <f t="shared" si="54"/>
        <v>1.4921549529911176</v>
      </c>
      <c r="BK33" s="386">
        <f t="shared" si="40"/>
        <v>1.2545499154207751</v>
      </c>
      <c r="BL33" s="386">
        <f t="shared" si="41"/>
        <v>7.6894544685603888E-2</v>
      </c>
      <c r="BM33" s="386">
        <f t="shared" si="55"/>
        <v>1.2211862966531208E-2</v>
      </c>
      <c r="BR33">
        <v>9.9986420000000003</v>
      </c>
      <c r="BS33">
        <v>0.64549999999999996</v>
      </c>
      <c r="BT33">
        <v>5.1237300000000001</v>
      </c>
      <c r="BU33">
        <v>90.41893857119905</v>
      </c>
      <c r="BV33">
        <v>350.45848473660021</v>
      </c>
    </row>
    <row r="34" spans="1:74" x14ac:dyDescent="0.2">
      <c r="A34" s="24" t="s">
        <v>56</v>
      </c>
      <c r="B34" s="15" t="s">
        <v>115</v>
      </c>
      <c r="C34" s="24" t="s">
        <v>80</v>
      </c>
      <c r="D34" s="17" t="s">
        <v>111</v>
      </c>
      <c r="G34">
        <v>25</v>
      </c>
      <c r="H34" s="610">
        <f t="shared" si="0"/>
        <v>12</v>
      </c>
      <c r="I34" s="4" t="str">
        <f t="shared" si="1"/>
        <v>BUCK-BST</v>
      </c>
      <c r="J34">
        <f t="shared" si="43"/>
        <v>3</v>
      </c>
      <c r="K34" s="386">
        <f t="shared" si="44"/>
        <v>5</v>
      </c>
      <c r="L34" s="4">
        <f t="shared" si="2"/>
        <v>5.9259259259259256</v>
      </c>
      <c r="M34" s="4">
        <f t="shared" si="56"/>
        <v>5.5411255411255409</v>
      </c>
      <c r="N34" s="386">
        <f t="shared" si="3"/>
        <v>0.96250000000000002</v>
      </c>
      <c r="O34" s="386">
        <f t="shared" si="4"/>
        <v>9.765625E-2</v>
      </c>
      <c r="P34" s="4">
        <f t="shared" si="5"/>
        <v>4.6740972222222226</v>
      </c>
      <c r="Q34" s="4">
        <f t="shared" si="6"/>
        <v>5.7030405048020318</v>
      </c>
      <c r="R34" s="386">
        <f t="shared" si="7"/>
        <v>7.4927956294345455E-2</v>
      </c>
      <c r="S34" s="386">
        <f t="shared" si="45"/>
        <v>0.49032811043852298</v>
      </c>
      <c r="T34" s="386">
        <f t="shared" si="46"/>
        <v>0.56525606673286843</v>
      </c>
      <c r="U34" s="4">
        <f t="shared" si="8"/>
        <v>1.7037201064033589</v>
      </c>
      <c r="V34" s="386">
        <f t="shared" si="9"/>
        <v>5.8053244019261457E-3</v>
      </c>
      <c r="W34" s="386">
        <f t="shared" si="47"/>
        <v>5.8053244019261457E-3</v>
      </c>
      <c r="X34" s="4">
        <f t="shared" si="10"/>
        <v>1.3492956447342412</v>
      </c>
      <c r="Y34" s="386">
        <f t="shared" si="11"/>
        <v>3.6411974737975833E-3</v>
      </c>
      <c r="Z34" s="603">
        <f t="shared" si="48"/>
        <v>3.6411974737975833E-3</v>
      </c>
      <c r="AA34" s="386">
        <f t="shared" si="12"/>
        <v>5.5950867586601944</v>
      </c>
      <c r="AB34" s="386">
        <f t="shared" si="13"/>
        <v>5.947949209017582E-2</v>
      </c>
      <c r="AC34" s="386">
        <f t="shared" si="14"/>
        <v>0.10400289258239383</v>
      </c>
      <c r="AD34" s="386">
        <f t="shared" si="15"/>
        <v>0</v>
      </c>
      <c r="AE34" s="386">
        <f t="shared" si="16"/>
        <v>0.16545056782056938</v>
      </c>
      <c r="AF34" s="386">
        <f t="shared" si="17"/>
        <v>1.1043890448922302</v>
      </c>
      <c r="AG34" s="386">
        <f t="shared" si="18"/>
        <v>2.3173828087081475E-3</v>
      </c>
      <c r="AH34" s="386">
        <f t="shared" si="19"/>
        <v>0</v>
      </c>
      <c r="AI34" s="386">
        <f t="shared" si="20"/>
        <v>2.3184573593536054E-3</v>
      </c>
      <c r="AJ34" s="386">
        <f t="shared" si="21"/>
        <v>1.782200157750635</v>
      </c>
      <c r="AK34" s="386">
        <f t="shared" si="22"/>
        <v>1.5881187011431942E-3</v>
      </c>
      <c r="AL34" s="386">
        <f t="shared" si="23"/>
        <v>1.1262092029730675</v>
      </c>
      <c r="AM34" s="386">
        <f t="shared" si="24"/>
        <v>0</v>
      </c>
      <c r="AN34" s="386">
        <f t="shared" si="25"/>
        <v>1.1281556506915433</v>
      </c>
      <c r="AO34" s="386">
        <f t="shared" si="49"/>
        <v>5.4174194592191425</v>
      </c>
      <c r="AP34" s="386">
        <f t="shared" si="26"/>
        <v>1.4674216798563114E-2</v>
      </c>
      <c r="AQ34" s="386">
        <f t="shared" si="27"/>
        <v>0</v>
      </c>
      <c r="AR34" s="386">
        <f t="shared" si="28"/>
        <v>1.4717410091843327E-2</v>
      </c>
      <c r="AS34" s="386">
        <f t="shared" si="29"/>
        <v>0</v>
      </c>
      <c r="AT34" s="386">
        <f t="shared" si="30"/>
        <v>6.3263888888888897E-2</v>
      </c>
      <c r="AU34" s="386">
        <f t="shared" si="31"/>
        <v>0.19584335937500003</v>
      </c>
      <c r="AV34" s="386">
        <f t="shared" si="32"/>
        <v>1.3187737694293083E-2</v>
      </c>
      <c r="AW34" s="386" t="e">
        <f t="shared" si="33"/>
        <v>#VALUE!</v>
      </c>
      <c r="AX34" s="386">
        <f t="shared" si="34"/>
        <v>3.8400000000000004E-2</v>
      </c>
      <c r="AY34" s="386">
        <f t="shared" si="35"/>
        <v>0.62080000000000002</v>
      </c>
      <c r="AZ34" s="386">
        <f t="shared" si="36"/>
        <v>0.47314285714285709</v>
      </c>
      <c r="BA34" s="386">
        <f t="shared" si="57"/>
        <v>0.65920000000000001</v>
      </c>
      <c r="BB34" s="386" t="e">
        <f t="shared" si="58"/>
        <v>#VALUE!</v>
      </c>
      <c r="BC34">
        <f t="shared" si="37"/>
        <v>64</v>
      </c>
      <c r="BD34" s="604" t="e">
        <f t="shared" si="51"/>
        <v>#VALUE!</v>
      </c>
      <c r="BE34" s="614">
        <f t="shared" si="38"/>
        <v>62.870613393952169</v>
      </c>
      <c r="BF34" s="614">
        <f t="shared" si="39"/>
        <v>3.9672859342796669</v>
      </c>
      <c r="BG34" s="9"/>
      <c r="BH34" s="4" t="e">
        <f t="shared" si="52"/>
        <v>#VALUE!</v>
      </c>
      <c r="BI34" s="386">
        <f t="shared" si="53"/>
        <v>0.56525606673286843</v>
      </c>
      <c r="BJ34" s="386">
        <f t="shared" si="54"/>
        <v>1.5064854453383094</v>
      </c>
      <c r="BK34" s="386">
        <f t="shared" si="40"/>
        <v>1.2574122678790434</v>
      </c>
      <c r="BL34" s="386">
        <f t="shared" si="41"/>
        <v>7.9345718685593342E-2</v>
      </c>
      <c r="BM34" s="386">
        <f t="shared" si="55"/>
        <v>1.3187737694293083E-2</v>
      </c>
      <c r="BR34">
        <v>9.9986049999999995</v>
      </c>
      <c r="BS34">
        <v>0.83240000000000003</v>
      </c>
      <c r="BT34">
        <v>5.1231559999999998</v>
      </c>
      <c r="BU34">
        <v>91.678946361105133</v>
      </c>
      <c r="BV34">
        <v>387.05996035199956</v>
      </c>
    </row>
    <row r="35" spans="1:74" x14ac:dyDescent="0.2">
      <c r="A35" s="22" t="s">
        <v>158</v>
      </c>
      <c r="B35" s="5">
        <f>Iq*1000</f>
        <v>3</v>
      </c>
      <c r="C35" s="482" t="s">
        <v>68</v>
      </c>
      <c r="D35" s="21" t="s">
        <v>161</v>
      </c>
      <c r="G35">
        <v>26</v>
      </c>
      <c r="H35" s="610">
        <f t="shared" si="0"/>
        <v>12</v>
      </c>
      <c r="I35" s="4" t="str">
        <f t="shared" si="1"/>
        <v>BUCK-BST</v>
      </c>
      <c r="J35">
        <f t="shared" si="43"/>
        <v>3</v>
      </c>
      <c r="K35" s="386">
        <f t="shared" si="44"/>
        <v>5.2</v>
      </c>
      <c r="L35" s="4">
        <f t="shared" si="2"/>
        <v>6.162962962962963</v>
      </c>
      <c r="M35" s="4">
        <f t="shared" si="56"/>
        <v>5.7627705627705632</v>
      </c>
      <c r="N35" s="386">
        <f t="shared" si="3"/>
        <v>0.96250000000000002</v>
      </c>
      <c r="O35" s="386">
        <f t="shared" si="4"/>
        <v>9.765625E-2</v>
      </c>
      <c r="P35" s="4">
        <f t="shared" si="5"/>
        <v>4.6735611111111108</v>
      </c>
      <c r="Q35" s="4">
        <f t="shared" si="6"/>
        <v>5.9185898388672333</v>
      </c>
      <c r="R35" s="386">
        <f t="shared" si="7"/>
        <v>8.0736145546766544E-2</v>
      </c>
      <c r="S35" s="386">
        <f t="shared" si="45"/>
        <v>0.49019854360219167</v>
      </c>
      <c r="T35" s="386">
        <f t="shared" si="46"/>
        <v>0.57093468914895817</v>
      </c>
      <c r="U35" s="4">
        <f t="shared" si="8"/>
        <v>1.7673132787602197</v>
      </c>
      <c r="V35" s="386">
        <f t="shared" si="9"/>
        <v>6.2467924505643958E-3</v>
      </c>
      <c r="W35" s="386">
        <f t="shared" si="47"/>
        <v>6.2467924505643958E-3</v>
      </c>
      <c r="X35" s="4">
        <f t="shared" si="10"/>
        <v>1.3491408827870832</v>
      </c>
      <c r="Y35" s="386">
        <f t="shared" si="11"/>
        <v>3.6403622432150205E-3</v>
      </c>
      <c r="Z35" s="603">
        <f t="shared" si="48"/>
        <v>3.6403622432150205E-3</v>
      </c>
      <c r="AA35" s="386">
        <f t="shared" si="12"/>
        <v>5.8065559256511623</v>
      </c>
      <c r="AB35" s="386">
        <f t="shared" si="13"/>
        <v>6.4060574263657785E-2</v>
      </c>
      <c r="AC35" s="386">
        <f t="shared" si="14"/>
        <v>0.10816300828568959</v>
      </c>
      <c r="AD35" s="386">
        <f t="shared" si="15"/>
        <v>0</v>
      </c>
      <c r="AE35" s="386">
        <f t="shared" si="16"/>
        <v>0.17445876832620888</v>
      </c>
      <c r="AF35" s="386">
        <f t="shared" si="17"/>
        <v>1.1461299939482614</v>
      </c>
      <c r="AG35" s="386">
        <f t="shared" si="18"/>
        <v>2.4958665297528993E-3</v>
      </c>
      <c r="AH35" s="386">
        <f t="shared" si="19"/>
        <v>0</v>
      </c>
      <c r="AI35" s="386">
        <f t="shared" si="20"/>
        <v>2.497113021915381E-3</v>
      </c>
      <c r="AJ35" s="386">
        <f t="shared" si="21"/>
        <v>1.8495593246460105</v>
      </c>
      <c r="AK35" s="386">
        <f t="shared" si="22"/>
        <v>1.710434847692503E-3</v>
      </c>
      <c r="AL35" s="386">
        <f t="shared" si="23"/>
        <v>1.1262092029730675</v>
      </c>
      <c r="AM35" s="386">
        <f t="shared" si="24"/>
        <v>0</v>
      </c>
      <c r="AN35" s="386">
        <f t="shared" si="25"/>
        <v>1.1283056164698113</v>
      </c>
      <c r="AO35" s="386">
        <f t="shared" si="49"/>
        <v>5.6221735997172351</v>
      </c>
      <c r="AP35" s="386">
        <f t="shared" si="26"/>
        <v>1.5804417992678725E-2</v>
      </c>
      <c r="AQ35" s="386">
        <f t="shared" si="27"/>
        <v>0</v>
      </c>
      <c r="AR35" s="386">
        <f t="shared" si="28"/>
        <v>1.585453232386368E-2</v>
      </c>
      <c r="AS35" s="386">
        <f t="shared" si="29"/>
        <v>0</v>
      </c>
      <c r="AT35" s="386">
        <f t="shared" si="30"/>
        <v>6.5794444444444447E-2</v>
      </c>
      <c r="AU35" s="386">
        <f t="shared" si="31"/>
        <v>0.19996169749999998</v>
      </c>
      <c r="AV35" s="386">
        <f t="shared" si="32"/>
        <v>1.4203450975238544E-2</v>
      </c>
      <c r="AW35" s="386" t="e">
        <f t="shared" si="33"/>
        <v>#VALUE!</v>
      </c>
      <c r="AX35" s="386">
        <f t="shared" si="34"/>
        <v>3.8400000000000004E-2</v>
      </c>
      <c r="AY35" s="386">
        <f t="shared" si="35"/>
        <v>0.62080000000000002</v>
      </c>
      <c r="AZ35" s="386">
        <f t="shared" si="36"/>
        <v>0.47314285714285709</v>
      </c>
      <c r="BA35" s="386">
        <f t="shared" si="57"/>
        <v>0.65920000000000001</v>
      </c>
      <c r="BB35" s="386" t="e">
        <f t="shared" si="58"/>
        <v>#VALUE!</v>
      </c>
      <c r="BC35">
        <f t="shared" si="37"/>
        <v>66.56</v>
      </c>
      <c r="BD35" s="604" t="e">
        <f t="shared" si="51"/>
        <v>#VALUE!</v>
      </c>
      <c r="BE35" s="614">
        <f t="shared" si="38"/>
        <v>63.014016840990564</v>
      </c>
      <c r="BF35" s="614">
        <f t="shared" si="39"/>
        <v>4.0920946249431838</v>
      </c>
      <c r="BG35" s="9"/>
      <c r="BH35" s="4" t="e">
        <f t="shared" si="52"/>
        <v>#VALUE!</v>
      </c>
      <c r="BI35" s="386">
        <f t="shared" si="53"/>
        <v>0.57093468914895817</v>
      </c>
      <c r="BJ35" s="386">
        <f t="shared" si="54"/>
        <v>1.5210777276417993</v>
      </c>
      <c r="BK35" s="386">
        <f t="shared" si="40"/>
        <v>1.2602803368198112</v>
      </c>
      <c r="BL35" s="386">
        <f t="shared" si="41"/>
        <v>8.1841892498863672E-2</v>
      </c>
      <c r="BM35" s="386">
        <f t="shared" si="55"/>
        <v>1.4203450975238544E-2</v>
      </c>
      <c r="BR35">
        <v>9.9986049999999995</v>
      </c>
      <c r="BS35">
        <v>1.0528999999999999</v>
      </c>
      <c r="BT35">
        <v>5.1218219999999999</v>
      </c>
      <c r="BU35">
        <v>92.889938966292178</v>
      </c>
      <c r="BV35">
        <v>412.77762981700039</v>
      </c>
    </row>
    <row r="36" spans="1:74" x14ac:dyDescent="0.2">
      <c r="A36" s="24" t="s">
        <v>766</v>
      </c>
      <c r="B36" s="15" t="s">
        <v>115</v>
      </c>
      <c r="C36" s="24" t="s">
        <v>80</v>
      </c>
      <c r="D36" s="17" t="s">
        <v>111</v>
      </c>
      <c r="G36">
        <v>27</v>
      </c>
      <c r="H36" s="610">
        <f t="shared" si="0"/>
        <v>12</v>
      </c>
      <c r="I36" s="4" t="str">
        <f t="shared" si="1"/>
        <v>BUCK-BST</v>
      </c>
      <c r="J36">
        <f t="shared" si="43"/>
        <v>3</v>
      </c>
      <c r="K36" s="386">
        <f t="shared" si="44"/>
        <v>5.4</v>
      </c>
      <c r="L36" s="4">
        <f t="shared" si="2"/>
        <v>6.4</v>
      </c>
      <c r="M36" s="4">
        <f t="shared" si="56"/>
        <v>5.9844155844155846</v>
      </c>
      <c r="N36" s="386">
        <f t="shared" si="3"/>
        <v>0.96250000000000002</v>
      </c>
      <c r="O36" s="386">
        <f t="shared" si="4"/>
        <v>9.765625E-2</v>
      </c>
      <c r="P36" s="4">
        <f t="shared" si="5"/>
        <v>4.673025</v>
      </c>
      <c r="Q36" s="4">
        <f t="shared" si="6"/>
        <v>6.1345736152739159</v>
      </c>
      <c r="R36" s="386">
        <f t="shared" si="7"/>
        <v>8.6777832982670763E-2</v>
      </c>
      <c r="S36" s="386">
        <f t="shared" si="45"/>
        <v>0.49006899614550786</v>
      </c>
      <c r="T36" s="386">
        <f t="shared" si="46"/>
        <v>0.57684682912817864</v>
      </c>
      <c r="U36" s="4">
        <f t="shared" si="8"/>
        <v>1.8310620588728248</v>
      </c>
      <c r="V36" s="386">
        <f t="shared" si="9"/>
        <v>6.7055765268871767E-3</v>
      </c>
      <c r="W36" s="386">
        <f t="shared" si="47"/>
        <v>6.7055765268871767E-3</v>
      </c>
      <c r="X36" s="4">
        <f t="shared" si="10"/>
        <v>1.3489861208399256</v>
      </c>
      <c r="Y36" s="386">
        <f t="shared" si="11"/>
        <v>3.6395271084375012E-3</v>
      </c>
      <c r="Z36" s="603">
        <f t="shared" si="48"/>
        <v>3.6395271084375012E-3</v>
      </c>
      <c r="AA36" s="386">
        <f t="shared" si="12"/>
        <v>6.0184513113565457</v>
      </c>
      <c r="AB36" s="386">
        <f t="shared" si="13"/>
        <v>6.8821336755621715E-2</v>
      </c>
      <c r="AC36" s="386">
        <f t="shared" si="14"/>
        <v>0.11232312398898536</v>
      </c>
      <c r="AD36" s="386">
        <f t="shared" si="15"/>
        <v>0</v>
      </c>
      <c r="AE36" s="386">
        <f t="shared" si="16"/>
        <v>0.18367257923020214</v>
      </c>
      <c r="AF36" s="386">
        <f t="shared" si="17"/>
        <v>1.1879550724019647</v>
      </c>
      <c r="AG36" s="386">
        <f t="shared" si="18"/>
        <v>2.6813507826865591E-3</v>
      </c>
      <c r="AH36" s="386">
        <f t="shared" si="19"/>
        <v>0</v>
      </c>
      <c r="AI36" s="386">
        <f t="shared" si="20"/>
        <v>2.6827894826223619E-3</v>
      </c>
      <c r="AJ36" s="386">
        <f t="shared" si="21"/>
        <v>1.9170542547730987</v>
      </c>
      <c r="AK36" s="386">
        <f t="shared" si="22"/>
        <v>1.8375485078718204E-3</v>
      </c>
      <c r="AL36" s="386">
        <f t="shared" si="23"/>
        <v>1.1262092029730675</v>
      </c>
      <c r="AM36" s="386">
        <f t="shared" si="24"/>
        <v>0</v>
      </c>
      <c r="AN36" s="386">
        <f t="shared" si="25"/>
        <v>1.1284614720197594</v>
      </c>
      <c r="AO36" s="386">
        <f t="shared" si="49"/>
        <v>5.8273404247110223</v>
      </c>
      <c r="AP36" s="386">
        <f t="shared" si="26"/>
        <v>1.6978948212735621E-2</v>
      </c>
      <c r="AQ36" s="386">
        <f t="shared" si="27"/>
        <v>0</v>
      </c>
      <c r="AR36" s="386">
        <f t="shared" si="28"/>
        <v>1.7036801607175397E-2</v>
      </c>
      <c r="AS36" s="386">
        <f t="shared" si="29"/>
        <v>0</v>
      </c>
      <c r="AT36" s="386">
        <f t="shared" si="30"/>
        <v>6.8325000000000011E-2</v>
      </c>
      <c r="AU36" s="386">
        <f t="shared" si="31"/>
        <v>0.20407977437500002</v>
      </c>
      <c r="AV36" s="386">
        <f t="shared" si="32"/>
        <v>1.5259002809367594E-2</v>
      </c>
      <c r="AW36" s="386" t="e">
        <f t="shared" si="33"/>
        <v>#VALUE!</v>
      </c>
      <c r="AX36" s="386">
        <f t="shared" si="34"/>
        <v>3.8400000000000004E-2</v>
      </c>
      <c r="AY36" s="386">
        <f t="shared" si="35"/>
        <v>0.62080000000000002</v>
      </c>
      <c r="AZ36" s="386">
        <f t="shared" si="36"/>
        <v>0.47314285714285709</v>
      </c>
      <c r="BA36" s="386">
        <f t="shared" si="57"/>
        <v>0.65920000000000001</v>
      </c>
      <c r="BB36" s="386" t="e">
        <f t="shared" si="58"/>
        <v>#VALUE!</v>
      </c>
      <c r="BC36">
        <f t="shared" si="37"/>
        <v>69.12</v>
      </c>
      <c r="BD36" s="604" t="e">
        <f t="shared" si="51"/>
        <v>#VALUE!</v>
      </c>
      <c r="BE36" s="614">
        <f t="shared" si="38"/>
        <v>63.157706155362966</v>
      </c>
      <c r="BF36" s="614">
        <f t="shared" si="39"/>
        <v>4.2191563575462707</v>
      </c>
      <c r="BG36" s="9"/>
      <c r="BH36" s="4" t="e">
        <f t="shared" si="52"/>
        <v>#VALUE!</v>
      </c>
      <c r="BI36" s="386">
        <f t="shared" si="53"/>
        <v>0.57684682912817864</v>
      </c>
      <c r="BJ36" s="386">
        <f t="shared" si="54"/>
        <v>1.5359334167147594</v>
      </c>
      <c r="BK36" s="386">
        <f t="shared" si="40"/>
        <v>1.2631541231072594</v>
      </c>
      <c r="BL36" s="386">
        <f t="shared" si="41"/>
        <v>8.4383127150925413E-2</v>
      </c>
      <c r="BM36" s="386">
        <f t="shared" si="55"/>
        <v>1.5259002809367594E-2</v>
      </c>
      <c r="BR36">
        <v>9.9986669999999993</v>
      </c>
      <c r="BS36">
        <v>1.3092999999999999</v>
      </c>
      <c r="BT36">
        <v>5.1195649999999997</v>
      </c>
      <c r="BU36">
        <v>93.690364214923264</v>
      </c>
      <c r="BV36">
        <v>451.42072788069993</v>
      </c>
    </row>
    <row r="37" spans="1:74" x14ac:dyDescent="0.2">
      <c r="A37" s="23" t="s">
        <v>75</v>
      </c>
      <c r="B37" s="5">
        <f>Rdson1*1000</f>
        <v>1.9</v>
      </c>
      <c r="C37" s="484" t="s">
        <v>674</v>
      </c>
      <c r="D37" s="482" t="s">
        <v>769</v>
      </c>
      <c r="G37">
        <v>28</v>
      </c>
      <c r="H37" s="610">
        <f t="shared" si="0"/>
        <v>12</v>
      </c>
      <c r="I37" s="4" t="str">
        <f t="shared" si="1"/>
        <v>BUCK-BST</v>
      </c>
      <c r="J37">
        <f t="shared" si="43"/>
        <v>3</v>
      </c>
      <c r="K37" s="386">
        <f t="shared" si="44"/>
        <v>5.6</v>
      </c>
      <c r="L37" s="4">
        <f t="shared" si="2"/>
        <v>6.637037037037036</v>
      </c>
      <c r="M37" s="4">
        <f t="shared" si="56"/>
        <v>6.2060606060606061</v>
      </c>
      <c r="N37" s="386">
        <f t="shared" si="3"/>
        <v>0.96250000000000002</v>
      </c>
      <c r="O37" s="386">
        <f t="shared" si="4"/>
        <v>9.765625E-2</v>
      </c>
      <c r="P37" s="4">
        <f t="shared" si="5"/>
        <v>4.6724888888888891</v>
      </c>
      <c r="Q37" s="4">
        <f t="shared" si="6"/>
        <v>6.3509475104766731</v>
      </c>
      <c r="R37" s="386">
        <f t="shared" si="7"/>
        <v>9.3053683849719099E-2</v>
      </c>
      <c r="S37" s="386">
        <f t="shared" si="45"/>
        <v>0.48993946806779393</v>
      </c>
      <c r="T37" s="386">
        <f t="shared" si="46"/>
        <v>0.582993151917513</v>
      </c>
      <c r="U37" s="4">
        <f t="shared" si="8"/>
        <v>1.8949507422218765</v>
      </c>
      <c r="V37" s="386">
        <f t="shared" si="9"/>
        <v>7.1816766308944822E-3</v>
      </c>
      <c r="W37" s="386">
        <f t="shared" si="47"/>
        <v>7.1816766308944822E-3</v>
      </c>
      <c r="X37" s="4">
        <f t="shared" si="10"/>
        <v>1.3488313588927678</v>
      </c>
      <c r="Y37" s="386">
        <f t="shared" si="11"/>
        <v>3.6386920694650216E-3</v>
      </c>
      <c r="Z37" s="603">
        <f t="shared" si="48"/>
        <v>3.6386920694650216E-3</v>
      </c>
      <c r="AA37" s="386">
        <f t="shared" si="12"/>
        <v>6.2307294312382666</v>
      </c>
      <c r="AB37" s="386">
        <f t="shared" si="13"/>
        <v>7.3761779566067595E-2</v>
      </c>
      <c r="AC37" s="386">
        <f t="shared" si="14"/>
        <v>0.11648323969228105</v>
      </c>
      <c r="AD37" s="386">
        <f t="shared" si="15"/>
        <v>0</v>
      </c>
      <c r="AE37" s="386">
        <f t="shared" si="16"/>
        <v>0.1930936048415364</v>
      </c>
      <c r="AF37" s="386">
        <f t="shared" si="17"/>
        <v>1.2298556970356802</v>
      </c>
      <c r="AG37" s="386">
        <f t="shared" si="18"/>
        <v>2.8738355675091256E-3</v>
      </c>
      <c r="AH37" s="386">
        <f t="shared" si="19"/>
        <v>0</v>
      </c>
      <c r="AI37" s="386">
        <f t="shared" si="20"/>
        <v>2.8754883036213063E-3</v>
      </c>
      <c r="AJ37" s="386">
        <f t="shared" si="21"/>
        <v>1.9846710970239603</v>
      </c>
      <c r="AK37" s="386">
        <f t="shared" si="22"/>
        <v>1.9694596816811449E-3</v>
      </c>
      <c r="AL37" s="386">
        <f t="shared" si="23"/>
        <v>1.1262092029730675</v>
      </c>
      <c r="AM37" s="386">
        <f t="shared" si="24"/>
        <v>0</v>
      </c>
      <c r="AN37" s="386">
        <f t="shared" si="25"/>
        <v>1.128623218239575</v>
      </c>
      <c r="AO37" s="386">
        <f t="shared" si="49"/>
        <v>6.0328778304775543</v>
      </c>
      <c r="AP37" s="386">
        <f t="shared" si="26"/>
        <v>1.819780745873378E-2</v>
      </c>
      <c r="AQ37" s="386">
        <f t="shared" si="27"/>
        <v>0</v>
      </c>
      <c r="AR37" s="386">
        <f t="shared" si="28"/>
        <v>1.8264281434115813E-2</v>
      </c>
      <c r="AS37" s="386">
        <f t="shared" si="29"/>
        <v>0</v>
      </c>
      <c r="AT37" s="386">
        <f t="shared" si="30"/>
        <v>7.0855555555555547E-2</v>
      </c>
      <c r="AU37" s="386">
        <f t="shared" si="31"/>
        <v>0.20819758999999999</v>
      </c>
      <c r="AV37" s="386">
        <f t="shared" si="32"/>
        <v>1.6354393196680226E-2</v>
      </c>
      <c r="AW37" s="386" t="e">
        <f t="shared" si="33"/>
        <v>#VALUE!</v>
      </c>
      <c r="AX37" s="386">
        <f t="shared" si="34"/>
        <v>3.8400000000000004E-2</v>
      </c>
      <c r="AY37" s="386">
        <f t="shared" si="35"/>
        <v>0.62080000000000002</v>
      </c>
      <c r="AZ37" s="386">
        <f t="shared" si="36"/>
        <v>0.47314285714285709</v>
      </c>
      <c r="BA37" s="386">
        <f t="shared" si="57"/>
        <v>0.65920000000000001</v>
      </c>
      <c r="BB37" s="386" t="e">
        <f t="shared" si="58"/>
        <v>#VALUE!</v>
      </c>
      <c r="BC37">
        <f t="shared" si="37"/>
        <v>71.679999999999993</v>
      </c>
      <c r="BD37" s="604" t="e">
        <f t="shared" si="51"/>
        <v>#VALUE!</v>
      </c>
      <c r="BE37" s="614">
        <f t="shared" si="38"/>
        <v>63.301681381978746</v>
      </c>
      <c r="BF37" s="614">
        <f t="shared" si="39"/>
        <v>4.3484743067057909</v>
      </c>
      <c r="BG37" s="9"/>
      <c r="BH37" s="4" t="e">
        <f t="shared" si="52"/>
        <v>#VALUE!</v>
      </c>
      <c r="BI37" s="386">
        <f t="shared" si="53"/>
        <v>0.582993151917513</v>
      </c>
      <c r="BJ37" s="386">
        <f t="shared" si="54"/>
        <v>1.5510541828188484</v>
      </c>
      <c r="BK37" s="386">
        <f t="shared" si="40"/>
        <v>1.2660336276395749</v>
      </c>
      <c r="BL37" s="386">
        <f t="shared" si="41"/>
        <v>8.6969486134115814E-2</v>
      </c>
      <c r="BM37" s="386">
        <f t="shared" si="55"/>
        <v>1.6354393196680226E-2</v>
      </c>
      <c r="BR37">
        <v>9.9985429999999997</v>
      </c>
      <c r="BS37">
        <v>1.6020000000000001</v>
      </c>
      <c r="BT37">
        <v>5.1182809999999996</v>
      </c>
      <c r="BU37">
        <v>93.864473327748414</v>
      </c>
      <c r="BV37">
        <v>535.96589716749952</v>
      </c>
    </row>
    <row r="38" spans="1:74" x14ac:dyDescent="0.2">
      <c r="A38" s="22" t="s">
        <v>83</v>
      </c>
      <c r="B38" s="5">
        <f>RdsonTopTc*1000000</f>
        <v>4000</v>
      </c>
      <c r="C38" s="482" t="s">
        <v>85</v>
      </c>
      <c r="D38" s="21" t="s">
        <v>113</v>
      </c>
      <c r="G38">
        <v>29</v>
      </c>
      <c r="H38" s="610">
        <f t="shared" si="0"/>
        <v>12</v>
      </c>
      <c r="I38" s="4" t="str">
        <f t="shared" si="1"/>
        <v>BUCK-BST</v>
      </c>
      <c r="J38">
        <f t="shared" si="43"/>
        <v>3</v>
      </c>
      <c r="K38" s="386">
        <f t="shared" si="44"/>
        <v>5.8</v>
      </c>
      <c r="L38" s="4">
        <f t="shared" si="2"/>
        <v>6.8740740740740733</v>
      </c>
      <c r="M38" s="4">
        <f t="shared" si="56"/>
        <v>6.4277056277056275</v>
      </c>
      <c r="N38" s="386">
        <f t="shared" si="3"/>
        <v>0.96250000000000002</v>
      </c>
      <c r="O38" s="386">
        <f t="shared" si="4"/>
        <v>9.765625E-2</v>
      </c>
      <c r="P38" s="4">
        <f t="shared" si="5"/>
        <v>4.6719527777777774</v>
      </c>
      <c r="Q38" s="4">
        <f t="shared" si="6"/>
        <v>6.5676729668572396</v>
      </c>
      <c r="R38" s="386">
        <f t="shared" si="7"/>
        <v>9.9564390189942162E-2</v>
      </c>
      <c r="S38" s="386">
        <f t="shared" si="45"/>
        <v>0.48980995936837424</v>
      </c>
      <c r="T38" s="386">
        <f t="shared" si="46"/>
        <v>0.58937434955831636</v>
      </c>
      <c r="U38" s="4">
        <f t="shared" si="8"/>
        <v>1.958965640661714</v>
      </c>
      <c r="V38" s="386">
        <f t="shared" si="9"/>
        <v>7.6750927625863193E-3</v>
      </c>
      <c r="W38" s="386">
        <f t="shared" si="47"/>
        <v>7.6750927625863193E-3</v>
      </c>
      <c r="X38" s="4">
        <f t="shared" si="10"/>
        <v>1.3486765969456098</v>
      </c>
      <c r="Y38" s="386">
        <f t="shared" si="11"/>
        <v>3.6378571262975818E-3</v>
      </c>
      <c r="Z38" s="603">
        <f t="shared" si="48"/>
        <v>3.6378571262975818E-3</v>
      </c>
      <c r="AA38" s="386">
        <f t="shared" si="12"/>
        <v>6.4433524575412493</v>
      </c>
      <c r="AB38" s="386">
        <f t="shared" si="13"/>
        <v>7.8881902694995426E-2</v>
      </c>
      <c r="AC38" s="386">
        <f t="shared" si="14"/>
        <v>0.12064335539557684</v>
      </c>
      <c r="AD38" s="386">
        <f t="shared" si="15"/>
        <v>0</v>
      </c>
      <c r="AE38" s="386">
        <f t="shared" si="16"/>
        <v>0.20272350118953661</v>
      </c>
      <c r="AF38" s="386">
        <f t="shared" si="17"/>
        <v>1.271824401198737</v>
      </c>
      <c r="AG38" s="386">
        <f t="shared" si="18"/>
        <v>3.0733208842205991E-3</v>
      </c>
      <c r="AH38" s="386">
        <f t="shared" si="19"/>
        <v>0</v>
      </c>
      <c r="AI38" s="386">
        <f t="shared" si="20"/>
        <v>3.0752111063238894E-3</v>
      </c>
      <c r="AJ38" s="386">
        <f t="shared" si="21"/>
        <v>2.0523978021428873</v>
      </c>
      <c r="AK38" s="386">
        <f t="shared" si="22"/>
        <v>2.1061683691204771E-3</v>
      </c>
      <c r="AL38" s="386">
        <f t="shared" si="23"/>
        <v>1.1262092029730675</v>
      </c>
      <c r="AM38" s="386">
        <f t="shared" si="24"/>
        <v>0</v>
      </c>
      <c r="AN38" s="386">
        <f t="shared" si="25"/>
        <v>1.1287908560614659</v>
      </c>
      <c r="AO38" s="386">
        <f t="shared" si="49"/>
        <v>6.2387491904504717</v>
      </c>
      <c r="AP38" s="386">
        <f t="shared" si="26"/>
        <v>1.9460995730673208E-2</v>
      </c>
      <c r="AQ38" s="386">
        <f t="shared" si="27"/>
        <v>0</v>
      </c>
      <c r="AR38" s="386">
        <f t="shared" si="28"/>
        <v>1.9537037772408977E-2</v>
      </c>
      <c r="AS38" s="386">
        <f t="shared" si="29"/>
        <v>0</v>
      </c>
      <c r="AT38" s="386">
        <f t="shared" si="30"/>
        <v>7.338611111111111E-2</v>
      </c>
      <c r="AU38" s="386">
        <f t="shared" si="31"/>
        <v>0.21231514437499999</v>
      </c>
      <c r="AV38" s="386">
        <f t="shared" si="32"/>
        <v>1.7489622137176444E-2</v>
      </c>
      <c r="AW38" s="386" t="e">
        <f t="shared" si="33"/>
        <v>#VALUE!</v>
      </c>
      <c r="AX38" s="386">
        <f t="shared" si="34"/>
        <v>3.8400000000000004E-2</v>
      </c>
      <c r="AY38" s="386">
        <f t="shared" si="35"/>
        <v>0.62080000000000002</v>
      </c>
      <c r="AZ38" s="386">
        <f t="shared" si="36"/>
        <v>0.47314285714285709</v>
      </c>
      <c r="BA38" s="386">
        <f t="shared" si="57"/>
        <v>0.65920000000000001</v>
      </c>
      <c r="BB38" s="386" t="e">
        <f t="shared" si="58"/>
        <v>#VALUE!</v>
      </c>
      <c r="BC38">
        <f t="shared" si="37"/>
        <v>74.239999999999995</v>
      </c>
      <c r="BD38" s="604" t="e">
        <f t="shared" si="51"/>
        <v>#VALUE!</v>
      </c>
      <c r="BE38" s="614">
        <f t="shared" si="38"/>
        <v>63.445942567448299</v>
      </c>
      <c r="BF38" s="614">
        <f t="shared" si="39"/>
        <v>4.4800517708079486</v>
      </c>
      <c r="BG38" s="9"/>
      <c r="BH38" s="4" t="e">
        <f t="shared" si="52"/>
        <v>#VALUE!</v>
      </c>
      <c r="BI38" s="386">
        <f t="shared" si="53"/>
        <v>0.58937434955831636</v>
      </c>
      <c r="BJ38" s="386">
        <f t="shared" si="54"/>
        <v>1.5664417505047352</v>
      </c>
      <c r="BK38" s="386">
        <f t="shared" si="40"/>
        <v>1.268918851348966</v>
      </c>
      <c r="BL38" s="386">
        <f t="shared" si="41"/>
        <v>8.9601035416158978E-2</v>
      </c>
      <c r="BM38" s="386">
        <f t="shared" si="55"/>
        <v>1.7489622137176444E-2</v>
      </c>
      <c r="BR38">
        <v>9.9985429999999997</v>
      </c>
      <c r="BS38">
        <v>1.9350000000000001</v>
      </c>
      <c r="BT38">
        <v>5.117146</v>
      </c>
      <c r="BU38">
        <v>94.224527198076927</v>
      </c>
      <c r="BV38">
        <v>606.92116405899924</v>
      </c>
    </row>
    <row r="39" spans="1:74" x14ac:dyDescent="0.2">
      <c r="A39" s="23" t="s">
        <v>74</v>
      </c>
      <c r="B39" s="5">
        <f>Qg_Q1*1000000000</f>
        <v>96</v>
      </c>
      <c r="C39" s="482" t="s">
        <v>69</v>
      </c>
      <c r="D39" s="21" t="s">
        <v>103</v>
      </c>
      <c r="G39">
        <v>30</v>
      </c>
      <c r="H39" s="610">
        <f t="shared" si="0"/>
        <v>12</v>
      </c>
      <c r="I39" s="4" t="str">
        <f t="shared" si="1"/>
        <v>BUCK-BST</v>
      </c>
      <c r="J39">
        <f t="shared" si="43"/>
        <v>3</v>
      </c>
      <c r="K39" s="386">
        <f t="shared" si="44"/>
        <v>6</v>
      </c>
      <c r="L39" s="4">
        <f t="shared" si="2"/>
        <v>7.1111111111111116</v>
      </c>
      <c r="M39" s="4">
        <f t="shared" si="56"/>
        <v>6.6493506493506498</v>
      </c>
      <c r="N39" s="386">
        <f t="shared" si="3"/>
        <v>0.96250000000000002</v>
      </c>
      <c r="O39" s="386">
        <f t="shared" si="4"/>
        <v>9.765625E-2</v>
      </c>
      <c r="P39" s="4">
        <f t="shared" si="5"/>
        <v>4.6714166666666666</v>
      </c>
      <c r="Q39" s="4">
        <f t="shared" si="6"/>
        <v>6.7847162945467003</v>
      </c>
      <c r="R39" s="386">
        <f t="shared" si="7"/>
        <v>0.1063106710322365</v>
      </c>
      <c r="S39" s="386">
        <f t="shared" si="45"/>
        <v>0.48968047004657433</v>
      </c>
      <c r="T39" s="386">
        <f t="shared" si="46"/>
        <v>0.59599114107881079</v>
      </c>
      <c r="U39" s="4">
        <f t="shared" si="8"/>
        <v>2.0230947731090954</v>
      </c>
      <c r="V39" s="386">
        <f t="shared" si="9"/>
        <v>8.1858249219626845E-3</v>
      </c>
      <c r="W39" s="386">
        <f t="shared" si="47"/>
        <v>8.1858249219626845E-3</v>
      </c>
      <c r="X39" s="4">
        <f t="shared" si="10"/>
        <v>1.3485218349984522</v>
      </c>
      <c r="Y39" s="386">
        <f t="shared" si="11"/>
        <v>3.6370222789351859E-3</v>
      </c>
      <c r="Z39" s="603">
        <f t="shared" si="48"/>
        <v>3.6370222789351859E-3</v>
      </c>
      <c r="AA39" s="386">
        <f t="shared" si="12"/>
        <v>6.6562873381173784</v>
      </c>
      <c r="AB39" s="386">
        <f t="shared" si="13"/>
        <v>8.4181706142405291E-2</v>
      </c>
      <c r="AC39" s="386">
        <f t="shared" si="14"/>
        <v>0.12480347109887259</v>
      </c>
      <c r="AD39" s="386">
        <f t="shared" si="15"/>
        <v>0</v>
      </c>
      <c r="AE39" s="386">
        <f t="shared" si="16"/>
        <v>0.21256397688906514</v>
      </c>
      <c r="AF39" s="386">
        <f t="shared" si="17"/>
        <v>1.3138546608760731</v>
      </c>
      <c r="AG39" s="386">
        <f t="shared" si="18"/>
        <v>3.2798067328209837E-3</v>
      </c>
      <c r="AH39" s="386">
        <f t="shared" si="19"/>
        <v>0</v>
      </c>
      <c r="AI39" s="386">
        <f t="shared" si="20"/>
        <v>3.2819595714408353E-3</v>
      </c>
      <c r="AJ39" s="386">
        <f t="shared" si="21"/>
        <v>2.1202238420458439</v>
      </c>
      <c r="AK39" s="386">
        <f t="shared" si="22"/>
        <v>2.2476745701898197E-3</v>
      </c>
      <c r="AL39" s="386">
        <f t="shared" si="23"/>
        <v>1.1262092029730675</v>
      </c>
      <c r="AM39" s="386">
        <f t="shared" si="24"/>
        <v>0</v>
      </c>
      <c r="AN39" s="386">
        <f t="shared" si="25"/>
        <v>1.1289643864516727</v>
      </c>
      <c r="AO39" s="386">
        <f t="shared" si="49"/>
        <v>6.4449225020249754</v>
      </c>
      <c r="AP39" s="386">
        <f t="shared" si="26"/>
        <v>2.0768513028553932E-2</v>
      </c>
      <c r="AQ39" s="386">
        <f t="shared" si="27"/>
        <v>0</v>
      </c>
      <c r="AR39" s="386">
        <f t="shared" si="28"/>
        <v>2.085513907406835E-2</v>
      </c>
      <c r="AS39" s="386">
        <f t="shared" si="29"/>
        <v>0</v>
      </c>
      <c r="AT39" s="386">
        <f t="shared" si="30"/>
        <v>7.5916666666666674E-2</v>
      </c>
      <c r="AU39" s="386">
        <f t="shared" si="31"/>
        <v>0.21643243750000002</v>
      </c>
      <c r="AV39" s="386">
        <f t="shared" si="32"/>
        <v>1.8664689630856261E-2</v>
      </c>
      <c r="AW39" s="386" t="e">
        <f t="shared" si="33"/>
        <v>#VALUE!</v>
      </c>
      <c r="AX39" s="386">
        <f t="shared" si="34"/>
        <v>3.8400000000000004E-2</v>
      </c>
      <c r="AY39" s="386">
        <f t="shared" si="35"/>
        <v>0.62080000000000002</v>
      </c>
      <c r="AZ39" s="386">
        <f t="shared" si="36"/>
        <v>0.47314285714285709</v>
      </c>
      <c r="BA39" s="386">
        <f t="shared" si="57"/>
        <v>0.65920000000000001</v>
      </c>
      <c r="BB39" s="386" t="e">
        <f t="shared" si="58"/>
        <v>#VALUE!</v>
      </c>
      <c r="BC39">
        <f t="shared" si="37"/>
        <v>76.800000000000011</v>
      </c>
      <c r="BD39" s="604" t="e">
        <f t="shared" si="51"/>
        <v>#VALUE!</v>
      </c>
      <c r="BE39" s="614">
        <f t="shared" si="38"/>
        <v>63.590489760083635</v>
      </c>
      <c r="BF39" s="614">
        <f t="shared" si="39"/>
        <v>4.6138921724534185</v>
      </c>
      <c r="BG39" s="9"/>
      <c r="BH39" s="4" t="e">
        <f t="shared" si="52"/>
        <v>#VALUE!</v>
      </c>
      <c r="BI39" s="386">
        <f t="shared" si="53"/>
        <v>0.59599114107881079</v>
      </c>
      <c r="BJ39" s="386">
        <f t="shared" si="54"/>
        <v>1.5820978994862469</v>
      </c>
      <c r="BK39" s="386">
        <f t="shared" si="40"/>
        <v>1.2718097952016727</v>
      </c>
      <c r="BL39" s="386">
        <f t="shared" si="41"/>
        <v>9.2277843449068364E-2</v>
      </c>
      <c r="BM39" s="386">
        <f t="shared" si="55"/>
        <v>1.8664689630856261E-2</v>
      </c>
      <c r="BR39">
        <v>9.9985060000000008</v>
      </c>
      <c r="BS39">
        <v>2.31</v>
      </c>
      <c r="BT39">
        <v>5.1166349999999996</v>
      </c>
      <c r="BU39">
        <v>94.492663502717292</v>
      </c>
      <c r="BV39">
        <v>688.87413060200208</v>
      </c>
    </row>
    <row r="40" spans="1:74" x14ac:dyDescent="0.2">
      <c r="A40" s="23" t="s">
        <v>130</v>
      </c>
      <c r="B40" s="5">
        <f>Qgd_Q1*1000000000</f>
        <v>17.2</v>
      </c>
      <c r="C40" s="482" t="s">
        <v>69</v>
      </c>
      <c r="D40" s="21" t="s">
        <v>131</v>
      </c>
      <c r="G40">
        <v>31</v>
      </c>
      <c r="H40" s="610">
        <f t="shared" si="0"/>
        <v>12</v>
      </c>
      <c r="I40" s="4" t="str">
        <f t="shared" si="1"/>
        <v>BUCK-BST</v>
      </c>
      <c r="J40">
        <f t="shared" si="43"/>
        <v>3</v>
      </c>
      <c r="K40" s="386">
        <f t="shared" si="44"/>
        <v>6.2</v>
      </c>
      <c r="L40" s="4">
        <f t="shared" si="2"/>
        <v>7.348148148148149</v>
      </c>
      <c r="M40" s="4">
        <f t="shared" si="56"/>
        <v>6.8709956709956712</v>
      </c>
      <c r="N40" s="386">
        <f t="shared" si="3"/>
        <v>0.96250000000000002</v>
      </c>
      <c r="O40" s="386">
        <f t="shared" si="4"/>
        <v>9.765625E-2</v>
      </c>
      <c r="P40" s="4">
        <f t="shared" si="5"/>
        <v>4.6708805555555557</v>
      </c>
      <c r="Q40" s="4">
        <f t="shared" si="6"/>
        <v>7.0020479343210846</v>
      </c>
      <c r="R40" s="386">
        <f t="shared" si="7"/>
        <v>0.11329327259280027</v>
      </c>
      <c r="S40" s="386">
        <f t="shared" si="45"/>
        <v>0.48955100010171609</v>
      </c>
      <c r="T40" s="386">
        <f t="shared" si="46"/>
        <v>0.60284427269451635</v>
      </c>
      <c r="U40" s="4">
        <f t="shared" si="8"/>
        <v>2.0873276107290364</v>
      </c>
      <c r="V40" s="386">
        <f t="shared" si="9"/>
        <v>8.7138731090235753E-3</v>
      </c>
      <c r="W40" s="386">
        <f t="shared" si="47"/>
        <v>8.7138731090235753E-3</v>
      </c>
      <c r="X40" s="4">
        <f t="shared" si="10"/>
        <v>1.3483670730512944</v>
      </c>
      <c r="Y40" s="386">
        <f t="shared" si="11"/>
        <v>3.6361875273778297E-3</v>
      </c>
      <c r="Z40" s="603">
        <f t="shared" si="48"/>
        <v>3.6361875273778297E-3</v>
      </c>
      <c r="AA40" s="386">
        <f t="shared" si="12"/>
        <v>6.8695050732738592</v>
      </c>
      <c r="AB40" s="386">
        <f t="shared" si="13"/>
        <v>8.9661189908297051E-2</v>
      </c>
      <c r="AC40" s="386">
        <f t="shared" si="14"/>
        <v>0.12896358680216835</v>
      </c>
      <c r="AD40" s="386">
        <f t="shared" si="15"/>
        <v>0</v>
      </c>
      <c r="AE40" s="386">
        <f t="shared" si="16"/>
        <v>0.222616794039903</v>
      </c>
      <c r="AF40" s="386">
        <f t="shared" si="17"/>
        <v>1.35594075194858</v>
      </c>
      <c r="AG40" s="386">
        <f t="shared" si="18"/>
        <v>3.4932931133102728E-3</v>
      </c>
      <c r="AH40" s="386">
        <f t="shared" si="19"/>
        <v>0</v>
      </c>
      <c r="AI40" s="386">
        <f t="shared" si="20"/>
        <v>3.4957354390172876E-3</v>
      </c>
      <c r="AJ40" s="386">
        <f t="shared" si="21"/>
        <v>2.1881399794753391</v>
      </c>
      <c r="AK40" s="386">
        <f t="shared" si="22"/>
        <v>2.3939782848891688E-3</v>
      </c>
      <c r="AL40" s="386">
        <f t="shared" si="23"/>
        <v>1.1262092029730675</v>
      </c>
      <c r="AM40" s="386">
        <f t="shared" si="24"/>
        <v>0</v>
      </c>
      <c r="AN40" s="386">
        <f t="shared" si="25"/>
        <v>1.1291438104104845</v>
      </c>
      <c r="AO40" s="386">
        <f t="shared" si="49"/>
        <v>6.6513696863692546</v>
      </c>
      <c r="AP40" s="386">
        <f t="shared" si="26"/>
        <v>2.2120359352375919E-2</v>
      </c>
      <c r="AQ40" s="386">
        <f t="shared" si="27"/>
        <v>0</v>
      </c>
      <c r="AR40" s="386">
        <f t="shared" si="28"/>
        <v>2.2218656284644572E-2</v>
      </c>
      <c r="AS40" s="386">
        <f t="shared" si="29"/>
        <v>0</v>
      </c>
      <c r="AT40" s="386">
        <f t="shared" si="30"/>
        <v>7.8447222222222224E-2</v>
      </c>
      <c r="AU40" s="386">
        <f t="shared" si="31"/>
        <v>0.22054946937500003</v>
      </c>
      <c r="AV40" s="386">
        <f t="shared" si="32"/>
        <v>1.9879595677719655E-2</v>
      </c>
      <c r="AW40" s="386" t="e">
        <f t="shared" si="33"/>
        <v>#VALUE!</v>
      </c>
      <c r="AX40" s="386">
        <f t="shared" si="34"/>
        <v>3.8400000000000004E-2</v>
      </c>
      <c r="AY40" s="386">
        <f t="shared" si="35"/>
        <v>0.62080000000000002</v>
      </c>
      <c r="AZ40" s="386">
        <f t="shared" si="36"/>
        <v>0.47314285714285709</v>
      </c>
      <c r="BA40" s="386">
        <f t="shared" si="57"/>
        <v>0.65920000000000001</v>
      </c>
      <c r="BB40" s="386" t="e">
        <f t="shared" si="58"/>
        <v>#VALUE!</v>
      </c>
      <c r="BC40">
        <f t="shared" si="37"/>
        <v>79.360000000000014</v>
      </c>
      <c r="BD40" s="604" t="e">
        <f t="shared" si="51"/>
        <v>#VALUE!</v>
      </c>
      <c r="BE40" s="614">
        <f t="shared" si="38"/>
        <v>63.735323009899226</v>
      </c>
      <c r="BF40" s="614">
        <f t="shared" si="39"/>
        <v>4.7499990589197294</v>
      </c>
      <c r="BG40" s="9"/>
      <c r="BH40" s="4" t="e">
        <f t="shared" si="52"/>
        <v>#VALUE!</v>
      </c>
      <c r="BI40" s="386">
        <f t="shared" si="53"/>
        <v>0.60284427269451635</v>
      </c>
      <c r="BJ40" s="386">
        <f t="shared" si="54"/>
        <v>1.5980244655490494</v>
      </c>
      <c r="BK40" s="386">
        <f t="shared" si="40"/>
        <v>1.2747064601979845</v>
      </c>
      <c r="BL40" s="386">
        <f t="shared" si="41"/>
        <v>9.4999981178394588E-2</v>
      </c>
      <c r="BM40" s="386">
        <f t="shared" si="55"/>
        <v>1.9879595677719655E-2</v>
      </c>
      <c r="BR40">
        <v>9.9984319999999993</v>
      </c>
      <c r="BS40">
        <v>2.7269999999999999</v>
      </c>
      <c r="BT40">
        <v>5.115812</v>
      </c>
      <c r="BU40">
        <v>94.558770424517263</v>
      </c>
      <c r="BV40">
        <v>802.77694931200062</v>
      </c>
    </row>
    <row r="41" spans="1:74" x14ac:dyDescent="0.2">
      <c r="A41" s="23" t="s">
        <v>148</v>
      </c>
      <c r="B41" s="5">
        <f>Qgs_Q1*1000000000</f>
        <v>24</v>
      </c>
      <c r="C41" s="482" t="s">
        <v>69</v>
      </c>
      <c r="D41" s="21"/>
      <c r="G41">
        <v>32</v>
      </c>
      <c r="H41" s="610">
        <f t="shared" ref="H41:H72" si="59">Vin</f>
        <v>12</v>
      </c>
      <c r="I41" s="4" t="str">
        <f t="shared" ref="I41:I72" si="60">IF(H41&gt;VIN_BB_to_buck, "BUCK", IF(H41&lt;VIN_boost_to_BB,"BOOST","BUCK-BST"))</f>
        <v>BUCK-BST</v>
      </c>
      <c r="J41">
        <f t="shared" si="43"/>
        <v>3</v>
      </c>
      <c r="K41" s="386">
        <f t="shared" si="44"/>
        <v>6.4</v>
      </c>
      <c r="L41" s="4">
        <f t="shared" ref="L41:L72" si="61">Vout*K41/(Vin*Efficiency)</f>
        <v>7.5851851851851864</v>
      </c>
      <c r="M41" s="4">
        <f t="shared" si="56"/>
        <v>7.0926406926406926</v>
      </c>
      <c r="N41" s="386">
        <f t="shared" ref="N41:N72" si="62">CHOOSE(J41,(Vout+(Rdson2+Rs+Rdcr)*K41)/(Vin+(Rs+Rdson2-Rdson1)*K41), 1, IF(Vin&lt;Vout, D_max_buck_BB, Vout/Vin*(1-D_min_boost_exitBB_to_buck)))</f>
        <v>0.96250000000000002</v>
      </c>
      <c r="O41" s="386">
        <f t="shared" ref="O41:O72" si="63">CHOOSE(J41,0,(Vout+(Rdson3+Rdcr)*L41-Vin)/(Vout+(Rdson3-Rdson4-Rs)*L41), IF(Vin&gt;Vout,D_min_boost_exitBB_to_buck, (Vout-Vin*D_max_buck_BB)/Vout))</f>
        <v>9.765625E-2</v>
      </c>
      <c r="P41" s="4">
        <f t="shared" ref="P41:P72" si="64">MAX(0, CHOOSE(J41, (Vin-(Rdson1+Rdcr)*K41-Vout)*N41/(Fsw*Lf), (Vin-(Rdson4+Rdcr+Rs)*L41)*O41/(Fsw*Lf), IF(Vin&lt;Vout, (Vin-(Rdson4+Rdcr+Rs)*L41)*O41/(0.5*Fsw*Lf),(Vin-(Rdson1+Rdcr)*K41-Vout)*N41/(0.5*Fsw*Lf))))</f>
        <v>4.670344444444444</v>
      </c>
      <c r="Q41" s="4">
        <f t="shared" ref="Q41:Q72" si="65">CHOOSE(J41, SQRT(K41^2+(P41^2)/12), SQRT(L41^2+(P41^2)/12), SQRT(M41^2+(P41^2)/12))</f>
        <v>7.2196418491996814</v>
      </c>
      <c r="R41" s="386">
        <f t="shared" si="7"/>
        <v>0.12051296848361499</v>
      </c>
      <c r="S41" s="386">
        <f t="shared" si="45"/>
        <v>0.48942154953312489</v>
      </c>
      <c r="T41" s="386">
        <f t="shared" si="46"/>
        <v>0.60993451801673992</v>
      </c>
      <c r="U41" s="4">
        <f t="shared" ref="U41:U72" si="66">IF(Vin&gt;Vout, P41/SQRT(12), SQRT(O41/(1-O41))*SQRT(K41^2+(P41^2)/12))</f>
        <v>2.1516548658845123</v>
      </c>
      <c r="V41" s="386">
        <f t="shared" si="9"/>
        <v>9.259237323768996E-3</v>
      </c>
      <c r="W41" s="386">
        <f t="shared" si="47"/>
        <v>9.259237323768996E-3</v>
      </c>
      <c r="X41" s="4">
        <f t="shared" ref="X41:X72" si="67">IF(Vin&gt;Vout, SQRT(N41*(1-N41))*SQRT(K41^2+(P41^2)/12), P41/SQRT(12))</f>
        <v>1.3482123111041366</v>
      </c>
      <c r="Y41" s="386">
        <f t="shared" si="11"/>
        <v>3.6353528716255145E-3</v>
      </c>
      <c r="Z41" s="603">
        <f t="shared" si="48"/>
        <v>3.6353528716255145E-3</v>
      </c>
      <c r="AA41" s="386">
        <f t="shared" ref="AA41:AA72" si="68">CHOOSE(J41, SQRT(N41)*SQRT(K41^2+(P41^2)/12), SQRT(L41^2+(P41^2)/12), SQRT(N41)*SQRT(M41^2+(P41^2)/12))</f>
        <v>7.0829801188880639</v>
      </c>
      <c r="AB41" s="386">
        <f t="shared" ref="AB41:AB72" si="69">Rdson1*AA41^2</f>
        <v>9.5320353992670789E-2</v>
      </c>
      <c r="AC41" s="386">
        <f t="shared" ref="AC41:AC72" si="70">CHOOSE(J41, (Vin*K41/2)*(Fsw)*(Tr_buck+Tf_buck), 0, (Vin*K41/2)*(Fsw/2)*(Tr_buck+Tf_buck))</f>
        <v>0.13312370250546413</v>
      </c>
      <c r="AD41" s="386">
        <f t="shared" ref="AD41:AD72" si="71">CHOOSE(J41, IF(K41&gt;P41/2,0,ABS(K41-P41/2)*Vsd_Q1*Deadtime*Fsw),0, IF(K41&gt;P41/2,0,ABS(K41-P41/2)*Vsd_Q1*Deadtime*Fsw/2))</f>
        <v>0</v>
      </c>
      <c r="AE41" s="386">
        <f t="shared" ref="AE41:AE72" si="72">(AD41+AC41+AB41*(1+RdsonTopTc*Ta-RdsonTopTc*25))/(1-AB41*RdsonTopTc*ThetaJA_Q1)</f>
        <v>0.23288376916125456</v>
      </c>
      <c r="AF41" s="386">
        <f t="shared" ref="AF41:AF72" si="73">CHOOSE(J41, SQRT((1-N41))*SQRT(K41^2+(P41^2)/12), 0, SQRT((1-N41))*SQRT(M41^2+(P41^2)/12))</f>
        <v>1.398077632376624</v>
      </c>
      <c r="AG41" s="386">
        <f t="shared" ref="AG41:AG72" si="74">Rdson2*AF41^2</f>
        <v>3.7137800256884707E-3</v>
      </c>
      <c r="AH41" s="386">
        <f t="shared" ref="AH41:AH72" si="75">CHOOSE(J41, IF(K41&lt;P41/2,Deadtime*Fsw*IF(VfdSky_Q2&gt;0,0,Vsd_Q2)*(K41+P41/2),2*Deadtime*Fsw*IF(VfdSky_Q2&gt;0,0,Vsd_Q2)*K41),0, IF(K41&lt;P41/2,Deadtime*Fsw/2*IF(VfdSky_Q2&gt;0,0,Vsd_Q2)*(K41+P41/2),2*Deadtime*Fsw/2*IF(VfdSky_Q2&gt;0,0,Vsd_Q2)*K41))</f>
        <v>0</v>
      </c>
      <c r="AI41" s="386">
        <f t="shared" ref="AI41:AI72" si="76">(AH41+AG41*(1+RdsonBotTc*Ta-RdsonBotTc*25))/(1-AG41*RdsonBotTc*ThetaJA_Q2)</f>
        <v>3.7165405084694739E-3</v>
      </c>
      <c r="AJ41" s="386">
        <f t="shared" ref="AJ41:AJ72" si="77">CHOOSE(J41, 0, SQRT(O41)*SQRT(L41^2+(P41^2)/12), SQRT(O41)*SQRT(M41^2+(P41^2)/12))</f>
        <v>2.2561380778749003</v>
      </c>
      <c r="AK41" s="386">
        <f t="shared" ref="AK41:AK72" si="78">Rdson4*AJ41^2</f>
        <v>2.545079513218525E-3</v>
      </c>
      <c r="AL41" s="386">
        <f t="shared" ref="AL41:AL72" si="79">CHOOSE(J41, 0, (Vout*L41/2)*(Fsw)*(Tr_boost+Tf_boost), (Vout*Iout/2)*(Fsw/2)*(Tr_boost+Tf_boost))</f>
        <v>1.1262092029730675</v>
      </c>
      <c r="AM41" s="386">
        <f t="shared" ref="AM41:AM72" si="80">IF(H41&gt;Vout, 0, IF(L41&gt;P41/2,0,ABS(L41-P41/2)*Vsd_Q4*Deadtime*Fsw))</f>
        <v>0</v>
      </c>
      <c r="AN41" s="386">
        <f t="shared" ref="AN41:AN72" si="81">(AM41+AL41+AK41*(1+RdsonTopTc*Ta-RdsonTopTc*25))/(1-AK41*RdsonTopTc*ThetaJA_Q4)</f>
        <v>1.1293291289722516</v>
      </c>
      <c r="AO41" s="386">
        <f t="shared" si="49"/>
        <v>6.8580660104929247</v>
      </c>
      <c r="AP41" s="386">
        <f t="shared" ref="AP41:AP72" si="82">Rdson3*AO41^2</f>
        <v>2.3516534702139172E-2</v>
      </c>
      <c r="AQ41" s="386">
        <f t="shared" ref="AQ41:AQ72" si="83">CHOOSE(J41, 0, IF(L41&lt;P41/2,Deadtime*Fsw*IF(VfdSky_Q3&gt;0,0,Vsd_Q3)*(L41+P41/2), 2*Deadtime*Fsw*IF(VfdSky_Q3&gt;0,0,Vsd_Q3)*L41), IF(L41&lt;P41/2,Deadtime*Fsw/2*IF(VfdSky_Q3&gt;0,0,Vsd_Q3)*(L41+P41/2), 2*Deadtime*Fsw/2*IF(VfdSky_Q3&gt;0,0,Vsd_Q3)*L41))</f>
        <v>0</v>
      </c>
      <c r="AR41" s="386">
        <f t="shared" ref="AR41:AR72" si="84">(AQ41+AP41*(1+RdsonBotTc*Ta-RdsonBotTc*25))/(1-AP41*RdsonBotTc*ThetaJA_Q3)</f>
        <v>2.3627662852820933E-2</v>
      </c>
      <c r="AS41" s="386">
        <f t="shared" ref="AS41:AS72" si="85">CHOOSE(J41, Rdson3*Q41^2, Rdson1*Q41^2, 0)</f>
        <v>0</v>
      </c>
      <c r="AT41" s="386">
        <f t="shared" ref="AT41:AT72" si="86">CHOOSE(J41, 2*Deadtime*Fsw*IF(VfdSky_Q2&gt;0,VfdSky_Q2,0)*K41, 2*Deadtime*Fsw*IF(VfdSky_Q3&gt;0,VfdSky_Q3,0)*L41, 2*Deadtime*Fsw/2*IF(VfdSky_Q2&gt;0,VfdSky_Q2,0)*K41+2*Deadtime*Fsw/2*IF(VfdSky_Q3&gt;0,VfdSky_Q3,0)*L41)</f>
        <v>8.0977777777777787E-2</v>
      </c>
      <c r="AU41" s="386">
        <f t="shared" ref="AU41:AU72" si="87">CHOOSE(J41, IF(QrrSky_Q2&gt;0,QrrSky_Q2,Qrr_Q2*K41/Iout)*Fsw*(Vin-K41*Rdson1), IF(QrrSky_Q3&gt;0,QrrSky_Q3,Qrr_Q3)*Fsw*Vout,  IF(QrrSky_Q2&gt;0,QrrSky_Q2,Qrr_Q2*K41/Iout)*Fsw/2*(Vin-K41*Rdson1)+IF(QrrSky_Q3&gt;0,QrrSky_Q3,Qrr_Q3)*Fsw/2*Vout)</f>
        <v>0.22466624000000002</v>
      </c>
      <c r="AV41" s="386">
        <f t="shared" ref="AV41:AV72" si="88">CHOOSE(J41, Rs*AF41^2, Rs*AJ41^2, Rs*(AF41^2+AJ41^2))</f>
        <v>2.1134340277766631E-2</v>
      </c>
      <c r="AW41" s="386" t="e">
        <f t="shared" si="33"/>
        <v>#VALUE!</v>
      </c>
      <c r="AX41" s="386">
        <f t="shared" ref="AX41:AX72" si="89">IF(Vout&gt;8, Iq*Vout, Iq*Vin)</f>
        <v>3.8400000000000004E-2</v>
      </c>
      <c r="AY41" s="386">
        <f t="shared" ref="AY41:AY72" si="90">CHOOSE(J41, (Qg_Q1+Qg_Q2)*Fsw, (Qg_Q3+Qg_Q4)*Fsw, (Qg_Q1+Qg_Q2+Qg_Q3+Qg_Q4)*Fsw/2)*IF(Vout&gt;8, Vout, Vin)</f>
        <v>0.62080000000000002</v>
      </c>
      <c r="AZ41" s="386">
        <f t="shared" si="36"/>
        <v>0.47314285714285709</v>
      </c>
      <c r="BA41" s="386">
        <f t="shared" si="57"/>
        <v>0.65920000000000001</v>
      </c>
      <c r="BB41" s="386" t="e">
        <f t="shared" si="58"/>
        <v>#VALUE!</v>
      </c>
      <c r="BC41">
        <f t="shared" ref="BC41:BC72" si="91">Vout*K41</f>
        <v>81.920000000000016</v>
      </c>
      <c r="BD41" s="604" t="e">
        <f t="shared" si="51"/>
        <v>#VALUE!</v>
      </c>
      <c r="BE41" s="614">
        <f t="shared" ref="BE41:BE72" si="92">IF(Vin&gt;Vout,ThetaJA_Q1*BK41,ThetaJA_Q4*BK41)</f>
        <v>63.880442368612577</v>
      </c>
      <c r="BF41" s="614">
        <f t="shared" ref="BF41:BF72" si="93">IF(Vin&gt;Vout, ThetaJA_Q2*BL41, ThetaJA_Q3*BL41)</f>
        <v>4.8883761026410468</v>
      </c>
      <c r="BG41" s="9"/>
      <c r="BH41" s="4" t="e">
        <f t="shared" si="52"/>
        <v>#VALUE!</v>
      </c>
      <c r="BI41" s="386">
        <f t="shared" si="53"/>
        <v>0.60993451801673992</v>
      </c>
      <c r="BJ41" s="386">
        <f t="shared" si="54"/>
        <v>1.6142233414947964</v>
      </c>
      <c r="BK41" s="386">
        <f t="shared" ref="BK41:BK72" si="94">IF(Vin&gt;Vout, AE41+AU41*0.66, AN41+AU41*0.66)</f>
        <v>1.2776088473722516</v>
      </c>
      <c r="BL41" s="386">
        <f t="shared" ref="BL41:BL72" si="95">IF(Vin&gt;Vout, AI41+AU41*0.33, AR41+AU41*0.33)</f>
        <v>9.7767522052820938E-2</v>
      </c>
      <c r="BM41" s="386">
        <f t="shared" si="55"/>
        <v>2.1134340277766631E-2</v>
      </c>
      <c r="BR41">
        <v>9.9985180000000007</v>
      </c>
      <c r="BS41">
        <v>3.1859999999999999</v>
      </c>
      <c r="BT41">
        <v>5.1148889999999998</v>
      </c>
      <c r="BU41">
        <v>94.58411932633652</v>
      </c>
      <c r="BV41">
        <v>933.10990806000302</v>
      </c>
    </row>
    <row r="42" spans="1:74" x14ac:dyDescent="0.2">
      <c r="A42" s="23" t="s">
        <v>94</v>
      </c>
      <c r="B42" s="5">
        <f>Rgate1</f>
        <v>0.5</v>
      </c>
      <c r="C42" s="486" t="s">
        <v>120</v>
      </c>
      <c r="D42" s="21" t="s">
        <v>104</v>
      </c>
      <c r="G42">
        <v>33</v>
      </c>
      <c r="H42" s="610">
        <f t="shared" si="59"/>
        <v>12</v>
      </c>
      <c r="I42" s="4" t="str">
        <f t="shared" si="60"/>
        <v>BUCK-BST</v>
      </c>
      <c r="J42">
        <f t="shared" si="43"/>
        <v>3</v>
      </c>
      <c r="K42" s="386">
        <f t="shared" ref="K42:K73" si="96">Iout*G42/100</f>
        <v>6.6</v>
      </c>
      <c r="L42" s="4">
        <f t="shared" si="61"/>
        <v>7.822222222222222</v>
      </c>
      <c r="M42" s="4">
        <f t="shared" si="56"/>
        <v>7.3142857142857141</v>
      </c>
      <c r="N42" s="386">
        <f t="shared" si="62"/>
        <v>0.96250000000000002</v>
      </c>
      <c r="O42" s="386">
        <f t="shared" si="63"/>
        <v>9.765625E-2</v>
      </c>
      <c r="P42" s="4">
        <f t="shared" si="64"/>
        <v>4.6698083333333331</v>
      </c>
      <c r="Q42" s="4">
        <f t="shared" si="65"/>
        <v>7.437475019523978</v>
      </c>
      <c r="R42" s="386">
        <f t="shared" si="7"/>
        <v>0.12797055992908118</v>
      </c>
      <c r="S42" s="386">
        <f t="shared" si="45"/>
        <v>0.48929211834012432</v>
      </c>
      <c r="T42" s="386">
        <f t="shared" si="46"/>
        <v>0.61726267826920544</v>
      </c>
      <c r="U42" s="4">
        <f t="shared" si="66"/>
        <v>2.2160683164332888</v>
      </c>
      <c r="V42" s="386">
        <f t="shared" si="9"/>
        <v>9.8219175661989431E-3</v>
      </c>
      <c r="W42" s="386">
        <f t="shared" si="47"/>
        <v>9.8219175661989431E-3</v>
      </c>
      <c r="X42" s="4">
        <f t="shared" si="67"/>
        <v>1.3480575491569788</v>
      </c>
      <c r="Y42" s="386">
        <f t="shared" si="11"/>
        <v>3.6345183116782412E-3</v>
      </c>
      <c r="Z42" s="603">
        <f t="shared" si="48"/>
        <v>3.6345183116782412E-3</v>
      </c>
      <c r="AA42" s="386">
        <f t="shared" si="68"/>
        <v>7.2966898910441973</v>
      </c>
      <c r="AB42" s="386">
        <f t="shared" si="69"/>
        <v>0.10115919839552651</v>
      </c>
      <c r="AC42" s="386">
        <f t="shared" si="70"/>
        <v>0.13728381820875982</v>
      </c>
      <c r="AD42" s="386">
        <f t="shared" si="71"/>
        <v>0</v>
      </c>
      <c r="AE42" s="386">
        <f t="shared" si="72"/>
        <v>0.24336677416236022</v>
      </c>
      <c r="AF42" s="386">
        <f t="shared" si="73"/>
        <v>1.440260844422502</v>
      </c>
      <c r="AG42" s="386">
        <f t="shared" si="74"/>
        <v>3.9412674699555754E-3</v>
      </c>
      <c r="AH42" s="386">
        <f t="shared" si="75"/>
        <v>0</v>
      </c>
      <c r="AI42" s="386">
        <f t="shared" si="76"/>
        <v>3.9443766386225865E-3</v>
      </c>
      <c r="AJ42" s="386">
        <f t="shared" si="77"/>
        <v>2.3242109436012433</v>
      </c>
      <c r="AK42" s="386">
        <f t="shared" si="78"/>
        <v>2.7009782551778911E-3</v>
      </c>
      <c r="AL42" s="386">
        <f t="shared" si="79"/>
        <v>1.1262092029730675</v>
      </c>
      <c r="AM42" s="386">
        <f t="shared" si="80"/>
        <v>0</v>
      </c>
      <c r="AN42" s="386">
        <f t="shared" si="81"/>
        <v>1.1295203432054011</v>
      </c>
      <c r="AO42" s="386">
        <f t="shared" si="49"/>
        <v>7.0649896076135468</v>
      </c>
      <c r="AP42" s="386">
        <f t="shared" si="82"/>
        <v>2.4957039077843711E-2</v>
      </c>
      <c r="AQ42" s="386">
        <f t="shared" si="83"/>
        <v>0</v>
      </c>
      <c r="AR42" s="386">
        <f t="shared" si="84"/>
        <v>2.5082234740358665E-2</v>
      </c>
      <c r="AS42" s="386">
        <f t="shared" si="85"/>
        <v>0</v>
      </c>
      <c r="AT42" s="386">
        <f t="shared" si="86"/>
        <v>8.3508333333333323E-2</v>
      </c>
      <c r="AU42" s="386">
        <f t="shared" si="87"/>
        <v>0.22878274937499998</v>
      </c>
      <c r="AV42" s="386">
        <f t="shared" si="88"/>
        <v>2.2428923430997203E-2</v>
      </c>
      <c r="AW42" s="386" t="e">
        <f t="shared" si="33"/>
        <v>#VALUE!</v>
      </c>
      <c r="AX42" s="386">
        <f t="shared" si="89"/>
        <v>3.8400000000000004E-2</v>
      </c>
      <c r="AY42" s="386">
        <f t="shared" si="90"/>
        <v>0.62080000000000002</v>
      </c>
      <c r="AZ42" s="386">
        <f t="shared" si="36"/>
        <v>0.47314285714285709</v>
      </c>
      <c r="BA42" s="386">
        <f t="shared" si="57"/>
        <v>0.65920000000000001</v>
      </c>
      <c r="BB42" s="386" t="e">
        <f t="shared" si="58"/>
        <v>#VALUE!</v>
      </c>
      <c r="BC42">
        <f t="shared" si="91"/>
        <v>84.48</v>
      </c>
      <c r="BD42" s="604" t="e">
        <f t="shared" si="51"/>
        <v>#VALUE!</v>
      </c>
      <c r="BE42" s="614">
        <f t="shared" si="92"/>
        <v>64.02584788964505</v>
      </c>
      <c r="BF42" s="614">
        <f t="shared" si="93"/>
        <v>5.0290271017054327</v>
      </c>
      <c r="BG42" s="9"/>
      <c r="BH42" s="4" t="e">
        <f t="shared" si="52"/>
        <v>#VALUE!</v>
      </c>
      <c r="BI42" s="386">
        <f t="shared" si="53"/>
        <v>0.61726267826920544</v>
      </c>
      <c r="BJ42" s="386">
        <f t="shared" si="54"/>
        <v>1.6306964781217426</v>
      </c>
      <c r="BK42" s="386">
        <f t="shared" si="94"/>
        <v>1.280516957792901</v>
      </c>
      <c r="BL42" s="386">
        <f t="shared" si="95"/>
        <v>0.10058054203410866</v>
      </c>
      <c r="BM42" s="386">
        <f t="shared" si="55"/>
        <v>2.2428923430997203E-2</v>
      </c>
      <c r="BR42">
        <v>9.9984190000000002</v>
      </c>
      <c r="BS42">
        <v>3.6920000000000002</v>
      </c>
      <c r="BT42">
        <v>5.1137540000000001</v>
      </c>
      <c r="BU42">
        <v>94.441363374789603</v>
      </c>
      <c r="BV42">
        <v>1111.2391205219994</v>
      </c>
    </row>
    <row r="43" spans="1:74" x14ac:dyDescent="0.2">
      <c r="A43" s="23" t="s">
        <v>73</v>
      </c>
      <c r="B43" s="5">
        <f>Gfs_Q1</f>
        <v>88</v>
      </c>
      <c r="C43" s="482" t="s">
        <v>70</v>
      </c>
      <c r="D43" s="21" t="s">
        <v>105</v>
      </c>
      <c r="G43">
        <v>34</v>
      </c>
      <c r="H43" s="610">
        <f t="shared" si="59"/>
        <v>12</v>
      </c>
      <c r="I43" s="4" t="str">
        <f t="shared" si="60"/>
        <v>BUCK-BST</v>
      </c>
      <c r="J43">
        <f t="shared" si="43"/>
        <v>3</v>
      </c>
      <c r="K43" s="386">
        <f t="shared" si="96"/>
        <v>6.8</v>
      </c>
      <c r="L43" s="4">
        <f t="shared" si="61"/>
        <v>8.0592592592592585</v>
      </c>
      <c r="M43" s="4">
        <f t="shared" si="56"/>
        <v>7.5359307359307355</v>
      </c>
      <c r="N43" s="386">
        <f t="shared" si="62"/>
        <v>0.96250000000000002</v>
      </c>
      <c r="O43" s="386">
        <f t="shared" si="63"/>
        <v>9.765625E-2</v>
      </c>
      <c r="P43" s="4">
        <f t="shared" si="64"/>
        <v>4.6692722222222223</v>
      </c>
      <c r="Q43" s="4">
        <f t="shared" si="65"/>
        <v>7.6555270217349216</v>
      </c>
      <c r="R43" s="386">
        <f t="shared" si="7"/>
        <v>0.13566687599092372</v>
      </c>
      <c r="S43" s="386">
        <f t="shared" si="45"/>
        <v>0.48916270652203808</v>
      </c>
      <c r="T43" s="386">
        <f t="shared" si="46"/>
        <v>0.62482958251296183</v>
      </c>
      <c r="U43" s="4">
        <f t="shared" si="66"/>
        <v>2.2805606587321265</v>
      </c>
      <c r="V43" s="386">
        <f t="shared" si="9"/>
        <v>1.0401913836313424E-2</v>
      </c>
      <c r="W43" s="386">
        <f t="shared" si="47"/>
        <v>1.0401913836313424E-2</v>
      </c>
      <c r="X43" s="4">
        <f t="shared" si="67"/>
        <v>1.347902787209821</v>
      </c>
      <c r="Y43" s="386">
        <f t="shared" si="11"/>
        <v>3.6336838475360079E-3</v>
      </c>
      <c r="Z43" s="603">
        <f t="shared" si="48"/>
        <v>3.6336838475360079E-3</v>
      </c>
      <c r="AA43" s="386">
        <f t="shared" si="68"/>
        <v>7.5106143527839526</v>
      </c>
      <c r="AB43" s="386">
        <f t="shared" si="69"/>
        <v>0.10717772311686419</v>
      </c>
      <c r="AC43" s="386">
        <f t="shared" si="70"/>
        <v>0.14144393391205559</v>
      </c>
      <c r="AD43" s="386">
        <f t="shared" si="71"/>
        <v>0</v>
      </c>
      <c r="AE43" s="386">
        <f t="shared" si="72"/>
        <v>0.25406773735025046</v>
      </c>
      <c r="AF43" s="386">
        <f t="shared" si="73"/>
        <v>1.4824864330810106</v>
      </c>
      <c r="AG43" s="386">
        <f t="shared" si="74"/>
        <v>4.1757554461115901E-3</v>
      </c>
      <c r="AH43" s="386">
        <f t="shared" si="75"/>
        <v>0</v>
      </c>
      <c r="AI43" s="386">
        <f t="shared" si="76"/>
        <v>4.1792457477499512E-3</v>
      </c>
      <c r="AJ43" s="386">
        <f t="shared" si="77"/>
        <v>2.3923521942921631</v>
      </c>
      <c r="AK43" s="386">
        <f t="shared" si="78"/>
        <v>2.8616745107672638E-3</v>
      </c>
      <c r="AL43" s="386">
        <f t="shared" si="79"/>
        <v>1.1262092029730675</v>
      </c>
      <c r="AM43" s="386">
        <f t="shared" si="80"/>
        <v>0</v>
      </c>
      <c r="AN43" s="386">
        <f t="shared" si="81"/>
        <v>1.1297174542124524</v>
      </c>
      <c r="AO43" s="386">
        <f t="shared" si="49"/>
        <v>7.2721210770296612</v>
      </c>
      <c r="AP43" s="386">
        <f t="shared" si="82"/>
        <v>2.6441872479489519E-2</v>
      </c>
      <c r="AQ43" s="386">
        <f t="shared" si="83"/>
        <v>0</v>
      </c>
      <c r="AR43" s="386">
        <f t="shared" si="84"/>
        <v>2.6582450432394666E-2</v>
      </c>
      <c r="AS43" s="386">
        <f t="shared" si="85"/>
        <v>0</v>
      </c>
      <c r="AT43" s="386">
        <f t="shared" si="86"/>
        <v>8.6038888888888887E-2</v>
      </c>
      <c r="AU43" s="386">
        <f t="shared" si="87"/>
        <v>0.23289899750000004</v>
      </c>
      <c r="AV43" s="386">
        <f t="shared" si="88"/>
        <v>2.3763345137411358E-2</v>
      </c>
      <c r="AW43" s="386" t="e">
        <f t="shared" si="33"/>
        <v>#VALUE!</v>
      </c>
      <c r="AX43" s="386">
        <f t="shared" si="89"/>
        <v>3.8400000000000004E-2</v>
      </c>
      <c r="AY43" s="386">
        <f t="shared" si="90"/>
        <v>0.62080000000000002</v>
      </c>
      <c r="AZ43" s="386">
        <f t="shared" si="36"/>
        <v>0.47314285714285709</v>
      </c>
      <c r="BA43" s="386">
        <f t="shared" si="57"/>
        <v>0.65920000000000001</v>
      </c>
      <c r="BB43" s="386" t="e">
        <f t="shared" si="58"/>
        <v>#VALUE!</v>
      </c>
      <c r="BC43">
        <f t="shared" si="91"/>
        <v>87.04</v>
      </c>
      <c r="BD43" s="604" t="e">
        <f t="shared" si="51"/>
        <v>#VALUE!</v>
      </c>
      <c r="BE43" s="614">
        <f t="shared" si="92"/>
        <v>64.171539628122616</v>
      </c>
      <c r="BF43" s="614">
        <f t="shared" si="93"/>
        <v>5.1719559803697344</v>
      </c>
      <c r="BG43" s="9"/>
      <c r="BH43" s="4" t="e">
        <f t="shared" si="52"/>
        <v>#VALUE!</v>
      </c>
      <c r="BI43" s="386">
        <f t="shared" si="53"/>
        <v>0.62482958251296183</v>
      </c>
      <c r="BJ43" s="386">
        <f t="shared" si="54"/>
        <v>1.6474458852428475</v>
      </c>
      <c r="BK43" s="386">
        <f t="shared" si="94"/>
        <v>1.2834307925624524</v>
      </c>
      <c r="BL43" s="386">
        <f t="shared" si="95"/>
        <v>0.10343911960739469</v>
      </c>
      <c r="BM43" s="386">
        <f t="shared" si="55"/>
        <v>2.3763345137411358E-2</v>
      </c>
      <c r="BR43">
        <v>9.998246</v>
      </c>
      <c r="BS43">
        <v>4.2430000000000003</v>
      </c>
      <c r="BT43">
        <v>5.1120590000000004</v>
      </c>
      <c r="BU43">
        <v>94.267178615859891</v>
      </c>
      <c r="BV43">
        <v>1319.0970775599953</v>
      </c>
    </row>
    <row r="44" spans="1:74" x14ac:dyDescent="0.2">
      <c r="A44" s="23" t="s">
        <v>96</v>
      </c>
      <c r="B44" s="5">
        <f>Vth_Q1</f>
        <v>2.7</v>
      </c>
      <c r="C44" s="482" t="s">
        <v>0</v>
      </c>
      <c r="D44" s="21" t="s">
        <v>106</v>
      </c>
      <c r="G44">
        <v>35</v>
      </c>
      <c r="H44" s="610">
        <f t="shared" si="59"/>
        <v>12</v>
      </c>
      <c r="I44" s="4" t="str">
        <f t="shared" si="60"/>
        <v>BUCK-BST</v>
      </c>
      <c r="J44">
        <f t="shared" si="43"/>
        <v>3</v>
      </c>
      <c r="K44" s="386">
        <f t="shared" si="96"/>
        <v>7</v>
      </c>
      <c r="L44" s="4">
        <f t="shared" si="61"/>
        <v>8.2962962962962958</v>
      </c>
      <c r="M44" s="4">
        <f t="shared" si="56"/>
        <v>7.7575757575757578</v>
      </c>
      <c r="N44" s="386">
        <f t="shared" si="62"/>
        <v>0.96250000000000002</v>
      </c>
      <c r="O44" s="386">
        <f t="shared" si="63"/>
        <v>9.765625E-2</v>
      </c>
      <c r="P44" s="4">
        <f t="shared" si="64"/>
        <v>4.6687361111111114</v>
      </c>
      <c r="Q44" s="4">
        <f t="shared" si="65"/>
        <v>7.8737796752339024</v>
      </c>
      <c r="R44" s="386">
        <f t="shared" si="7"/>
        <v>0.14360277380148578</v>
      </c>
      <c r="S44" s="386">
        <f t="shared" si="45"/>
        <v>0.48903331407819017</v>
      </c>
      <c r="T44" s="386">
        <f t="shared" si="46"/>
        <v>0.63263608787967596</v>
      </c>
      <c r="U44" s="4">
        <f t="shared" si="66"/>
        <v>2.3451253840799668</v>
      </c>
      <c r="V44" s="386">
        <f t="shared" si="9"/>
        <v>1.0999226134112425E-2</v>
      </c>
      <c r="W44" s="386">
        <f t="shared" si="47"/>
        <v>1.0999226134112425E-2</v>
      </c>
      <c r="X44" s="4">
        <f t="shared" si="67"/>
        <v>1.3477480252626635</v>
      </c>
      <c r="Y44" s="386">
        <f t="shared" si="11"/>
        <v>3.6328494791988178E-3</v>
      </c>
      <c r="Z44" s="603">
        <f t="shared" si="48"/>
        <v>3.6328494791988178E-3</v>
      </c>
      <c r="AA44" s="386">
        <f t="shared" si="68"/>
        <v>7.7247356676521148</v>
      </c>
      <c r="AB44" s="386">
        <f t="shared" si="69"/>
        <v>0.11337592815668386</v>
      </c>
      <c r="AC44" s="386">
        <f t="shared" si="70"/>
        <v>0.14560404961535137</v>
      </c>
      <c r="AD44" s="386">
        <f t="shared" si="71"/>
        <v>0</v>
      </c>
      <c r="AE44" s="386">
        <f t="shared" si="72"/>
        <v>0.26498864447571846</v>
      </c>
      <c r="AF44" s="386">
        <f t="shared" si="73"/>
        <v>1.524750877694367</v>
      </c>
      <c r="AG44" s="386">
        <f t="shared" si="74"/>
        <v>4.4172439541565111E-3</v>
      </c>
      <c r="AH44" s="386">
        <f t="shared" si="75"/>
        <v>0</v>
      </c>
      <c r="AI44" s="386">
        <f t="shared" si="76"/>
        <v>4.4211498136134319E-3</v>
      </c>
      <c r="AJ44" s="386">
        <f t="shared" si="77"/>
        <v>2.4605561485105945</v>
      </c>
      <c r="AK44" s="386">
        <f t="shared" si="78"/>
        <v>3.0271682799866452E-3</v>
      </c>
      <c r="AL44" s="386">
        <f t="shared" si="79"/>
        <v>1.1262092029730675</v>
      </c>
      <c r="AM44" s="386">
        <f t="shared" si="80"/>
        <v>0</v>
      </c>
      <c r="AN44" s="386">
        <f t="shared" si="81"/>
        <v>1.1299204631300332</v>
      </c>
      <c r="AO44" s="386">
        <f t="shared" si="49"/>
        <v>7.4794431486677677</v>
      </c>
      <c r="AP44" s="386">
        <f t="shared" si="82"/>
        <v>2.7971034907076607E-2</v>
      </c>
      <c r="AQ44" s="386">
        <f t="shared" si="83"/>
        <v>0</v>
      </c>
      <c r="AR44" s="386">
        <f t="shared" si="84"/>
        <v>2.8128390948094415E-2</v>
      </c>
      <c r="AS44" s="386">
        <f t="shared" si="85"/>
        <v>0</v>
      </c>
      <c r="AT44" s="386">
        <f t="shared" si="86"/>
        <v>8.8569444444444451E-2</v>
      </c>
      <c r="AU44" s="386">
        <f t="shared" si="87"/>
        <v>0.23701498437500002</v>
      </c>
      <c r="AV44" s="386">
        <f t="shared" si="88"/>
        <v>2.51376053970091E-2</v>
      </c>
      <c r="AW44" s="386" t="e">
        <f t="shared" si="33"/>
        <v>#VALUE!</v>
      </c>
      <c r="AX44" s="386">
        <f t="shared" si="89"/>
        <v>3.8400000000000004E-2</v>
      </c>
      <c r="AY44" s="386">
        <f t="shared" si="90"/>
        <v>0.62080000000000002</v>
      </c>
      <c r="AZ44" s="386">
        <f t="shared" si="36"/>
        <v>0.47314285714285709</v>
      </c>
      <c r="BA44" s="386">
        <f t="shared" si="57"/>
        <v>0.65920000000000001</v>
      </c>
      <c r="BB44" s="386" t="e">
        <f t="shared" si="58"/>
        <v>#VALUE!</v>
      </c>
      <c r="BC44">
        <f t="shared" si="91"/>
        <v>89.600000000000009</v>
      </c>
      <c r="BD44" s="604" t="e">
        <f t="shared" si="51"/>
        <v>#VALUE!</v>
      </c>
      <c r="BE44" s="614">
        <f t="shared" si="92"/>
        <v>64.317517640876659</v>
      </c>
      <c r="BF44" s="614">
        <f t="shared" si="93"/>
        <v>5.3171667895922212</v>
      </c>
      <c r="BG44" s="9"/>
      <c r="BH44" s="4" t="e">
        <f t="shared" si="52"/>
        <v>#VALUE!</v>
      </c>
      <c r="BI44" s="386">
        <f t="shared" si="53"/>
        <v>0.63263608787967596</v>
      </c>
      <c r="BJ44" s="386">
        <f t="shared" si="54"/>
        <v>1.6644736327424596</v>
      </c>
      <c r="BK44" s="386">
        <f t="shared" si="94"/>
        <v>1.2863503528175333</v>
      </c>
      <c r="BL44" s="386">
        <f t="shared" si="95"/>
        <v>0.10634333579184442</v>
      </c>
      <c r="BM44" s="386">
        <f t="shared" si="55"/>
        <v>2.51376053970091E-2</v>
      </c>
      <c r="BR44">
        <v>9.9981469999999995</v>
      </c>
      <c r="BS44">
        <v>4.8490000000000002</v>
      </c>
      <c r="BT44">
        <v>5.1107740000000002</v>
      </c>
      <c r="BU44">
        <v>93.953815994681278</v>
      </c>
      <c r="BV44">
        <v>1594.7983209009985</v>
      </c>
    </row>
    <row r="45" spans="1:74" x14ac:dyDescent="0.2">
      <c r="A45" s="28" t="s">
        <v>147</v>
      </c>
      <c r="B45" s="489">
        <f>Vsp_Q1</f>
        <v>2.9272727272727272</v>
      </c>
      <c r="C45" s="487" t="s">
        <v>0</v>
      </c>
      <c r="G45">
        <v>36</v>
      </c>
      <c r="H45" s="610">
        <f t="shared" si="59"/>
        <v>12</v>
      </c>
      <c r="I45" s="4" t="str">
        <f t="shared" si="60"/>
        <v>BUCK-BST</v>
      </c>
      <c r="J45">
        <f t="shared" si="43"/>
        <v>3</v>
      </c>
      <c r="K45" s="386">
        <f t="shared" si="96"/>
        <v>7.2</v>
      </c>
      <c r="L45" s="4">
        <f t="shared" si="61"/>
        <v>8.5333333333333332</v>
      </c>
      <c r="M45" s="4">
        <f t="shared" si="56"/>
        <v>7.9792207792207792</v>
      </c>
      <c r="N45" s="386">
        <f t="shared" si="62"/>
        <v>0.96250000000000002</v>
      </c>
      <c r="O45" s="386">
        <f t="shared" si="63"/>
        <v>9.765625E-2</v>
      </c>
      <c r="P45" s="4">
        <f t="shared" si="64"/>
        <v>4.6682000000000006</v>
      </c>
      <c r="Q45" s="4">
        <f t="shared" si="65"/>
        <v>8.0922167449273132</v>
      </c>
      <c r="R45" s="386">
        <f t="shared" si="7"/>
        <v>0.15177913880553515</v>
      </c>
      <c r="S45" s="386">
        <f t="shared" si="45"/>
        <v>0.48890394100790346</v>
      </c>
      <c r="T45" s="386">
        <f t="shared" si="46"/>
        <v>0.64068307981343864</v>
      </c>
      <c r="U45" s="4">
        <f t="shared" si="66"/>
        <v>2.4097566743963963</v>
      </c>
      <c r="V45" s="386">
        <f t="shared" si="9"/>
        <v>1.161385445959596E-2</v>
      </c>
      <c r="W45" s="386">
        <f t="shared" si="47"/>
        <v>1.161385445959596E-2</v>
      </c>
      <c r="X45" s="4">
        <f t="shared" si="67"/>
        <v>1.3475932633155057</v>
      </c>
      <c r="Y45" s="386">
        <f t="shared" si="11"/>
        <v>3.6320152066666679E-3</v>
      </c>
      <c r="Z45" s="603">
        <f t="shared" si="48"/>
        <v>3.6320152066666679E-3</v>
      </c>
      <c r="AA45" s="386">
        <f t="shared" si="68"/>
        <v>7.9390379078717048</v>
      </c>
      <c r="AB45" s="386">
        <f t="shared" si="69"/>
        <v>0.11975381351498547</v>
      </c>
      <c r="AC45" s="386">
        <f t="shared" si="70"/>
        <v>0.14976416531864711</v>
      </c>
      <c r="AD45" s="386">
        <f t="shared" si="71"/>
        <v>0</v>
      </c>
      <c r="AE45" s="386">
        <f t="shared" si="72"/>
        <v>0.27613153981864208</v>
      </c>
      <c r="AF45" s="386">
        <f t="shared" si="73"/>
        <v>1.5670510343502135</v>
      </c>
      <c r="AG45" s="386">
        <f t="shared" si="74"/>
        <v>4.665732994090341E-3</v>
      </c>
      <c r="AH45" s="386">
        <f t="shared" si="75"/>
        <v>0</v>
      </c>
      <c r="AI45" s="386">
        <f t="shared" si="76"/>
        <v>4.6700908735051233E-3</v>
      </c>
      <c r="AJ45" s="386">
        <f t="shared" si="77"/>
        <v>2.5288177327897854</v>
      </c>
      <c r="AK45" s="386">
        <f t="shared" si="78"/>
        <v>3.1974595628360353E-3</v>
      </c>
      <c r="AL45" s="386">
        <f t="shared" si="79"/>
        <v>1.1262092029730675</v>
      </c>
      <c r="AM45" s="386">
        <f t="shared" si="80"/>
        <v>0</v>
      </c>
      <c r="AN45" s="386">
        <f t="shared" si="81"/>
        <v>1.1301293711288951</v>
      </c>
      <c r="AO45" s="386">
        <f t="shared" si="49"/>
        <v>7.6869404005241213</v>
      </c>
      <c r="AP45" s="386">
        <f t="shared" si="82"/>
        <v>2.9544526360604971E-2</v>
      </c>
      <c r="AQ45" s="386">
        <f t="shared" si="83"/>
        <v>0</v>
      </c>
      <c r="AR45" s="386">
        <f t="shared" si="84"/>
        <v>2.9720139851662632E-2</v>
      </c>
      <c r="AS45" s="386">
        <f t="shared" si="85"/>
        <v>0</v>
      </c>
      <c r="AT45" s="386">
        <f t="shared" si="86"/>
        <v>9.11E-2</v>
      </c>
      <c r="AU45" s="386">
        <f t="shared" si="87"/>
        <v>0.24113071000000003</v>
      </c>
      <c r="AV45" s="386">
        <f t="shared" si="88"/>
        <v>2.6551704209790434E-2</v>
      </c>
      <c r="AW45" s="386" t="e">
        <f t="shared" si="33"/>
        <v>#VALUE!</v>
      </c>
      <c r="AX45" s="386">
        <f t="shared" si="89"/>
        <v>3.8400000000000004E-2</v>
      </c>
      <c r="AY45" s="386">
        <f t="shared" si="90"/>
        <v>0.62080000000000002</v>
      </c>
      <c r="AZ45" s="386">
        <f t="shared" si="36"/>
        <v>0.47314285714285709</v>
      </c>
      <c r="BA45" s="386">
        <f t="shared" si="57"/>
        <v>0.65920000000000001</v>
      </c>
      <c r="BB45" s="386" t="e">
        <f t="shared" si="58"/>
        <v>#VALUE!</v>
      </c>
      <c r="BC45">
        <f t="shared" si="91"/>
        <v>92.160000000000011</v>
      </c>
      <c r="BD45" s="604" t="e">
        <f t="shared" si="51"/>
        <v>#VALUE!</v>
      </c>
      <c r="BE45" s="614">
        <f t="shared" si="92"/>
        <v>64.463781986444758</v>
      </c>
      <c r="BF45" s="614">
        <f t="shared" si="93"/>
        <v>5.4646637075831324</v>
      </c>
      <c r="BG45" s="9"/>
      <c r="BH45" s="4" t="e">
        <f t="shared" si="52"/>
        <v>#VALUE!</v>
      </c>
      <c r="BI45" s="386">
        <f t="shared" si="53"/>
        <v>0.64068307981343864</v>
      </c>
      <c r="BJ45" s="386">
        <f t="shared" si="54"/>
        <v>1.681781851672705</v>
      </c>
      <c r="BK45" s="386">
        <f t="shared" si="94"/>
        <v>1.2892756397288951</v>
      </c>
      <c r="BL45" s="386">
        <f t="shared" si="95"/>
        <v>0.10929327415166265</v>
      </c>
      <c r="BM45" s="386">
        <f t="shared" si="55"/>
        <v>2.6551704209790434E-2</v>
      </c>
      <c r="BR45">
        <v>9.9979859999999992</v>
      </c>
      <c r="BS45">
        <v>5.4960000000000004</v>
      </c>
      <c r="BT45">
        <v>5.1097890000000001</v>
      </c>
      <c r="BU45">
        <v>93.599771362833366</v>
      </c>
      <c r="BV45">
        <v>1920.3056923499939</v>
      </c>
    </row>
    <row r="46" spans="1:74" x14ac:dyDescent="0.2">
      <c r="A46" s="77" t="s">
        <v>239</v>
      </c>
      <c r="B46" s="5">
        <f>Vsd_Q1</f>
        <v>0.8</v>
      </c>
      <c r="C46" s="487" t="s">
        <v>0</v>
      </c>
      <c r="G46">
        <v>37</v>
      </c>
      <c r="H46" s="610">
        <f t="shared" si="59"/>
        <v>12</v>
      </c>
      <c r="I46" s="4" t="str">
        <f t="shared" si="60"/>
        <v>BUCK-BST</v>
      </c>
      <c r="J46">
        <f t="shared" si="43"/>
        <v>3</v>
      </c>
      <c r="K46" s="386">
        <f t="shared" si="96"/>
        <v>7.4</v>
      </c>
      <c r="L46" s="4">
        <f t="shared" si="61"/>
        <v>8.7703703703703706</v>
      </c>
      <c r="M46" s="4">
        <f t="shared" si="56"/>
        <v>8.2008658008658006</v>
      </c>
      <c r="N46" s="386">
        <f t="shared" si="62"/>
        <v>0.96250000000000002</v>
      </c>
      <c r="O46" s="386">
        <f t="shared" si="63"/>
        <v>9.765625E-2</v>
      </c>
      <c r="P46" s="4">
        <f t="shared" si="64"/>
        <v>4.6676638888888888</v>
      </c>
      <c r="Q46" s="4">
        <f t="shared" si="65"/>
        <v>8.3108236895496734</v>
      </c>
      <c r="R46" s="386">
        <f t="shared" si="7"/>
        <v>0.16019688501071191</v>
      </c>
      <c r="S46" s="386">
        <f t="shared" si="45"/>
        <v>0.48877458731050227</v>
      </c>
      <c r="T46" s="386">
        <f t="shared" si="46"/>
        <v>0.64897147232121422</v>
      </c>
      <c r="U46" s="4">
        <f t="shared" si="66"/>
        <v>2.4744493137629657</v>
      </c>
      <c r="V46" s="386">
        <f t="shared" si="9"/>
        <v>1.2245798812764025E-2</v>
      </c>
      <c r="W46" s="386">
        <f t="shared" si="47"/>
        <v>1.2245798812764025E-2</v>
      </c>
      <c r="X46" s="4">
        <f t="shared" si="67"/>
        <v>1.3474385013683479</v>
      </c>
      <c r="Y46" s="386">
        <f t="shared" si="11"/>
        <v>3.631181029939558E-3</v>
      </c>
      <c r="Z46" s="603">
        <f t="shared" si="48"/>
        <v>3.631181029939558E-3</v>
      </c>
      <c r="AA46" s="386">
        <f t="shared" si="68"/>
        <v>8.1535068074311319</v>
      </c>
      <c r="AB46" s="386">
        <f t="shared" si="69"/>
        <v>0.12631137919176905</v>
      </c>
      <c r="AC46" s="386">
        <f t="shared" si="70"/>
        <v>0.15392428102194289</v>
      </c>
      <c r="AD46" s="386">
        <f t="shared" si="71"/>
        <v>0</v>
      </c>
      <c r="AE46" s="386">
        <f t="shared" si="72"/>
        <v>0.28749852731383452</v>
      </c>
      <c r="AF46" s="386">
        <f t="shared" si="73"/>
        <v>1.6093840871445979</v>
      </c>
      <c r="AG46" s="386">
        <f t="shared" si="74"/>
        <v>4.9212225659130762E-3</v>
      </c>
      <c r="AH46" s="386">
        <f t="shared" si="75"/>
        <v>0</v>
      </c>
      <c r="AI46" s="386">
        <f t="shared" si="76"/>
        <v>4.9260710242902813E-3</v>
      </c>
      <c r="AJ46" s="386">
        <f t="shared" si="77"/>
        <v>2.5971324029842728</v>
      </c>
      <c r="AK46" s="386">
        <f t="shared" si="78"/>
        <v>3.372548359315432E-3</v>
      </c>
      <c r="AL46" s="386">
        <f t="shared" si="79"/>
        <v>1.1262092029730675</v>
      </c>
      <c r="AM46" s="386">
        <f t="shared" si="80"/>
        <v>0</v>
      </c>
      <c r="AN46" s="386">
        <f t="shared" si="81"/>
        <v>1.1303441794139317</v>
      </c>
      <c r="AO46" s="386">
        <f t="shared" si="49"/>
        <v>7.8945990195923939</v>
      </c>
      <c r="AP46" s="386">
        <f t="shared" si="82"/>
        <v>3.1162346840074594E-2</v>
      </c>
      <c r="AQ46" s="386">
        <f t="shared" si="83"/>
        <v>0</v>
      </c>
      <c r="AR46" s="386">
        <f t="shared" si="84"/>
        <v>3.1357783263714543E-2</v>
      </c>
      <c r="AS46" s="386">
        <f t="shared" si="85"/>
        <v>0</v>
      </c>
      <c r="AT46" s="386">
        <f t="shared" si="86"/>
        <v>9.363055555555555E-2</v>
      </c>
      <c r="AU46" s="386">
        <f t="shared" si="87"/>
        <v>0.24524617437500001</v>
      </c>
      <c r="AV46" s="386">
        <f t="shared" si="88"/>
        <v>2.800564157575534E-2</v>
      </c>
      <c r="AW46" s="386" t="e">
        <f t="shared" si="33"/>
        <v>#VALUE!</v>
      </c>
      <c r="AX46" s="386">
        <f t="shared" si="89"/>
        <v>3.8400000000000004E-2</v>
      </c>
      <c r="AY46" s="386">
        <f t="shared" si="90"/>
        <v>0.62080000000000002</v>
      </c>
      <c r="AZ46" s="386">
        <f t="shared" si="36"/>
        <v>0.47314285714285709</v>
      </c>
      <c r="BA46" s="386">
        <f t="shared" si="57"/>
        <v>0.65920000000000001</v>
      </c>
      <c r="BB46" s="386" t="e">
        <f t="shared" si="58"/>
        <v>#VALUE!</v>
      </c>
      <c r="BC46">
        <f t="shared" si="91"/>
        <v>94.720000000000013</v>
      </c>
      <c r="BD46" s="604" t="e">
        <f t="shared" si="51"/>
        <v>#VALUE!</v>
      </c>
      <c r="BE46" s="614">
        <f t="shared" si="92"/>
        <v>64.610332725071586</v>
      </c>
      <c r="BF46" s="614">
        <f t="shared" si="93"/>
        <v>5.6144510403732282</v>
      </c>
      <c r="BG46" s="9"/>
      <c r="BH46" s="4" t="e">
        <f t="shared" si="52"/>
        <v>#VALUE!</v>
      </c>
      <c r="BI46" s="386">
        <f t="shared" si="53"/>
        <v>0.64897147232121422</v>
      </c>
      <c r="BJ46" s="386">
        <f t="shared" si="54"/>
        <v>1.6993727353907713</v>
      </c>
      <c r="BK46" s="386">
        <f t="shared" si="94"/>
        <v>1.2922066545014317</v>
      </c>
      <c r="BL46" s="386">
        <f t="shared" si="95"/>
        <v>0.11228902080746456</v>
      </c>
      <c r="BM46" s="386">
        <f t="shared" si="55"/>
        <v>2.800564157575534E-2</v>
      </c>
      <c r="BR46">
        <v>9.9978999999999996</v>
      </c>
      <c r="BS46">
        <v>6.1950000000000003</v>
      </c>
      <c r="BT46">
        <v>5.109191</v>
      </c>
      <c r="BU46">
        <v>93.156651672159526</v>
      </c>
      <c r="BV46">
        <v>2325.1351758999972</v>
      </c>
    </row>
    <row r="47" spans="1:74" ht="15.75" x14ac:dyDescent="0.3">
      <c r="A47" s="488" t="s">
        <v>680</v>
      </c>
      <c r="B47" s="5">
        <f>ThetaJA_Q1</f>
        <v>50</v>
      </c>
      <c r="C47" s="483" t="s">
        <v>241</v>
      </c>
      <c r="D47" s="21" t="s">
        <v>107</v>
      </c>
      <c r="G47">
        <v>38</v>
      </c>
      <c r="H47" s="610">
        <f t="shared" si="59"/>
        <v>12</v>
      </c>
      <c r="I47" s="4" t="str">
        <f t="shared" si="60"/>
        <v>BUCK-BST</v>
      </c>
      <c r="J47">
        <f t="shared" si="43"/>
        <v>3</v>
      </c>
      <c r="K47" s="386">
        <f t="shared" si="96"/>
        <v>7.6</v>
      </c>
      <c r="L47" s="4">
        <f t="shared" si="61"/>
        <v>9.0074074074074062</v>
      </c>
      <c r="M47" s="4">
        <f t="shared" si="56"/>
        <v>8.4225108225108229</v>
      </c>
      <c r="N47" s="386">
        <f t="shared" si="62"/>
        <v>0.96250000000000002</v>
      </c>
      <c r="O47" s="386">
        <f t="shared" si="63"/>
        <v>9.765625E-2</v>
      </c>
      <c r="P47" s="4">
        <f t="shared" si="64"/>
        <v>4.667127777777778</v>
      </c>
      <c r="Q47" s="4">
        <f t="shared" si="65"/>
        <v>8.5295874478089893</v>
      </c>
      <c r="R47" s="386">
        <f t="shared" si="7"/>
        <v>0.16885695524675229</v>
      </c>
      <c r="S47" s="386">
        <f t="shared" si="45"/>
        <v>0.48864525298531031</v>
      </c>
      <c r="T47" s="386">
        <f t="shared" si="46"/>
        <v>0.65750220823206262</v>
      </c>
      <c r="U47" s="4">
        <f t="shared" si="66"/>
        <v>2.5391986131077471</v>
      </c>
      <c r="V47" s="386">
        <f t="shared" si="9"/>
        <v>1.2895059193616613E-2</v>
      </c>
      <c r="W47" s="386">
        <f t="shared" si="47"/>
        <v>1.2895059193616613E-2</v>
      </c>
      <c r="X47" s="4">
        <f t="shared" si="67"/>
        <v>1.3472837394211901</v>
      </c>
      <c r="Y47" s="386">
        <f t="shared" si="11"/>
        <v>3.6303469490174905E-3</v>
      </c>
      <c r="Z47" s="603">
        <f t="shared" si="48"/>
        <v>3.6303469490174905E-3</v>
      </c>
      <c r="AA47" s="386">
        <f t="shared" si="68"/>
        <v>8.368129552277642</v>
      </c>
      <c r="AB47" s="386">
        <f t="shared" si="69"/>
        <v>0.13304862518703456</v>
      </c>
      <c r="AC47" s="386">
        <f t="shared" si="70"/>
        <v>0.15808439672523858</v>
      </c>
      <c r="AD47" s="386">
        <f t="shared" si="71"/>
        <v>0</v>
      </c>
      <c r="AE47" s="386">
        <f t="shared" si="72"/>
        <v>0.29909177171865747</v>
      </c>
      <c r="AF47" s="386">
        <f t="shared" si="73"/>
        <v>1.6517475067692016</v>
      </c>
      <c r="AG47" s="386">
        <f t="shared" si="74"/>
        <v>5.1837126696247194E-3</v>
      </c>
      <c r="AH47" s="386">
        <f t="shared" si="75"/>
        <v>0</v>
      </c>
      <c r="AI47" s="386">
        <f t="shared" si="76"/>
        <v>5.1890924224515427E-3</v>
      </c>
      <c r="AJ47" s="386">
        <f t="shared" si="77"/>
        <v>2.6654960774403094</v>
      </c>
      <c r="AK47" s="386">
        <f t="shared" si="78"/>
        <v>3.5524346694248378E-3</v>
      </c>
      <c r="AL47" s="386">
        <f t="shared" si="79"/>
        <v>1.1262092029730675</v>
      </c>
      <c r="AM47" s="386">
        <f t="shared" si="80"/>
        <v>0</v>
      </c>
      <c r="AN47" s="386">
        <f t="shared" si="81"/>
        <v>1.1305648892241953</v>
      </c>
      <c r="AO47" s="386">
        <f t="shared" si="49"/>
        <v>8.1024065987193588</v>
      </c>
      <c r="AP47" s="386">
        <f t="shared" si="82"/>
        <v>3.282449634548551E-2</v>
      </c>
      <c r="AQ47" s="386">
        <f t="shared" si="83"/>
        <v>0</v>
      </c>
      <c r="AR47" s="386">
        <f t="shared" si="84"/>
        <v>3.3041409873010776E-2</v>
      </c>
      <c r="AS47" s="386">
        <f t="shared" si="85"/>
        <v>0</v>
      </c>
      <c r="AT47" s="386">
        <f t="shared" si="86"/>
        <v>9.61611111111111E-2</v>
      </c>
      <c r="AU47" s="386">
        <f t="shared" si="87"/>
        <v>0.24936137749999998</v>
      </c>
      <c r="AV47" s="386">
        <f t="shared" si="88"/>
        <v>2.9499417494903851E-2</v>
      </c>
      <c r="AW47" s="386" t="e">
        <f t="shared" si="33"/>
        <v>#VALUE!</v>
      </c>
      <c r="AX47" s="386">
        <f t="shared" si="89"/>
        <v>3.8400000000000004E-2</v>
      </c>
      <c r="AY47" s="386">
        <f t="shared" si="90"/>
        <v>0.62080000000000002</v>
      </c>
      <c r="AZ47" s="386">
        <f t="shared" si="36"/>
        <v>0.47314285714285709</v>
      </c>
      <c r="BA47" s="386">
        <f t="shared" si="57"/>
        <v>0.65920000000000001</v>
      </c>
      <c r="BB47" s="386" t="e">
        <f t="shared" si="58"/>
        <v>#VALUE!</v>
      </c>
      <c r="BC47">
        <f t="shared" si="91"/>
        <v>97.28</v>
      </c>
      <c r="BD47" s="604" t="e">
        <f t="shared" si="51"/>
        <v>#VALUE!</v>
      </c>
      <c r="BE47" s="614">
        <f t="shared" si="92"/>
        <v>64.757169918709764</v>
      </c>
      <c r="BF47" s="614">
        <f t="shared" si="93"/>
        <v>5.7665332224005379</v>
      </c>
      <c r="BG47" s="9"/>
      <c r="BH47" s="4" t="e">
        <f t="shared" si="52"/>
        <v>#VALUE!</v>
      </c>
      <c r="BI47" s="386">
        <f t="shared" si="53"/>
        <v>0.65750220823206262</v>
      </c>
      <c r="BJ47" s="386">
        <f t="shared" si="54"/>
        <v>1.7172485407383151</v>
      </c>
      <c r="BK47" s="386">
        <f t="shared" si="94"/>
        <v>1.2951433983741953</v>
      </c>
      <c r="BL47" s="386">
        <f t="shared" si="95"/>
        <v>0.11533066444801077</v>
      </c>
      <c r="BM47" s="386">
        <f t="shared" si="55"/>
        <v>2.9499417494903851E-2</v>
      </c>
      <c r="BR47">
        <v>9.9976269999999996</v>
      </c>
      <c r="BS47">
        <v>6.9470000000000001</v>
      </c>
      <c r="BT47">
        <v>5.1086669999999996</v>
      </c>
      <c r="BU47">
        <v>92.656807634751772</v>
      </c>
      <c r="BV47">
        <v>2812.6290012010018</v>
      </c>
    </row>
    <row r="48" spans="1:74" x14ac:dyDescent="0.2">
      <c r="A48" s="24" t="s">
        <v>767</v>
      </c>
      <c r="B48" s="15" t="s">
        <v>115</v>
      </c>
      <c r="C48" s="24" t="s">
        <v>80</v>
      </c>
      <c r="D48" s="17" t="s">
        <v>111</v>
      </c>
      <c r="G48">
        <v>39</v>
      </c>
      <c r="H48" s="610">
        <f t="shared" si="59"/>
        <v>12</v>
      </c>
      <c r="I48" s="4" t="str">
        <f t="shared" si="60"/>
        <v>BUCK-BST</v>
      </c>
      <c r="J48">
        <f t="shared" si="43"/>
        <v>3</v>
      </c>
      <c r="K48" s="386">
        <f t="shared" si="96"/>
        <v>7.8</v>
      </c>
      <c r="L48" s="4">
        <f t="shared" si="61"/>
        <v>9.2444444444444436</v>
      </c>
      <c r="M48" s="4">
        <f t="shared" si="56"/>
        <v>8.6441558441558435</v>
      </c>
      <c r="N48" s="386">
        <f t="shared" si="62"/>
        <v>0.96250000000000002</v>
      </c>
      <c r="O48" s="386">
        <f t="shared" si="63"/>
        <v>9.765625E-2</v>
      </c>
      <c r="P48" s="4">
        <f t="shared" si="64"/>
        <v>4.6665916666666671</v>
      </c>
      <c r="Q48" s="4">
        <f t="shared" si="65"/>
        <v>8.7484962559290071</v>
      </c>
      <c r="R48" s="386">
        <f t="shared" si="7"/>
        <v>0.17776032143362597</v>
      </c>
      <c r="S48" s="386">
        <f t="shared" si="45"/>
        <v>0.48851593803165089</v>
      </c>
      <c r="T48" s="386">
        <f t="shared" si="46"/>
        <v>0.66627625946527691</v>
      </c>
      <c r="U48" s="4">
        <f t="shared" si="66"/>
        <v>2.6040003458288683</v>
      </c>
      <c r="V48" s="386">
        <f t="shared" si="9"/>
        <v>1.3561635602153732E-2</v>
      </c>
      <c r="W48" s="386">
        <f t="shared" si="47"/>
        <v>1.3561635602153732E-2</v>
      </c>
      <c r="X48" s="4">
        <f t="shared" si="67"/>
        <v>1.3471289774740325</v>
      </c>
      <c r="Y48" s="386">
        <f t="shared" si="11"/>
        <v>3.6295129639004648E-3</v>
      </c>
      <c r="Z48" s="603">
        <f t="shared" si="48"/>
        <v>3.6295129639004648E-3</v>
      </c>
      <c r="AA48" s="386">
        <f t="shared" si="68"/>
        <v>8.5828946013133418</v>
      </c>
      <c r="AB48" s="386">
        <f t="shared" si="69"/>
        <v>0.13996555150078205</v>
      </c>
      <c r="AC48" s="386">
        <f t="shared" si="70"/>
        <v>0.16224451242853438</v>
      </c>
      <c r="AD48" s="386">
        <f t="shared" si="71"/>
        <v>0</v>
      </c>
      <c r="AE48" s="386">
        <f t="shared" si="72"/>
        <v>0.3109134998236886</v>
      </c>
      <c r="AF48" s="386">
        <f t="shared" si="73"/>
        <v>1.6941390151785487</v>
      </c>
      <c r="AG48" s="386">
        <f t="shared" si="74"/>
        <v>5.4532033052252715E-3</v>
      </c>
      <c r="AH48" s="386">
        <f t="shared" si="75"/>
        <v>0</v>
      </c>
      <c r="AI48" s="386">
        <f t="shared" si="76"/>
        <v>5.4591572841343888E-3</v>
      </c>
      <c r="AJ48" s="386">
        <f t="shared" si="77"/>
        <v>2.7339050799778146</v>
      </c>
      <c r="AK48" s="386">
        <f t="shared" si="78"/>
        <v>3.7371184931642505E-3</v>
      </c>
      <c r="AL48" s="386">
        <f t="shared" si="79"/>
        <v>1.1262092029730675</v>
      </c>
      <c r="AM48" s="386">
        <f t="shared" si="80"/>
        <v>0</v>
      </c>
      <c r="AN48" s="386">
        <f t="shared" si="81"/>
        <v>1.1307915018329144</v>
      </c>
      <c r="AO48" s="386">
        <f t="shared" si="49"/>
        <v>8.3103519632850293</v>
      </c>
      <c r="AP48" s="386">
        <f t="shared" si="82"/>
        <v>3.4530974876837671E-2</v>
      </c>
      <c r="AQ48" s="386">
        <f t="shared" si="83"/>
        <v>0</v>
      </c>
      <c r="AR48" s="386">
        <f t="shared" si="84"/>
        <v>3.4771110948558552E-2</v>
      </c>
      <c r="AS48" s="386">
        <f t="shared" si="85"/>
        <v>0</v>
      </c>
      <c r="AT48" s="386">
        <f t="shared" si="86"/>
        <v>9.8691666666666664E-2</v>
      </c>
      <c r="AU48" s="386">
        <f t="shared" si="87"/>
        <v>0.25347631937500004</v>
      </c>
      <c r="AV48" s="386">
        <f t="shared" si="88"/>
        <v>3.1033031967235929E-2</v>
      </c>
      <c r="AW48" s="386" t="e">
        <f t="shared" si="33"/>
        <v>#VALUE!</v>
      </c>
      <c r="AX48" s="386">
        <f t="shared" si="89"/>
        <v>3.8400000000000004E-2</v>
      </c>
      <c r="AY48" s="386">
        <f t="shared" si="90"/>
        <v>0.62080000000000002</v>
      </c>
      <c r="AZ48" s="386">
        <f t="shared" si="36"/>
        <v>0.47314285714285709</v>
      </c>
      <c r="BA48" s="386">
        <f t="shared" si="57"/>
        <v>0.65920000000000001</v>
      </c>
      <c r="BB48" s="386" t="e">
        <f t="shared" si="58"/>
        <v>#VALUE!</v>
      </c>
      <c r="BC48">
        <f t="shared" si="91"/>
        <v>99.84</v>
      </c>
      <c r="BD48" s="604" t="e">
        <f t="shared" si="51"/>
        <v>#VALUE!</v>
      </c>
      <c r="BE48" s="614">
        <f t="shared" si="92"/>
        <v>64.904293631020721</v>
      </c>
      <c r="BF48" s="614">
        <f t="shared" si="93"/>
        <v>5.9209148171154284</v>
      </c>
      <c r="BG48" s="9"/>
      <c r="BH48" s="4" t="e">
        <f t="shared" si="52"/>
        <v>#VALUE!</v>
      </c>
      <c r="BI48" s="386">
        <f t="shared" si="53"/>
        <v>0.66627625946527691</v>
      </c>
      <c r="BJ48" s="386">
        <f t="shared" si="54"/>
        <v>1.7354115892642958</v>
      </c>
      <c r="BK48" s="386">
        <f t="shared" si="94"/>
        <v>1.2980858726204145</v>
      </c>
      <c r="BL48" s="386">
        <f t="shared" si="95"/>
        <v>0.11841829634230858</v>
      </c>
      <c r="BM48" s="386">
        <f t="shared" si="55"/>
        <v>3.1033031967235929E-2</v>
      </c>
      <c r="BR48">
        <v>9.9975280000000009</v>
      </c>
      <c r="BS48">
        <v>7.7530000000000001</v>
      </c>
      <c r="BT48">
        <v>5.10853</v>
      </c>
      <c r="BU48">
        <v>92.034336419785248</v>
      </c>
      <c r="BV48">
        <v>3427.976173640001</v>
      </c>
    </row>
    <row r="49" spans="1:74" x14ac:dyDescent="0.2">
      <c r="A49" s="23" t="s">
        <v>72</v>
      </c>
      <c r="B49" s="5">
        <f>Rdson2*1000</f>
        <v>1.9</v>
      </c>
      <c r="C49" s="484" t="s">
        <v>674</v>
      </c>
      <c r="D49" s="482" t="s">
        <v>768</v>
      </c>
      <c r="G49">
        <v>40</v>
      </c>
      <c r="H49" s="610">
        <f t="shared" si="59"/>
        <v>12</v>
      </c>
      <c r="I49" s="4" t="str">
        <f t="shared" si="60"/>
        <v>BUCK-BST</v>
      </c>
      <c r="J49">
        <f t="shared" si="43"/>
        <v>3</v>
      </c>
      <c r="K49" s="386">
        <f t="shared" si="96"/>
        <v>8</v>
      </c>
      <c r="L49" s="4">
        <f t="shared" si="61"/>
        <v>9.481481481481481</v>
      </c>
      <c r="M49" s="4">
        <f t="shared" si="56"/>
        <v>8.8658008658008658</v>
      </c>
      <c r="N49" s="386">
        <f t="shared" si="62"/>
        <v>0.96250000000000002</v>
      </c>
      <c r="O49" s="386">
        <f t="shared" si="63"/>
        <v>9.765625E-2</v>
      </c>
      <c r="P49" s="4">
        <f t="shared" si="64"/>
        <v>4.6660555555555554</v>
      </c>
      <c r="Q49" s="4">
        <f t="shared" si="65"/>
        <v>8.9675394913727384</v>
      </c>
      <c r="R49" s="386">
        <f t="shared" si="7"/>
        <v>0.18690798485873389</v>
      </c>
      <c r="S49" s="386">
        <f t="shared" si="45"/>
        <v>0.4883866424488485</v>
      </c>
      <c r="T49" s="386">
        <f t="shared" si="46"/>
        <v>0.67529462730758238</v>
      </c>
      <c r="U49" s="4">
        <f t="shared" si="66"/>
        <v>2.6688506925618172</v>
      </c>
      <c r="V49" s="386">
        <f t="shared" si="9"/>
        <v>1.4245528038375383E-2</v>
      </c>
      <c r="W49" s="386">
        <f t="shared" si="47"/>
        <v>1.4245528038375383E-2</v>
      </c>
      <c r="X49" s="4">
        <f t="shared" si="67"/>
        <v>1.3469742155268745</v>
      </c>
      <c r="Y49" s="386">
        <f t="shared" si="11"/>
        <v>3.6286790745884779E-3</v>
      </c>
      <c r="Z49" s="603">
        <f t="shared" si="48"/>
        <v>3.6286790745884779E-3</v>
      </c>
      <c r="AA49" s="386">
        <f t="shared" si="68"/>
        <v>8.7977915330769108</v>
      </c>
      <c r="AB49" s="386">
        <f t="shared" si="69"/>
        <v>0.14706215813301157</v>
      </c>
      <c r="AC49" s="386">
        <f t="shared" si="70"/>
        <v>0.16640462813183013</v>
      </c>
      <c r="AD49" s="386">
        <f t="shared" si="71"/>
        <v>0</v>
      </c>
      <c r="AE49" s="386">
        <f t="shared" si="72"/>
        <v>0.32296600170778916</v>
      </c>
      <c r="AF49" s="386">
        <f t="shared" si="73"/>
        <v>1.7365565553271969</v>
      </c>
      <c r="AG49" s="386">
        <f t="shared" si="74"/>
        <v>5.7296944727147341E-3</v>
      </c>
      <c r="AH49" s="386">
        <f t="shared" si="75"/>
        <v>0</v>
      </c>
      <c r="AI49" s="386">
        <f t="shared" si="76"/>
        <v>5.7362678851938954E-3</v>
      </c>
      <c r="AJ49" s="386">
        <f t="shared" si="77"/>
        <v>2.8023560910539809</v>
      </c>
      <c r="AK49" s="386">
        <f t="shared" si="78"/>
        <v>3.9265998305336742E-3</v>
      </c>
      <c r="AL49" s="386">
        <f t="shared" si="79"/>
        <v>1.1262092029730675</v>
      </c>
      <c r="AM49" s="386">
        <f t="shared" si="80"/>
        <v>0</v>
      </c>
      <c r="AN49" s="386">
        <f t="shared" si="81"/>
        <v>1.1310240185475129</v>
      </c>
      <c r="AO49" s="386">
        <f t="shared" si="49"/>
        <v>8.5184250227528739</v>
      </c>
      <c r="AP49" s="386">
        <f t="shared" si="82"/>
        <v>3.6281782434131153E-2</v>
      </c>
      <c r="AQ49" s="386">
        <f t="shared" si="83"/>
        <v>0</v>
      </c>
      <c r="AR49" s="386">
        <f t="shared" si="84"/>
        <v>3.6546980352082897E-2</v>
      </c>
      <c r="AS49" s="386">
        <f t="shared" si="85"/>
        <v>0</v>
      </c>
      <c r="AT49" s="386">
        <f t="shared" si="86"/>
        <v>0.10122222222222221</v>
      </c>
      <c r="AU49" s="386">
        <f t="shared" si="87"/>
        <v>0.25759100000000001</v>
      </c>
      <c r="AV49" s="386">
        <f t="shared" si="88"/>
        <v>3.2606484992751622E-2</v>
      </c>
      <c r="AW49" s="386" t="e">
        <f t="shared" si="33"/>
        <v>#VALUE!</v>
      </c>
      <c r="AX49" s="386">
        <f t="shared" si="89"/>
        <v>3.8400000000000004E-2</v>
      </c>
      <c r="AY49" s="386">
        <f t="shared" si="90"/>
        <v>0.62080000000000002</v>
      </c>
      <c r="AZ49" s="386">
        <f t="shared" si="36"/>
        <v>0.47314285714285709</v>
      </c>
      <c r="BA49" s="386">
        <f t="shared" si="57"/>
        <v>0.65920000000000001</v>
      </c>
      <c r="BB49" s="386" t="e">
        <f t="shared" si="58"/>
        <v>#VALUE!</v>
      </c>
      <c r="BC49">
        <f t="shared" si="91"/>
        <v>102.4</v>
      </c>
      <c r="BD49" s="604" t="e">
        <f t="shared" si="51"/>
        <v>#VALUE!</v>
      </c>
      <c r="BE49" s="614">
        <f t="shared" si="92"/>
        <v>65.051703927375655</v>
      </c>
      <c r="BF49" s="614">
        <f t="shared" si="93"/>
        <v>6.0776005176041457</v>
      </c>
      <c r="BG49" s="9"/>
      <c r="BH49" s="4" t="e">
        <f t="shared" si="52"/>
        <v>#VALUE!</v>
      </c>
      <c r="BI49" s="386">
        <f t="shared" si="53"/>
        <v>0.67529462730758238</v>
      </c>
      <c r="BJ49" s="386">
        <f t="shared" si="54"/>
        <v>1.7538642684925789</v>
      </c>
      <c r="BK49" s="386">
        <f t="shared" si="94"/>
        <v>1.301034078547513</v>
      </c>
      <c r="BL49" s="386">
        <f t="shared" si="95"/>
        <v>0.12155201035208291</v>
      </c>
      <c r="BM49" s="386">
        <f t="shared" si="55"/>
        <v>3.2606484992751622E-2</v>
      </c>
      <c r="BR49">
        <v>9.9970090000000003</v>
      </c>
      <c r="BS49">
        <v>8.6120000000000001</v>
      </c>
      <c r="BT49">
        <v>5.1085419999999999</v>
      </c>
      <c r="BU49">
        <v>91.346378256658895</v>
      </c>
      <c r="BV49">
        <v>4167.8065612820019</v>
      </c>
    </row>
    <row r="50" spans="1:74" x14ac:dyDescent="0.2">
      <c r="A50" s="23" t="s">
        <v>84</v>
      </c>
      <c r="B50" s="5">
        <f>RdsonBotTc*1000000</f>
        <v>4000</v>
      </c>
      <c r="C50" s="482" t="s">
        <v>85</v>
      </c>
      <c r="D50" s="21" t="s">
        <v>108</v>
      </c>
      <c r="G50">
        <v>41</v>
      </c>
      <c r="H50" s="610">
        <f t="shared" si="59"/>
        <v>12</v>
      </c>
      <c r="I50" s="4" t="str">
        <f t="shared" si="60"/>
        <v>BUCK-BST</v>
      </c>
      <c r="J50">
        <f t="shared" si="43"/>
        <v>3</v>
      </c>
      <c r="K50" s="386">
        <f t="shared" si="96"/>
        <v>8.1999999999999993</v>
      </c>
      <c r="L50" s="4">
        <f t="shared" si="61"/>
        <v>9.7185185185185166</v>
      </c>
      <c r="M50" s="4">
        <f t="shared" si="56"/>
        <v>9.0874458874458863</v>
      </c>
      <c r="N50" s="386">
        <f t="shared" si="62"/>
        <v>0.96250000000000002</v>
      </c>
      <c r="O50" s="386">
        <f t="shared" si="63"/>
        <v>9.765625E-2</v>
      </c>
      <c r="P50" s="4">
        <f t="shared" si="64"/>
        <v>4.6655194444444446</v>
      </c>
      <c r="Q50" s="4">
        <f t="shared" si="65"/>
        <v>9.1867075384926622</v>
      </c>
      <c r="R50" s="386">
        <f t="shared" si="7"/>
        <v>0.19630097646331401</v>
      </c>
      <c r="S50" s="386">
        <f t="shared" si="45"/>
        <v>0.48825736623622468</v>
      </c>
      <c r="T50" s="386">
        <f t="shared" si="46"/>
        <v>0.68455834269953875</v>
      </c>
      <c r="U50" s="4">
        <f t="shared" si="66"/>
        <v>2.7337461936216347</v>
      </c>
      <c r="V50" s="386">
        <f t="shared" si="9"/>
        <v>1.4946736502281554E-2</v>
      </c>
      <c r="W50" s="386">
        <f t="shared" si="47"/>
        <v>1.4946736502281554E-2</v>
      </c>
      <c r="X50" s="4">
        <f t="shared" si="67"/>
        <v>1.3468194535797167</v>
      </c>
      <c r="Y50" s="386">
        <f t="shared" si="11"/>
        <v>3.6278452810815328E-3</v>
      </c>
      <c r="Z50" s="603">
        <f t="shared" si="48"/>
        <v>3.6278452810815328E-3</v>
      </c>
      <c r="AA50" s="386">
        <f t="shared" si="68"/>
        <v>9.0128109139369226</v>
      </c>
      <c r="AB50" s="386">
        <f t="shared" si="69"/>
        <v>0.15433844508372296</v>
      </c>
      <c r="AC50" s="386">
        <f t="shared" si="70"/>
        <v>0.17056474383512585</v>
      </c>
      <c r="AD50" s="386">
        <f t="shared" si="71"/>
        <v>0</v>
      </c>
      <c r="AE50" s="386">
        <f t="shared" si="72"/>
        <v>0.33525163203898434</v>
      </c>
      <c r="AF50" s="386">
        <f t="shared" si="73"/>
        <v>1.7789982651530103</v>
      </c>
      <c r="AG50" s="386">
        <f t="shared" si="74"/>
        <v>6.0131861720930987E-3</v>
      </c>
      <c r="AH50" s="386">
        <f t="shared" si="75"/>
        <v>0</v>
      </c>
      <c r="AI50" s="386">
        <f t="shared" si="76"/>
        <v>6.0204265612427317E-3</v>
      </c>
      <c r="AJ50" s="386">
        <f t="shared" si="77"/>
        <v>2.8708461057789569</v>
      </c>
      <c r="AK50" s="386">
        <f t="shared" si="78"/>
        <v>4.1208786815331013E-3</v>
      </c>
      <c r="AL50" s="386">
        <f t="shared" si="79"/>
        <v>1.1262092029730675</v>
      </c>
      <c r="AM50" s="386">
        <f t="shared" si="80"/>
        <v>0</v>
      </c>
      <c r="AN50" s="386">
        <f t="shared" si="81"/>
        <v>1.1312624407096283</v>
      </c>
      <c r="AO50" s="386">
        <f t="shared" si="49"/>
        <v>8.726616643048537</v>
      </c>
      <c r="AP50" s="386">
        <f t="shared" si="82"/>
        <v>3.8076919017365859E-2</v>
      </c>
      <c r="AQ50" s="386">
        <f t="shared" si="83"/>
        <v>0</v>
      </c>
      <c r="AR50" s="386">
        <f t="shared" si="84"/>
        <v>3.8369114550870165E-2</v>
      </c>
      <c r="AS50" s="386">
        <f t="shared" si="85"/>
        <v>0</v>
      </c>
      <c r="AT50" s="386">
        <f t="shared" si="86"/>
        <v>0.10375277777777776</v>
      </c>
      <c r="AU50" s="386">
        <f t="shared" si="87"/>
        <v>0.26170541937500003</v>
      </c>
      <c r="AV50" s="386">
        <f t="shared" si="88"/>
        <v>3.4219776571450873E-2</v>
      </c>
      <c r="AW50" s="386" t="e">
        <f t="shared" si="33"/>
        <v>#VALUE!</v>
      </c>
      <c r="AX50" s="386">
        <f t="shared" si="89"/>
        <v>3.8400000000000004E-2</v>
      </c>
      <c r="AY50" s="386">
        <f t="shared" si="90"/>
        <v>0.62080000000000002</v>
      </c>
      <c r="AZ50" s="386">
        <f t="shared" si="36"/>
        <v>0.47314285714285709</v>
      </c>
      <c r="BA50" s="386">
        <f t="shared" si="57"/>
        <v>0.65920000000000001</v>
      </c>
      <c r="BB50" s="386" t="e">
        <f t="shared" si="58"/>
        <v>#VALUE!</v>
      </c>
      <c r="BC50">
        <f t="shared" si="91"/>
        <v>104.96</v>
      </c>
      <c r="BD50" s="604" t="e">
        <f t="shared" si="51"/>
        <v>#VALUE!</v>
      </c>
      <c r="BE50" s="614">
        <f t="shared" si="92"/>
        <v>65.199400874856423</v>
      </c>
      <c r="BF50" s="614">
        <f t="shared" si="93"/>
        <v>6.2365951472310091</v>
      </c>
      <c r="BG50" s="9"/>
      <c r="BH50" s="4" t="e">
        <f t="shared" si="52"/>
        <v>#VALUE!</v>
      </c>
      <c r="BI50" s="386">
        <f t="shared" si="53"/>
        <v>0.68455834269953875</v>
      </c>
      <c r="BJ50" s="386">
        <f t="shared" si="54"/>
        <v>1.7726090332357258</v>
      </c>
      <c r="BK50" s="386">
        <f t="shared" si="94"/>
        <v>1.3039880174971283</v>
      </c>
      <c r="BL50" s="386">
        <f t="shared" si="95"/>
        <v>0.12473190294462018</v>
      </c>
      <c r="BM50" s="386">
        <f t="shared" si="55"/>
        <v>3.4219776571450873E-2</v>
      </c>
      <c r="BR50">
        <v>9.9969590000000004</v>
      </c>
      <c r="BS50">
        <v>9.5229999999999997</v>
      </c>
      <c r="BT50">
        <v>5.1087540000000002</v>
      </c>
      <c r="BU50">
        <v>90.547826191651922</v>
      </c>
      <c r="BV50">
        <v>5078.5816240809982</v>
      </c>
    </row>
    <row r="51" spans="1:74" x14ac:dyDescent="0.2">
      <c r="A51" s="23" t="s">
        <v>71</v>
      </c>
      <c r="B51" s="5">
        <f>Qg_Q2*1000000000</f>
        <v>96</v>
      </c>
      <c r="C51" s="482" t="s">
        <v>69</v>
      </c>
      <c r="D51" s="21" t="s">
        <v>103</v>
      </c>
      <c r="G51">
        <v>42</v>
      </c>
      <c r="H51" s="610">
        <f t="shared" si="59"/>
        <v>12</v>
      </c>
      <c r="I51" s="4" t="str">
        <f t="shared" si="60"/>
        <v>BUCK-BST</v>
      </c>
      <c r="J51">
        <f t="shared" si="43"/>
        <v>3</v>
      </c>
      <c r="K51" s="386">
        <f t="shared" si="96"/>
        <v>8.4</v>
      </c>
      <c r="L51" s="4">
        <f t="shared" si="61"/>
        <v>9.9555555555555557</v>
      </c>
      <c r="M51" s="4">
        <f t="shared" si="56"/>
        <v>9.3090909090909086</v>
      </c>
      <c r="N51" s="386">
        <f t="shared" si="62"/>
        <v>0.96250000000000002</v>
      </c>
      <c r="O51" s="386">
        <f t="shared" si="63"/>
        <v>9.765625E-2</v>
      </c>
      <c r="P51" s="4">
        <f t="shared" si="64"/>
        <v>4.6649833333333337</v>
      </c>
      <c r="Q51" s="4">
        <f t="shared" si="65"/>
        <v>9.4059916726206403</v>
      </c>
      <c r="R51" s="386">
        <f t="shared" si="7"/>
        <v>0.20594035713821288</v>
      </c>
      <c r="S51" s="386">
        <f t="shared" si="45"/>
        <v>0.48812810939310541</v>
      </c>
      <c r="T51" s="386">
        <f t="shared" si="46"/>
        <v>0.69406846653131826</v>
      </c>
      <c r="U51" s="4">
        <f t="shared" si="66"/>
        <v>2.7986837079127267</v>
      </c>
      <c r="V51" s="386">
        <f t="shared" si="9"/>
        <v>1.5665260993872259E-2</v>
      </c>
      <c r="W51" s="386">
        <f t="shared" si="47"/>
        <v>1.5665260993872259E-2</v>
      </c>
      <c r="X51" s="4">
        <f t="shared" si="67"/>
        <v>1.3466646916325591</v>
      </c>
      <c r="Y51" s="386">
        <f t="shared" si="11"/>
        <v>3.6270115833796309E-3</v>
      </c>
      <c r="Z51" s="603">
        <f t="shared" si="48"/>
        <v>3.6270115833796309E-3</v>
      </c>
      <c r="AA51" s="386">
        <f t="shared" si="68"/>
        <v>9.227944184375847</v>
      </c>
      <c r="AB51" s="386">
        <f t="shared" si="69"/>
        <v>0.16179441235291644</v>
      </c>
      <c r="AC51" s="386">
        <f t="shared" si="70"/>
        <v>0.17472485953842165</v>
      </c>
      <c r="AD51" s="386">
        <f t="shared" si="71"/>
        <v>0</v>
      </c>
      <c r="AE51" s="386">
        <f t="shared" si="72"/>
        <v>0.34777281142262723</v>
      </c>
      <c r="AF51" s="386">
        <f t="shared" si="73"/>
        <v>1.8214624551312688</v>
      </c>
      <c r="AG51" s="386">
        <f t="shared" si="74"/>
        <v>6.3036784033603755E-3</v>
      </c>
      <c r="AH51" s="386">
        <f t="shared" si="75"/>
        <v>0</v>
      </c>
      <c r="AI51" s="386">
        <f t="shared" si="76"/>
        <v>6.3116357077004775E-3</v>
      </c>
      <c r="AJ51" s="386">
        <f t="shared" si="77"/>
        <v>2.9393723976939503</v>
      </c>
      <c r="AK51" s="386">
        <f t="shared" si="78"/>
        <v>4.319955046162542E-3</v>
      </c>
      <c r="AL51" s="386">
        <f t="shared" si="79"/>
        <v>1.1262092029730675</v>
      </c>
      <c r="AM51" s="386">
        <f t="shared" si="80"/>
        <v>0</v>
      </c>
      <c r="AN51" s="386">
        <f t="shared" si="81"/>
        <v>1.1315067696951324</v>
      </c>
      <c r="AO51" s="386">
        <f t="shared" si="49"/>
        <v>8.9349185364548092</v>
      </c>
      <c r="AP51" s="386">
        <f t="shared" si="82"/>
        <v>3.991638462654188E-2</v>
      </c>
      <c r="AQ51" s="386">
        <f t="shared" si="83"/>
        <v>0</v>
      </c>
      <c r="AR51" s="386">
        <f t="shared" si="84"/>
        <v>4.0237612630988351E-2</v>
      </c>
      <c r="AS51" s="386">
        <f t="shared" si="85"/>
        <v>0</v>
      </c>
      <c r="AT51" s="386">
        <f t="shared" si="86"/>
        <v>0.10628333333333334</v>
      </c>
      <c r="AU51" s="386">
        <f t="shared" si="87"/>
        <v>0.26581957750000001</v>
      </c>
      <c r="AV51" s="386">
        <f t="shared" si="88"/>
        <v>3.5872906703333741E-2</v>
      </c>
      <c r="AW51" s="386" t="e">
        <f t="shared" si="33"/>
        <v>#VALUE!</v>
      </c>
      <c r="AX51" s="386">
        <f t="shared" si="89"/>
        <v>3.8400000000000004E-2</v>
      </c>
      <c r="AY51" s="386">
        <f t="shared" si="90"/>
        <v>0.62080000000000002</v>
      </c>
      <c r="AZ51" s="386">
        <f t="shared" si="36"/>
        <v>0.47314285714285709</v>
      </c>
      <c r="BA51" s="386">
        <f t="shared" si="57"/>
        <v>0.65920000000000001</v>
      </c>
      <c r="BB51" s="386" t="e">
        <f t="shared" si="58"/>
        <v>#VALUE!</v>
      </c>
      <c r="BC51">
        <f t="shared" si="91"/>
        <v>107.52000000000001</v>
      </c>
      <c r="BD51" s="604" t="e">
        <f t="shared" si="51"/>
        <v>#VALUE!</v>
      </c>
      <c r="BE51" s="614">
        <f t="shared" si="92"/>
        <v>65.34738454225662</v>
      </c>
      <c r="BF51" s="614">
        <f t="shared" si="93"/>
        <v>6.3979036602994173</v>
      </c>
      <c r="BG51" s="9"/>
      <c r="BH51" s="4" t="e">
        <f t="shared" si="52"/>
        <v>#VALUE!</v>
      </c>
      <c r="BI51" s="386">
        <f t="shared" si="53"/>
        <v>0.69406846653131826</v>
      </c>
      <c r="BJ51" s="386">
        <f t="shared" si="54"/>
        <v>1.7916484069564487</v>
      </c>
      <c r="BK51" s="386">
        <f t="shared" si="94"/>
        <v>1.3069476908451325</v>
      </c>
      <c r="BL51" s="386">
        <f t="shared" si="95"/>
        <v>0.12795807320598834</v>
      </c>
      <c r="BM51" s="386">
        <f t="shared" si="55"/>
        <v>3.5872906703333741E-2</v>
      </c>
      <c r="BR51">
        <v>9.9964639999999996</v>
      </c>
      <c r="BS51">
        <v>10.493</v>
      </c>
      <c r="BT51">
        <v>5.1092279999999999</v>
      </c>
      <c r="BU51">
        <v>89.626660259106615</v>
      </c>
      <c r="BV51">
        <v>6204.9221585439973</v>
      </c>
    </row>
    <row r="52" spans="1:74" x14ac:dyDescent="0.2">
      <c r="A52" s="23" t="s">
        <v>95</v>
      </c>
      <c r="B52" s="5">
        <f>Rgate2</f>
        <v>0.5</v>
      </c>
      <c r="C52" s="486" t="s">
        <v>120</v>
      </c>
      <c r="D52" s="21" t="s">
        <v>104</v>
      </c>
      <c r="G52">
        <v>43</v>
      </c>
      <c r="H52" s="610">
        <f t="shared" si="59"/>
        <v>12</v>
      </c>
      <c r="I52" s="4" t="str">
        <f t="shared" si="60"/>
        <v>BUCK-BST</v>
      </c>
      <c r="J52">
        <f t="shared" si="43"/>
        <v>3</v>
      </c>
      <c r="K52" s="386">
        <f t="shared" si="96"/>
        <v>8.6</v>
      </c>
      <c r="L52" s="4">
        <f t="shared" si="61"/>
        <v>10.192592592592591</v>
      </c>
      <c r="M52" s="4">
        <f t="shared" si="56"/>
        <v>9.5307359307359309</v>
      </c>
      <c r="N52" s="386">
        <f t="shared" si="62"/>
        <v>0.96250000000000002</v>
      </c>
      <c r="O52" s="386">
        <f t="shared" si="63"/>
        <v>9.765625E-2</v>
      </c>
      <c r="P52" s="4">
        <f t="shared" si="64"/>
        <v>4.664447222222222</v>
      </c>
      <c r="Q52" s="4">
        <f t="shared" si="65"/>
        <v>9.6253839597266087</v>
      </c>
      <c r="R52" s="386">
        <f t="shared" si="7"/>
        <v>0.21582721802918078</v>
      </c>
      <c r="S52" s="386">
        <f t="shared" si="45"/>
        <v>0.48799887191881169</v>
      </c>
      <c r="T52" s="386">
        <f t="shared" si="46"/>
        <v>0.70382608994799245</v>
      </c>
      <c r="U52" s="4">
        <f t="shared" si="66"/>
        <v>2.8636603773097362</v>
      </c>
      <c r="V52" s="386">
        <f t="shared" si="9"/>
        <v>1.6401101513147481E-2</v>
      </c>
      <c r="W52" s="386">
        <f t="shared" si="47"/>
        <v>1.6401101513147481E-2</v>
      </c>
      <c r="X52" s="4">
        <f t="shared" si="67"/>
        <v>1.3465099296854011</v>
      </c>
      <c r="Y52" s="386">
        <f t="shared" si="11"/>
        <v>3.6261779814827674E-3</v>
      </c>
      <c r="Z52" s="603">
        <f t="shared" si="48"/>
        <v>3.6261779814827674E-3</v>
      </c>
      <c r="AA52" s="386">
        <f t="shared" si="68"/>
        <v>9.4431835605481176</v>
      </c>
      <c r="AB52" s="386">
        <f t="shared" si="69"/>
        <v>0.16943005994059182</v>
      </c>
      <c r="AC52" s="386">
        <f t="shared" si="70"/>
        <v>0.17888497524171737</v>
      </c>
      <c r="AD52" s="386">
        <f t="shared" si="71"/>
        <v>0</v>
      </c>
      <c r="AE52" s="386">
        <f t="shared" si="72"/>
        <v>0.36053202779838595</v>
      </c>
      <c r="AF52" s="386">
        <f t="shared" si="73"/>
        <v>1.8639475888436574</v>
      </c>
      <c r="AG52" s="386">
        <f t="shared" si="74"/>
        <v>6.6011711665165595E-3</v>
      </c>
      <c r="AH52" s="386">
        <f t="shared" si="75"/>
        <v>0</v>
      </c>
      <c r="AI52" s="386">
        <f t="shared" si="76"/>
        <v>6.609897779844145E-3</v>
      </c>
      <c r="AJ52" s="386">
        <f t="shared" si="77"/>
        <v>3.007932487414565</v>
      </c>
      <c r="AK52" s="386">
        <f t="shared" si="78"/>
        <v>4.5238289244219857E-3</v>
      </c>
      <c r="AL52" s="386">
        <f t="shared" si="79"/>
        <v>1.1262092029730675</v>
      </c>
      <c r="AM52" s="386">
        <f t="shared" si="80"/>
        <v>0</v>
      </c>
      <c r="AN52" s="386">
        <f t="shared" si="81"/>
        <v>1.1317570069141487</v>
      </c>
      <c r="AO52" s="386">
        <f t="shared" si="49"/>
        <v>9.1433231662956285</v>
      </c>
      <c r="AP52" s="386">
        <f t="shared" si="82"/>
        <v>4.1800179261659159E-2</v>
      </c>
      <c r="AQ52" s="386">
        <f t="shared" si="83"/>
        <v>0</v>
      </c>
      <c r="AR52" s="386">
        <f t="shared" si="84"/>
        <v>4.2152576310886321E-2</v>
      </c>
      <c r="AS52" s="386">
        <f t="shared" si="85"/>
        <v>0</v>
      </c>
      <c r="AT52" s="386">
        <f t="shared" si="86"/>
        <v>0.10881388888888888</v>
      </c>
      <c r="AU52" s="386">
        <f t="shared" si="87"/>
        <v>0.26993347437500004</v>
      </c>
      <c r="AV52" s="386">
        <f t="shared" si="88"/>
        <v>3.7565875388400165E-2</v>
      </c>
      <c r="AW52" s="386" t="e">
        <f t="shared" si="33"/>
        <v>#VALUE!</v>
      </c>
      <c r="AX52" s="386">
        <f t="shared" si="89"/>
        <v>3.8400000000000004E-2</v>
      </c>
      <c r="AY52" s="386">
        <f t="shared" si="90"/>
        <v>0.62080000000000002</v>
      </c>
      <c r="AZ52" s="386">
        <f t="shared" si="36"/>
        <v>0.47314285714285709</v>
      </c>
      <c r="BA52" s="386">
        <f t="shared" si="57"/>
        <v>0.65920000000000001</v>
      </c>
      <c r="BB52" s="386" t="e">
        <f t="shared" si="58"/>
        <v>#VALUE!</v>
      </c>
      <c r="BC52">
        <f t="shared" si="91"/>
        <v>110.08</v>
      </c>
      <c r="BD52" s="604" t="e">
        <f t="shared" si="51"/>
        <v>#VALUE!</v>
      </c>
      <c r="BE52" s="614">
        <f t="shared" si="92"/>
        <v>65.495655000082436</v>
      </c>
      <c r="BF52" s="614">
        <f t="shared" si="93"/>
        <v>6.5615311427318161</v>
      </c>
      <c r="BG52" s="9"/>
      <c r="BH52" s="4" t="e">
        <f t="shared" si="52"/>
        <v>#VALUE!</v>
      </c>
      <c r="BI52" s="386">
        <f t="shared" si="53"/>
        <v>0.70382608994799245</v>
      </c>
      <c r="BJ52" s="386">
        <f t="shared" si="54"/>
        <v>1.8109849831782654</v>
      </c>
      <c r="BK52" s="386">
        <f t="shared" si="94"/>
        <v>1.3099131000016486</v>
      </c>
      <c r="BL52" s="386">
        <f t="shared" si="95"/>
        <v>0.13123062285463633</v>
      </c>
      <c r="BM52" s="386">
        <f t="shared" si="55"/>
        <v>3.7565875388400165E-2</v>
      </c>
      <c r="BR52">
        <v>9.9959819999999997</v>
      </c>
      <c r="BS52">
        <v>11.519</v>
      </c>
      <c r="BT52">
        <v>5.1101260000000002</v>
      </c>
      <c r="BU52">
        <v>88.591390420220321</v>
      </c>
      <c r="BV52">
        <v>7580.3207309739973</v>
      </c>
    </row>
    <row r="53" spans="1:74" x14ac:dyDescent="0.2">
      <c r="A53" s="23" t="s">
        <v>76</v>
      </c>
      <c r="B53" s="5">
        <f>Vsd_Q2</f>
        <v>0.8</v>
      </c>
      <c r="C53" s="482" t="s">
        <v>0</v>
      </c>
      <c r="D53" s="21" t="s">
        <v>109</v>
      </c>
      <c r="G53">
        <v>44</v>
      </c>
      <c r="H53" s="610">
        <f t="shared" si="59"/>
        <v>12</v>
      </c>
      <c r="I53" s="4" t="str">
        <f t="shared" si="60"/>
        <v>BUCK-BST</v>
      </c>
      <c r="J53">
        <f t="shared" si="43"/>
        <v>3</v>
      </c>
      <c r="K53" s="386">
        <f t="shared" si="96"/>
        <v>8.8000000000000007</v>
      </c>
      <c r="L53" s="4">
        <f t="shared" si="61"/>
        <v>10.42962962962963</v>
      </c>
      <c r="M53" s="4">
        <f t="shared" si="56"/>
        <v>9.7523809523809533</v>
      </c>
      <c r="N53" s="386">
        <f t="shared" si="62"/>
        <v>0.96250000000000002</v>
      </c>
      <c r="O53" s="386">
        <f t="shared" si="63"/>
        <v>9.765625E-2</v>
      </c>
      <c r="P53" s="4">
        <f t="shared" si="64"/>
        <v>4.6639111111111111</v>
      </c>
      <c r="Q53" s="4">
        <f t="shared" si="65"/>
        <v>9.8448771692722659</v>
      </c>
      <c r="R53" s="386">
        <f t="shared" si="7"/>
        <v>0.22596268085186194</v>
      </c>
      <c r="S53" s="386">
        <f t="shared" si="45"/>
        <v>0.48786965381266728</v>
      </c>
      <c r="T53" s="386">
        <f t="shared" si="46"/>
        <v>0.71383233466452922</v>
      </c>
      <c r="U53" s="4">
        <f t="shared" si="66"/>
        <v>2.9286735956834837</v>
      </c>
      <c r="V53" s="386">
        <f t="shared" si="9"/>
        <v>1.7154258060107251E-2</v>
      </c>
      <c r="W53" s="386">
        <f t="shared" si="47"/>
        <v>1.7154258060107251E-2</v>
      </c>
      <c r="X53" s="4">
        <f t="shared" si="67"/>
        <v>1.3463551677382435</v>
      </c>
      <c r="Y53" s="386">
        <f t="shared" si="11"/>
        <v>3.6253444753909475E-3</v>
      </c>
      <c r="Z53" s="603">
        <f t="shared" si="48"/>
        <v>3.6253444753909475E-3</v>
      </c>
      <c r="AA53" s="386">
        <f t="shared" si="68"/>
        <v>9.658521948783422</v>
      </c>
      <c r="AB53" s="386">
        <f t="shared" si="69"/>
        <v>0.17724538784674912</v>
      </c>
      <c r="AC53" s="386">
        <f t="shared" si="70"/>
        <v>0.18304509094501317</v>
      </c>
      <c r="AD53" s="386">
        <f t="shared" si="71"/>
        <v>0</v>
      </c>
      <c r="AE53" s="386">
        <f t="shared" si="72"/>
        <v>0.37353183788766386</v>
      </c>
      <c r="AF53" s="386">
        <f t="shared" si="73"/>
        <v>1.9064522661024546</v>
      </c>
      <c r="AG53" s="386">
        <f t="shared" si="74"/>
        <v>6.9056644615616497E-3</v>
      </c>
      <c r="AH53" s="386">
        <f t="shared" si="75"/>
        <v>0</v>
      </c>
      <c r="AI53" s="386">
        <f t="shared" si="76"/>
        <v>6.9152152928600398E-3</v>
      </c>
      <c r="AJ53" s="386">
        <f t="shared" si="77"/>
        <v>3.0765241153975831</v>
      </c>
      <c r="AK53" s="386">
        <f t="shared" si="78"/>
        <v>4.7325003163114412E-3</v>
      </c>
      <c r="AL53" s="386">
        <f t="shared" si="79"/>
        <v>1.1262092029730675</v>
      </c>
      <c r="AM53" s="386">
        <f t="shared" si="80"/>
        <v>0</v>
      </c>
      <c r="AN53" s="386">
        <f t="shared" si="81"/>
        <v>1.1320131538110747</v>
      </c>
      <c r="AO53" s="386">
        <f t="shared" si="49"/>
        <v>9.3518236641542494</v>
      </c>
      <c r="AP53" s="386">
        <f t="shared" si="82"/>
        <v>4.3728302922717704E-2</v>
      </c>
      <c r="AQ53" s="386">
        <f t="shared" si="83"/>
        <v>0</v>
      </c>
      <c r="AR53" s="386">
        <f t="shared" si="84"/>
        <v>4.4114109955376658E-2</v>
      </c>
      <c r="AS53" s="386">
        <f t="shared" si="85"/>
        <v>0</v>
      </c>
      <c r="AT53" s="386">
        <f t="shared" si="86"/>
        <v>0.11134444444444445</v>
      </c>
      <c r="AU53" s="386">
        <f t="shared" si="87"/>
        <v>0.27404711000000004</v>
      </c>
      <c r="AV53" s="386">
        <f t="shared" si="88"/>
        <v>3.9298682626650198E-2</v>
      </c>
      <c r="AW53" s="386" t="e">
        <f t="shared" si="33"/>
        <v>#VALUE!</v>
      </c>
      <c r="AX53" s="386">
        <f t="shared" si="89"/>
        <v>3.8400000000000004E-2</v>
      </c>
      <c r="AY53" s="386">
        <f t="shared" si="90"/>
        <v>0.62080000000000002</v>
      </c>
      <c r="AZ53" s="386">
        <f t="shared" si="36"/>
        <v>0.47314285714285709</v>
      </c>
      <c r="BA53" s="386">
        <f t="shared" si="57"/>
        <v>0.65920000000000001</v>
      </c>
      <c r="BB53" s="386" t="e">
        <f t="shared" si="58"/>
        <v>#VALUE!</v>
      </c>
      <c r="BC53">
        <f t="shared" si="91"/>
        <v>112.64000000000001</v>
      </c>
      <c r="BD53" s="604" t="e">
        <f t="shared" si="51"/>
        <v>#VALUE!</v>
      </c>
      <c r="BE53" s="614">
        <f t="shared" si="92"/>
        <v>65.644212320553734</v>
      </c>
      <c r="BF53" s="614">
        <f t="shared" si="93"/>
        <v>6.7274828127688338</v>
      </c>
      <c r="BG53" s="9"/>
      <c r="BH53" s="4" t="e">
        <f t="shared" si="52"/>
        <v>#VALUE!</v>
      </c>
      <c r="BI53" s="386">
        <f t="shared" si="53"/>
        <v>0.71383233466452922</v>
      </c>
      <c r="BJ53" s="386">
        <f t="shared" si="54"/>
        <v>1.8306214269469754</v>
      </c>
      <c r="BK53" s="386">
        <f t="shared" si="94"/>
        <v>1.3128842464110748</v>
      </c>
      <c r="BL53" s="386">
        <f t="shared" si="95"/>
        <v>0.13454965625537668</v>
      </c>
      <c r="BM53" s="386">
        <f t="shared" si="55"/>
        <v>3.9298682626650198E-2</v>
      </c>
      <c r="BR53">
        <v>9.9955739999999995</v>
      </c>
      <c r="BS53">
        <v>12.605</v>
      </c>
      <c r="BT53">
        <v>5.1111979999999999</v>
      </c>
      <c r="BU53">
        <v>87.386508098290477</v>
      </c>
      <c r="BV53">
        <v>9299.4335961019988</v>
      </c>
    </row>
    <row r="54" spans="1:74" x14ac:dyDescent="0.2">
      <c r="A54" s="23" t="s">
        <v>77</v>
      </c>
      <c r="B54" s="5">
        <f>Qrr_Q2*1000000000</f>
        <v>275</v>
      </c>
      <c r="C54" s="482" t="s">
        <v>69</v>
      </c>
      <c r="D54" s="21" t="s">
        <v>114</v>
      </c>
      <c r="G54">
        <v>45</v>
      </c>
      <c r="H54" s="610">
        <f t="shared" si="59"/>
        <v>12</v>
      </c>
      <c r="I54" s="4" t="str">
        <f t="shared" si="60"/>
        <v>BUCK-BST</v>
      </c>
      <c r="J54">
        <f t="shared" si="43"/>
        <v>3</v>
      </c>
      <c r="K54" s="386">
        <f t="shared" si="96"/>
        <v>9</v>
      </c>
      <c r="L54" s="4">
        <f t="shared" si="61"/>
        <v>10.666666666666666</v>
      </c>
      <c r="M54" s="4">
        <f t="shared" si="56"/>
        <v>9.9740259740259738</v>
      </c>
      <c r="N54" s="386">
        <f t="shared" si="62"/>
        <v>0.96250000000000002</v>
      </c>
      <c r="O54" s="386">
        <f t="shared" si="63"/>
        <v>9.765625E-2</v>
      </c>
      <c r="P54" s="4">
        <f t="shared" si="64"/>
        <v>4.6633750000000003</v>
      </c>
      <c r="Q54" s="4">
        <f t="shared" si="65"/>
        <v>10.064464698288571</v>
      </c>
      <c r="R54" s="386">
        <f t="shared" si="7"/>
        <v>0.23634789821664856</v>
      </c>
      <c r="S54" s="386">
        <f t="shared" si="45"/>
        <v>0.48774045507399622</v>
      </c>
      <c r="T54" s="386">
        <f t="shared" si="46"/>
        <v>0.7240883532906448</v>
      </c>
      <c r="U54" s="4">
        <f t="shared" si="66"/>
        <v>2.9937209818845454</v>
      </c>
      <c r="V54" s="386">
        <f t="shared" si="9"/>
        <v>1.7924730634751532E-2</v>
      </c>
      <c r="W54" s="386">
        <f t="shared" si="47"/>
        <v>1.7924730634751532E-2</v>
      </c>
      <c r="X54" s="4">
        <f t="shared" si="67"/>
        <v>1.3462004057910857</v>
      </c>
      <c r="Y54" s="386">
        <f t="shared" si="11"/>
        <v>3.6245110651041677E-3</v>
      </c>
      <c r="Z54" s="603">
        <f t="shared" si="48"/>
        <v>3.6245110651041677E-3</v>
      </c>
      <c r="AA54" s="386">
        <f t="shared" si="68"/>
        <v>9.8739528711013573</v>
      </c>
      <c r="AB54" s="386">
        <f t="shared" si="69"/>
        <v>0.1852403960713884</v>
      </c>
      <c r="AC54" s="386">
        <f t="shared" si="70"/>
        <v>0.18720520664830889</v>
      </c>
      <c r="AD54" s="386">
        <f t="shared" si="71"/>
        <v>0</v>
      </c>
      <c r="AE54" s="386">
        <f t="shared" si="72"/>
        <v>0.38677486869313227</v>
      </c>
      <c r="AF54" s="386">
        <f t="shared" si="73"/>
        <v>1.9489752082482039</v>
      </c>
      <c r="AG54" s="386">
        <f t="shared" si="74"/>
        <v>7.2171582884956471E-3</v>
      </c>
      <c r="AH54" s="386">
        <f t="shared" si="75"/>
        <v>0</v>
      </c>
      <c r="AI54" s="386">
        <f t="shared" si="76"/>
        <v>7.2275908218968682E-3</v>
      </c>
      <c r="AJ54" s="386">
        <f t="shared" si="77"/>
        <v>3.1451452182151787</v>
      </c>
      <c r="AK54" s="386">
        <f t="shared" si="78"/>
        <v>4.9459692218309023E-3</v>
      </c>
      <c r="AL54" s="386">
        <f t="shared" si="79"/>
        <v>1.1262092029730675</v>
      </c>
      <c r="AM54" s="386">
        <f t="shared" si="80"/>
        <v>0</v>
      </c>
      <c r="AN54" s="386">
        <f t="shared" si="81"/>
        <v>1.1322752118646033</v>
      </c>
      <c r="AO54" s="386">
        <f t="shared" si="49"/>
        <v>9.5604137577531159</v>
      </c>
      <c r="AP54" s="386">
        <f t="shared" si="82"/>
        <v>4.5700755609717529E-2</v>
      </c>
      <c r="AQ54" s="386">
        <f t="shared" si="83"/>
        <v>0</v>
      </c>
      <c r="AR54" s="386">
        <f t="shared" si="84"/>
        <v>4.61223205900049E-2</v>
      </c>
      <c r="AS54" s="386">
        <f t="shared" si="85"/>
        <v>0</v>
      </c>
      <c r="AT54" s="386">
        <f t="shared" si="86"/>
        <v>0.113875</v>
      </c>
      <c r="AU54" s="386">
        <f t="shared" si="87"/>
        <v>0.27816048437500002</v>
      </c>
      <c r="AV54" s="386">
        <f t="shared" si="88"/>
        <v>4.1071328418083801E-2</v>
      </c>
      <c r="AW54" s="386" t="e">
        <f t="shared" si="33"/>
        <v>#VALUE!</v>
      </c>
      <c r="AX54" s="386">
        <f t="shared" si="89"/>
        <v>3.8400000000000004E-2</v>
      </c>
      <c r="AY54" s="386">
        <f t="shared" si="90"/>
        <v>0.62080000000000002</v>
      </c>
      <c r="AZ54" s="386">
        <f t="shared" si="36"/>
        <v>0.47314285714285709</v>
      </c>
      <c r="BA54" s="386">
        <f t="shared" si="57"/>
        <v>0.65920000000000001</v>
      </c>
      <c r="BB54" s="386" t="e">
        <f t="shared" si="58"/>
        <v>#VALUE!</v>
      </c>
      <c r="BC54">
        <f t="shared" si="91"/>
        <v>115.2</v>
      </c>
      <c r="BD54" s="604" t="e">
        <f t="shared" si="51"/>
        <v>#VALUE!</v>
      </c>
      <c r="BE54" s="614">
        <f t="shared" si="92"/>
        <v>65.793056577605171</v>
      </c>
      <c r="BF54" s="614">
        <f t="shared" si="93"/>
        <v>6.8957640216877447</v>
      </c>
      <c r="BG54" s="9"/>
      <c r="BH54" s="4" t="e">
        <f t="shared" si="52"/>
        <v>#VALUE!</v>
      </c>
      <c r="BI54" s="386">
        <f t="shared" si="53"/>
        <v>0.7240883532906448</v>
      </c>
      <c r="BJ54" s="386">
        <f t="shared" si="54"/>
        <v>1.8505604763446375</v>
      </c>
      <c r="BK54" s="386">
        <f t="shared" si="94"/>
        <v>1.3158611315521034</v>
      </c>
      <c r="BL54" s="386">
        <f t="shared" si="95"/>
        <v>0.13791528043375489</v>
      </c>
      <c r="BM54" s="386">
        <f t="shared" si="55"/>
        <v>4.1071328418083801E-2</v>
      </c>
      <c r="BR54">
        <v>9.9949670000000008</v>
      </c>
      <c r="BS54">
        <v>13.75</v>
      </c>
      <c r="BT54">
        <v>5.1122329999999998</v>
      </c>
      <c r="BU54">
        <v>85.985113444924963</v>
      </c>
      <c r="BV54">
        <v>11457.230537720005</v>
      </c>
    </row>
    <row r="55" spans="1:74" x14ac:dyDescent="0.2">
      <c r="A55" s="23" t="s">
        <v>78</v>
      </c>
      <c r="B55" s="5">
        <f>Trr_Q2*1000000000</f>
        <v>40</v>
      </c>
      <c r="C55" s="482" t="s">
        <v>79</v>
      </c>
      <c r="D55" s="76" t="s">
        <v>110</v>
      </c>
      <c r="G55">
        <v>46</v>
      </c>
      <c r="H55" s="610">
        <f t="shared" si="59"/>
        <v>12</v>
      </c>
      <c r="I55" s="4" t="str">
        <f t="shared" si="60"/>
        <v>BUCK-BST</v>
      </c>
      <c r="J55">
        <f t="shared" si="43"/>
        <v>3</v>
      </c>
      <c r="K55" s="386">
        <f t="shared" si="96"/>
        <v>9.1999999999999993</v>
      </c>
      <c r="L55" s="4">
        <f t="shared" si="61"/>
        <v>10.903703703703702</v>
      </c>
      <c r="M55" s="4">
        <f t="shared" si="56"/>
        <v>10.195670995670994</v>
      </c>
      <c r="N55" s="386">
        <f t="shared" si="62"/>
        <v>0.96250000000000002</v>
      </c>
      <c r="O55" s="386">
        <f t="shared" si="63"/>
        <v>9.765625E-2</v>
      </c>
      <c r="P55" s="4">
        <f t="shared" si="64"/>
        <v>4.6628388888888885</v>
      </c>
      <c r="Q55" s="4">
        <f t="shared" si="65"/>
        <v>10.284140505033854</v>
      </c>
      <c r="R55" s="386">
        <f t="shared" si="7"/>
        <v>0.24698405396358039</v>
      </c>
      <c r="S55" s="386">
        <f t="shared" si="45"/>
        <v>0.48761127570212132</v>
      </c>
      <c r="T55" s="386">
        <f t="shared" si="46"/>
        <v>0.73459532966570174</v>
      </c>
      <c r="U55" s="4">
        <f t="shared" si="66"/>
        <v>3.0588003561102473</v>
      </c>
      <c r="V55" s="386">
        <f t="shared" si="9"/>
        <v>1.8712519237080352E-2</v>
      </c>
      <c r="W55" s="386">
        <f t="shared" si="47"/>
        <v>1.8712519237080352E-2</v>
      </c>
      <c r="X55" s="4">
        <f t="shared" si="67"/>
        <v>1.3460456438439277</v>
      </c>
      <c r="Y55" s="386">
        <f t="shared" si="11"/>
        <v>3.6236777506224276E-3</v>
      </c>
      <c r="Z55" s="603">
        <f t="shared" si="48"/>
        <v>3.6236777506224276E-3</v>
      </c>
      <c r="AA55" s="386">
        <f t="shared" si="68"/>
        <v>10.089470400125323</v>
      </c>
      <c r="AB55" s="386">
        <f t="shared" si="69"/>
        <v>0.1934150846145096</v>
      </c>
      <c r="AC55" s="386">
        <f t="shared" si="70"/>
        <v>0.19136532235160461</v>
      </c>
      <c r="AD55" s="386">
        <f t="shared" si="71"/>
        <v>0</v>
      </c>
      <c r="AE55" s="386">
        <f t="shared" si="72"/>
        <v>0.40026381905213321</v>
      </c>
      <c r="AF55" s="386">
        <f t="shared" si="73"/>
        <v>1.9915152453026619</v>
      </c>
      <c r="AG55" s="386">
        <f t="shared" si="74"/>
        <v>7.5356526473185515E-3</v>
      </c>
      <c r="AH55" s="386">
        <f t="shared" si="75"/>
        <v>0</v>
      </c>
      <c r="AI55" s="386">
        <f t="shared" si="76"/>
        <v>7.5470270021201335E-3</v>
      </c>
      <c r="AJ55" s="386">
        <f t="shared" si="77"/>
        <v>3.2137939078230793</v>
      </c>
      <c r="AK55" s="386">
        <f t="shared" si="78"/>
        <v>5.16423564098037E-3</v>
      </c>
      <c r="AL55" s="386">
        <f t="shared" si="79"/>
        <v>1.1262092029730675</v>
      </c>
      <c r="AM55" s="386">
        <f t="shared" si="80"/>
        <v>0</v>
      </c>
      <c r="AN55" s="386">
        <f t="shared" si="81"/>
        <v>1.1325431825877417</v>
      </c>
      <c r="AO55" s="386">
        <f t="shared" si="49"/>
        <v>9.7690877079345153</v>
      </c>
      <c r="AP55" s="386">
        <f t="shared" si="82"/>
        <v>4.7717537322658619E-2</v>
      </c>
      <c r="AQ55" s="386">
        <f t="shared" si="83"/>
        <v>0</v>
      </c>
      <c r="AR55" s="386">
        <f t="shared" si="84"/>
        <v>4.8177317915809259E-2</v>
      </c>
      <c r="AS55" s="386">
        <f t="shared" si="85"/>
        <v>0</v>
      </c>
      <c r="AT55" s="386">
        <f t="shared" si="86"/>
        <v>0.11640555555555554</v>
      </c>
      <c r="AU55" s="386">
        <f t="shared" si="87"/>
        <v>0.28227359749999997</v>
      </c>
      <c r="AV55" s="386">
        <f t="shared" si="88"/>
        <v>4.2883812762700986E-2</v>
      </c>
      <c r="AW55" s="386" t="e">
        <f t="shared" si="33"/>
        <v>#VALUE!</v>
      </c>
      <c r="AX55" s="386">
        <f t="shared" si="89"/>
        <v>3.8400000000000004E-2</v>
      </c>
      <c r="AY55" s="386">
        <f t="shared" si="90"/>
        <v>0.62080000000000002</v>
      </c>
      <c r="AZ55" s="386">
        <f t="shared" si="36"/>
        <v>0.47314285714285709</v>
      </c>
      <c r="BA55" s="386">
        <f t="shared" si="57"/>
        <v>0.65920000000000001</v>
      </c>
      <c r="BB55" s="386" t="e">
        <f t="shared" si="58"/>
        <v>#VALUE!</v>
      </c>
      <c r="BC55">
        <f t="shared" si="91"/>
        <v>117.75999999999999</v>
      </c>
      <c r="BD55" s="604" t="e">
        <f t="shared" si="51"/>
        <v>#VALUE!</v>
      </c>
      <c r="BE55" s="614">
        <f t="shared" si="92"/>
        <v>65.94218784688708</v>
      </c>
      <c r="BF55" s="614">
        <f t="shared" si="93"/>
        <v>7.0663802545404639</v>
      </c>
      <c r="BG55" s="9"/>
      <c r="BH55" s="4" t="e">
        <f t="shared" si="52"/>
        <v>#VALUE!</v>
      </c>
      <c r="BI55" s="386">
        <f t="shared" si="53"/>
        <v>0.73459532966570174</v>
      </c>
      <c r="BJ55" s="386">
        <f t="shared" si="54"/>
        <v>1.8708049440578043</v>
      </c>
      <c r="BK55" s="386">
        <f t="shared" si="94"/>
        <v>1.3188437569377416</v>
      </c>
      <c r="BL55" s="386">
        <f t="shared" si="95"/>
        <v>0.14132760509080927</v>
      </c>
      <c r="BM55" s="386">
        <f t="shared" si="55"/>
        <v>4.2883812762700986E-2</v>
      </c>
      <c r="BR55">
        <v>9.9943860000000004</v>
      </c>
      <c r="BS55">
        <v>14.954000000000001</v>
      </c>
      <c r="BT55">
        <v>5.1130310000000003</v>
      </c>
      <c r="BU55">
        <v>84.352650264578628</v>
      </c>
      <c r="BV55">
        <v>14183.318533699994</v>
      </c>
    </row>
    <row r="56" spans="1:74" ht="15.75" x14ac:dyDescent="0.3">
      <c r="A56" s="488" t="s">
        <v>679</v>
      </c>
      <c r="B56" s="5">
        <f>ThetaJA_Q2</f>
        <v>50</v>
      </c>
      <c r="C56" s="483" t="s">
        <v>241</v>
      </c>
      <c r="D56" s="76" t="s">
        <v>107</v>
      </c>
      <c r="E56" s="2"/>
      <c r="G56">
        <v>47</v>
      </c>
      <c r="H56" s="610">
        <f t="shared" si="59"/>
        <v>12</v>
      </c>
      <c r="I56" s="4" t="str">
        <f t="shared" si="60"/>
        <v>BUCK-BST</v>
      </c>
      <c r="J56">
        <f t="shared" si="43"/>
        <v>3</v>
      </c>
      <c r="K56" s="386">
        <f t="shared" si="96"/>
        <v>9.4</v>
      </c>
      <c r="L56" s="4">
        <f t="shared" si="61"/>
        <v>11.140740740740741</v>
      </c>
      <c r="M56" s="4">
        <f t="shared" si="56"/>
        <v>10.417316017316018</v>
      </c>
      <c r="N56" s="386">
        <f t="shared" si="62"/>
        <v>0.96250000000000002</v>
      </c>
      <c r="O56" s="386">
        <f t="shared" si="63"/>
        <v>9.765625E-2</v>
      </c>
      <c r="P56" s="4">
        <f t="shared" si="64"/>
        <v>4.6623027777777777</v>
      </c>
      <c r="Q56" s="4">
        <f t="shared" si="65"/>
        <v>10.50389905085734</v>
      </c>
      <c r="R56" s="386">
        <f t="shared" si="7"/>
        <v>0.25787236350747383</v>
      </c>
      <c r="S56" s="386">
        <f t="shared" si="45"/>
        <v>0.4874821156963659</v>
      </c>
      <c r="T56" s="386">
        <f t="shared" si="46"/>
        <v>0.74535447920383979</v>
      </c>
      <c r="U56" s="4">
        <f t="shared" si="66"/>
        <v>3.1239097191735308</v>
      </c>
      <c r="V56" s="386">
        <f t="shared" si="9"/>
        <v>1.9517623867093697E-2</v>
      </c>
      <c r="W56" s="386">
        <f t="shared" si="47"/>
        <v>1.9517623867093697E-2</v>
      </c>
      <c r="X56" s="4">
        <f t="shared" si="67"/>
        <v>1.3458908818967701</v>
      </c>
      <c r="Y56" s="386">
        <f t="shared" si="11"/>
        <v>3.6228445319457315E-3</v>
      </c>
      <c r="Z56" s="603">
        <f t="shared" si="48"/>
        <v>3.6228445319457315E-3</v>
      </c>
      <c r="AA56" s="386">
        <f t="shared" si="68"/>
        <v>10.305069102046534</v>
      </c>
      <c r="AB56" s="386">
        <f t="shared" si="69"/>
        <v>0.20176945347611291</v>
      </c>
      <c r="AC56" s="386">
        <f t="shared" si="70"/>
        <v>0.19552543805490041</v>
      </c>
      <c r="AD56" s="386">
        <f t="shared" si="71"/>
        <v>0</v>
      </c>
      <c r="AE56" s="386">
        <f t="shared" si="72"/>
        <v>0.41400146124578829</v>
      </c>
      <c r="AF56" s="386">
        <f t="shared" si="73"/>
        <v>2.034071304710718</v>
      </c>
      <c r="AG56" s="386">
        <f t="shared" si="74"/>
        <v>7.8611475380303691E-3</v>
      </c>
      <c r="AH56" s="386">
        <f t="shared" si="75"/>
        <v>0</v>
      </c>
      <c r="AI56" s="386">
        <f t="shared" si="76"/>
        <v>7.8735265287678165E-3</v>
      </c>
      <c r="AJ56" s="386">
        <f t="shared" si="77"/>
        <v>3.2824684533929189</v>
      </c>
      <c r="AK56" s="386">
        <f t="shared" si="78"/>
        <v>5.3872995737598512E-3</v>
      </c>
      <c r="AL56" s="386">
        <f t="shared" si="79"/>
        <v>1.1262092029730675</v>
      </c>
      <c r="AM56" s="386">
        <f t="shared" si="80"/>
        <v>0</v>
      </c>
      <c r="AN56" s="386">
        <f t="shared" si="81"/>
        <v>1.1328170675278355</v>
      </c>
      <c r="AO56" s="386">
        <f t="shared" si="49"/>
        <v>9.977840253435712</v>
      </c>
      <c r="AP56" s="386">
        <f t="shared" si="82"/>
        <v>4.9778648061541024E-2</v>
      </c>
      <c r="AQ56" s="386">
        <f t="shared" si="83"/>
        <v>0</v>
      </c>
      <c r="AR56" s="386">
        <f t="shared" si="84"/>
        <v>5.027921432447479E-2</v>
      </c>
      <c r="AS56" s="386">
        <f t="shared" si="85"/>
        <v>0</v>
      </c>
      <c r="AT56" s="386">
        <f t="shared" si="86"/>
        <v>0.1189361111111111</v>
      </c>
      <c r="AU56" s="386">
        <f t="shared" si="87"/>
        <v>0.28638644937500002</v>
      </c>
      <c r="AV56" s="386">
        <f t="shared" si="88"/>
        <v>4.4736135660501795E-2</v>
      </c>
      <c r="AW56" s="386" t="e">
        <f t="shared" si="33"/>
        <v>#VALUE!</v>
      </c>
      <c r="AX56" s="386">
        <f t="shared" si="89"/>
        <v>3.8400000000000004E-2</v>
      </c>
      <c r="AY56" s="386">
        <f t="shared" si="90"/>
        <v>0.62080000000000002</v>
      </c>
      <c r="AZ56" s="386">
        <f t="shared" si="36"/>
        <v>0.47314285714285709</v>
      </c>
      <c r="BA56" s="386">
        <f t="shared" si="57"/>
        <v>0.65920000000000001</v>
      </c>
      <c r="BB56" s="386" t="e">
        <f t="shared" si="58"/>
        <v>#VALUE!</v>
      </c>
      <c r="BC56">
        <f t="shared" si="91"/>
        <v>120.32000000000001</v>
      </c>
      <c r="BD56" s="604" t="e">
        <f t="shared" si="51"/>
        <v>#VALUE!</v>
      </c>
      <c r="BE56" s="614">
        <f t="shared" si="92"/>
        <v>66.091606205766766</v>
      </c>
      <c r="BF56" s="614">
        <f t="shared" si="93"/>
        <v>7.23933713091124</v>
      </c>
      <c r="BG56" s="9"/>
      <c r="BH56" s="4" t="e">
        <f t="shared" si="52"/>
        <v>#VALUE!</v>
      </c>
      <c r="BI56" s="386">
        <f t="shared" si="53"/>
        <v>0.74535447920383979</v>
      </c>
      <c r="BJ56" s="386">
        <f t="shared" si="54"/>
        <v>1.8913577190018667</v>
      </c>
      <c r="BK56" s="386">
        <f t="shared" si="94"/>
        <v>1.3218321241153355</v>
      </c>
      <c r="BL56" s="386">
        <f t="shared" si="95"/>
        <v>0.1447867426182248</v>
      </c>
      <c r="BM56" s="386">
        <f t="shared" si="55"/>
        <v>4.4736135660501795E-2</v>
      </c>
      <c r="BS56" s="18"/>
      <c r="BT56" s="19"/>
    </row>
    <row r="57" spans="1:74" x14ac:dyDescent="0.2">
      <c r="A57" s="24" t="s">
        <v>279</v>
      </c>
      <c r="B57" s="15" t="s">
        <v>115</v>
      </c>
      <c r="C57" s="24" t="s">
        <v>80</v>
      </c>
      <c r="D57" s="24" t="s">
        <v>249</v>
      </c>
      <c r="G57">
        <v>48</v>
      </c>
      <c r="H57" s="610">
        <f t="shared" si="59"/>
        <v>12</v>
      </c>
      <c r="I57" s="4" t="str">
        <f t="shared" si="60"/>
        <v>BUCK-BST</v>
      </c>
      <c r="J57">
        <f t="shared" si="43"/>
        <v>3</v>
      </c>
      <c r="K57" s="386">
        <f t="shared" si="96"/>
        <v>9.6</v>
      </c>
      <c r="L57" s="4">
        <f t="shared" si="61"/>
        <v>11.377777777777776</v>
      </c>
      <c r="M57" s="4">
        <f t="shared" si="56"/>
        <v>10.638961038961039</v>
      </c>
      <c r="N57" s="386">
        <f t="shared" si="62"/>
        <v>0.96250000000000002</v>
      </c>
      <c r="O57" s="386">
        <f t="shared" si="63"/>
        <v>9.765625E-2</v>
      </c>
      <c r="P57" s="4">
        <f t="shared" si="64"/>
        <v>4.6617666666666668</v>
      </c>
      <c r="Q57" s="4">
        <f t="shared" si="65"/>
        <v>10.723735249112968</v>
      </c>
      <c r="R57" s="386">
        <f t="shared" si="7"/>
        <v>0.26901407419347279</v>
      </c>
      <c r="S57" s="386">
        <f t="shared" si="45"/>
        <v>0.4873529750560528</v>
      </c>
      <c r="T57" s="386">
        <f t="shared" si="46"/>
        <v>0.75636704924952558</v>
      </c>
      <c r="U57" s="4">
        <f t="shared" si="66"/>
        <v>3.1890472342685339</v>
      </c>
      <c r="V57" s="386">
        <f t="shared" si="9"/>
        <v>2.0340044524791569E-2</v>
      </c>
      <c r="W57" s="386">
        <f t="shared" si="47"/>
        <v>2.0340044524791569E-2</v>
      </c>
      <c r="X57" s="4">
        <f t="shared" si="67"/>
        <v>1.3457361199496123</v>
      </c>
      <c r="Y57" s="386">
        <f t="shared" si="11"/>
        <v>3.6220114090740746E-3</v>
      </c>
      <c r="Z57" s="603">
        <f t="shared" si="48"/>
        <v>3.6220114090740746E-3</v>
      </c>
      <c r="AA57" s="386">
        <f t="shared" si="68"/>
        <v>10.520743986504849</v>
      </c>
      <c r="AB57" s="386">
        <f t="shared" si="69"/>
        <v>0.2103035026561981</v>
      </c>
      <c r="AC57" s="386">
        <f t="shared" si="70"/>
        <v>0.19968555375819613</v>
      </c>
      <c r="AD57" s="386">
        <f t="shared" si="71"/>
        <v>0</v>
      </c>
      <c r="AE57" s="386">
        <f t="shared" si="72"/>
        <v>0.42799064266573028</v>
      </c>
      <c r="AF57" s="386">
        <f t="shared" si="73"/>
        <v>2.0766424014475979</v>
      </c>
      <c r="AG57" s="386">
        <f t="shared" si="74"/>
        <v>8.1936429606310878E-3</v>
      </c>
      <c r="AH57" s="386">
        <f t="shared" si="75"/>
        <v>0</v>
      </c>
      <c r="AI57" s="386">
        <f t="shared" si="76"/>
        <v>8.2070921572073175E-3</v>
      </c>
      <c r="AJ57" s="386">
        <f t="shared" si="77"/>
        <v>3.3511672653478026</v>
      </c>
      <c r="AK57" s="386">
        <f t="shared" si="78"/>
        <v>5.6151610201693354E-3</v>
      </c>
      <c r="AL57" s="386">
        <f t="shared" si="79"/>
        <v>1.1262092029730675</v>
      </c>
      <c r="AM57" s="386">
        <f t="shared" si="80"/>
        <v>0</v>
      </c>
      <c r="AN57" s="386">
        <f t="shared" si="81"/>
        <v>1.1330968682665901</v>
      </c>
      <c r="AO57" s="386">
        <f t="shared" si="49"/>
        <v>10.186666562361276</v>
      </c>
      <c r="AP57" s="386">
        <f t="shared" si="82"/>
        <v>5.188408782636466E-2</v>
      </c>
      <c r="AQ57" s="386">
        <f t="shared" si="83"/>
        <v>0</v>
      </c>
      <c r="AR57" s="386">
        <f t="shared" si="84"/>
        <v>5.2428124913885391E-2</v>
      </c>
      <c r="AS57" s="386">
        <f t="shared" si="85"/>
        <v>0</v>
      </c>
      <c r="AT57" s="386">
        <f t="shared" si="86"/>
        <v>0.12146666666666667</v>
      </c>
      <c r="AU57" s="386">
        <f t="shared" si="87"/>
        <v>0.29049903999999999</v>
      </c>
      <c r="AV57" s="386">
        <f t="shared" si="88"/>
        <v>4.6628297111486153E-2</v>
      </c>
      <c r="AW57" s="386" t="e">
        <f t="shared" si="33"/>
        <v>#VALUE!</v>
      </c>
      <c r="AX57" s="386">
        <f t="shared" si="89"/>
        <v>3.8400000000000004E-2</v>
      </c>
      <c r="AY57" s="386">
        <f t="shared" si="90"/>
        <v>0.62080000000000002</v>
      </c>
      <c r="AZ57" s="386">
        <f t="shared" si="36"/>
        <v>0.47314285714285709</v>
      </c>
      <c r="BA57" s="386">
        <f t="shared" si="57"/>
        <v>0.65920000000000001</v>
      </c>
      <c r="BB57" s="386" t="e">
        <f t="shared" si="58"/>
        <v>#VALUE!</v>
      </c>
      <c r="BC57">
        <f t="shared" si="91"/>
        <v>122.88</v>
      </c>
      <c r="BD57" s="604" t="e">
        <f t="shared" si="51"/>
        <v>#VALUE!</v>
      </c>
      <c r="BE57" s="614">
        <f t="shared" si="92"/>
        <v>66.241311733329496</v>
      </c>
      <c r="BF57" s="614">
        <f t="shared" si="93"/>
        <v>7.4146404056942696</v>
      </c>
      <c r="BG57" s="9"/>
      <c r="BH57" s="4" t="e">
        <f t="shared" si="52"/>
        <v>#VALUE!</v>
      </c>
      <c r="BI57" s="386">
        <f t="shared" si="53"/>
        <v>0.75636704924952558</v>
      </c>
      <c r="BJ57" s="386">
        <f t="shared" si="54"/>
        <v>1.912221768003413</v>
      </c>
      <c r="BK57" s="386">
        <f t="shared" si="94"/>
        <v>1.32482623466659</v>
      </c>
      <c r="BL57" s="386">
        <f t="shared" si="95"/>
        <v>0.1482928081138854</v>
      </c>
      <c r="BM57" s="386">
        <f t="shared" si="55"/>
        <v>4.6628297111486153E-2</v>
      </c>
      <c r="BS57" s="18"/>
      <c r="BT57" s="19"/>
    </row>
    <row r="58" spans="1:74" x14ac:dyDescent="0.2">
      <c r="A58" s="23" t="s">
        <v>231</v>
      </c>
      <c r="B58" s="73">
        <f>VfdSky_Q2</f>
        <v>0.55000000000000004</v>
      </c>
      <c r="C58" s="482" t="s">
        <v>0</v>
      </c>
      <c r="D58" s="76" t="s">
        <v>234</v>
      </c>
      <c r="G58">
        <v>49</v>
      </c>
      <c r="H58" s="610">
        <f t="shared" si="59"/>
        <v>12</v>
      </c>
      <c r="I58" s="4" t="str">
        <f t="shared" si="60"/>
        <v>BUCK-BST</v>
      </c>
      <c r="J58">
        <f t="shared" si="43"/>
        <v>3</v>
      </c>
      <c r="K58" s="386">
        <f t="shared" si="96"/>
        <v>9.8000000000000007</v>
      </c>
      <c r="L58" s="4">
        <f t="shared" si="61"/>
        <v>11.614814814814816</v>
      </c>
      <c r="M58" s="4">
        <f t="shared" si="56"/>
        <v>10.860606060606061</v>
      </c>
      <c r="N58" s="386">
        <f t="shared" si="62"/>
        <v>0.96250000000000002</v>
      </c>
      <c r="O58" s="386">
        <f t="shared" si="63"/>
        <v>9.765625E-2</v>
      </c>
      <c r="P58" s="4">
        <f t="shared" si="64"/>
        <v>4.6612305555555551</v>
      </c>
      <c r="Q58" s="4">
        <f t="shared" si="65"/>
        <v>10.943644420149845</v>
      </c>
      <c r="R58" s="386">
        <f t="shared" si="7"/>
        <v>0.28041046566322125</v>
      </c>
      <c r="S58" s="386">
        <f t="shared" si="45"/>
        <v>0.48722385378050453</v>
      </c>
      <c r="T58" s="386">
        <f t="shared" si="46"/>
        <v>0.76763431944372584</v>
      </c>
      <c r="U58" s="4">
        <f t="shared" si="66"/>
        <v>3.2542112108907415</v>
      </c>
      <c r="V58" s="386">
        <f t="shared" si="9"/>
        <v>2.117978121017397E-2</v>
      </c>
      <c r="W58" s="386">
        <f t="shared" si="47"/>
        <v>2.117978121017397E-2</v>
      </c>
      <c r="X58" s="4">
        <f t="shared" si="67"/>
        <v>1.3455813580024543</v>
      </c>
      <c r="Y58" s="386">
        <f t="shared" si="11"/>
        <v>3.6211783820074583E-3</v>
      </c>
      <c r="Z58" s="603">
        <f t="shared" si="48"/>
        <v>3.6211783820074583E-3</v>
      </c>
      <c r="AA58" s="386">
        <f t="shared" si="68"/>
        <v>10.736490462431215</v>
      </c>
      <c r="AB58" s="386">
        <f t="shared" si="69"/>
        <v>0.21901723215476523</v>
      </c>
      <c r="AC58" s="386">
        <f t="shared" si="70"/>
        <v>0.20384566946149194</v>
      </c>
      <c r="AD58" s="386">
        <f t="shared" si="71"/>
        <v>0</v>
      </c>
      <c r="AE58" s="386">
        <f t="shared" si="72"/>
        <v>0.44223428754046668</v>
      </c>
      <c r="AF58" s="386">
        <f t="shared" si="73"/>
        <v>2.1192276293028032</v>
      </c>
      <c r="AG58" s="386">
        <f t="shared" si="74"/>
        <v>8.5331389151207197E-3</v>
      </c>
      <c r="AH58" s="386">
        <f t="shared" si="75"/>
        <v>0</v>
      </c>
      <c r="AI58" s="386">
        <f t="shared" si="76"/>
        <v>8.5477267029937451E-3</v>
      </c>
      <c r="AJ58" s="386">
        <f t="shared" si="77"/>
        <v>3.4198888812968264</v>
      </c>
      <c r="AK58" s="386">
        <f t="shared" si="78"/>
        <v>5.8478199802088288E-3</v>
      </c>
      <c r="AL58" s="386">
        <f t="shared" si="79"/>
        <v>1.1262092029730675</v>
      </c>
      <c r="AM58" s="386">
        <f t="shared" si="80"/>
        <v>0</v>
      </c>
      <c r="AN58" s="386">
        <f t="shared" si="81"/>
        <v>1.1333825864200939</v>
      </c>
      <c r="AO58" s="386">
        <f t="shared" si="49"/>
        <v>10.395562189427716</v>
      </c>
      <c r="AP58" s="386">
        <f t="shared" si="82"/>
        <v>5.4033856617129589E-2</v>
      </c>
      <c r="AQ58" s="386">
        <f t="shared" si="83"/>
        <v>0</v>
      </c>
      <c r="AR58" s="386">
        <f t="shared" si="84"/>
        <v>5.4624167504078676E-2</v>
      </c>
      <c r="AS58" s="386">
        <f t="shared" si="85"/>
        <v>0</v>
      </c>
      <c r="AT58" s="386">
        <f t="shared" si="86"/>
        <v>0.12399722222222223</v>
      </c>
      <c r="AU58" s="386">
        <f t="shared" si="87"/>
        <v>0.29461136937500004</v>
      </c>
      <c r="AV58" s="386">
        <f t="shared" si="88"/>
        <v>4.8560297115654107E-2</v>
      </c>
      <c r="AW58" s="386" t="e">
        <f t="shared" si="33"/>
        <v>#VALUE!</v>
      </c>
      <c r="AX58" s="386">
        <f t="shared" si="89"/>
        <v>3.8400000000000004E-2</v>
      </c>
      <c r="AY58" s="386">
        <f t="shared" si="90"/>
        <v>0.62080000000000002</v>
      </c>
      <c r="AZ58" s="386">
        <f t="shared" si="36"/>
        <v>0.47314285714285709</v>
      </c>
      <c r="BA58" s="386">
        <f t="shared" si="57"/>
        <v>0.65920000000000001</v>
      </c>
      <c r="BB58" s="386" t="e">
        <f t="shared" si="58"/>
        <v>#VALUE!</v>
      </c>
      <c r="BC58">
        <f t="shared" si="91"/>
        <v>125.44000000000001</v>
      </c>
      <c r="BD58" s="604" t="e">
        <f t="shared" si="51"/>
        <v>#VALUE!</v>
      </c>
      <c r="BE58" s="614">
        <f t="shared" si="92"/>
        <v>66.391304510379697</v>
      </c>
      <c r="BF58" s="614">
        <f t="shared" si="93"/>
        <v>7.5922959698914338</v>
      </c>
      <c r="BG58" s="9"/>
      <c r="BH58" s="4" t="e">
        <f t="shared" si="52"/>
        <v>#VALUE!</v>
      </c>
      <c r="BI58" s="386">
        <f t="shared" si="53"/>
        <v>0.76763431944372584</v>
      </c>
      <c r="BJ58" s="386">
        <f t="shared" si="54"/>
        <v>1.9334001375426331</v>
      </c>
      <c r="BK58" s="386">
        <f t="shared" si="94"/>
        <v>1.327826090207594</v>
      </c>
      <c r="BL58" s="386">
        <f t="shared" si="95"/>
        <v>0.15184591939782868</v>
      </c>
      <c r="BM58" s="386">
        <f t="shared" si="55"/>
        <v>4.8560297115654107E-2</v>
      </c>
      <c r="BS58" s="18"/>
      <c r="BT58" s="19"/>
    </row>
    <row r="59" spans="1:74" x14ac:dyDescent="0.2">
      <c r="A59" s="23" t="s">
        <v>232</v>
      </c>
      <c r="B59" s="73">
        <f>QrrSky_Q2*1000000000</f>
        <v>0</v>
      </c>
      <c r="C59" s="482" t="s">
        <v>69</v>
      </c>
      <c r="D59" s="76" t="s">
        <v>235</v>
      </c>
      <c r="G59">
        <v>50</v>
      </c>
      <c r="H59" s="610">
        <f t="shared" si="59"/>
        <v>12</v>
      </c>
      <c r="I59" s="4" t="str">
        <f t="shared" si="60"/>
        <v>BUCK-BST</v>
      </c>
      <c r="J59">
        <f t="shared" si="43"/>
        <v>3</v>
      </c>
      <c r="K59" s="386">
        <f t="shared" si="96"/>
        <v>10</v>
      </c>
      <c r="L59" s="4">
        <f t="shared" si="61"/>
        <v>11.851851851851851</v>
      </c>
      <c r="M59" s="4">
        <f t="shared" si="56"/>
        <v>11.082251082251082</v>
      </c>
      <c r="N59" s="386">
        <f t="shared" si="62"/>
        <v>0.96250000000000002</v>
      </c>
      <c r="O59" s="386">
        <f t="shared" si="63"/>
        <v>9.765625E-2</v>
      </c>
      <c r="P59" s="4">
        <f t="shared" si="64"/>
        <v>4.6606944444444443</v>
      </c>
      <c r="Q59" s="4">
        <f t="shared" si="65"/>
        <v>11.16362225155564</v>
      </c>
      <c r="R59" s="386">
        <f t="shared" si="7"/>
        <v>0.29206285023185991</v>
      </c>
      <c r="S59" s="386">
        <f t="shared" si="45"/>
        <v>0.48709475186904572</v>
      </c>
      <c r="T59" s="386">
        <f t="shared" si="46"/>
        <v>0.77915760210090568</v>
      </c>
      <c r="U59" s="4">
        <f t="shared" si="66"/>
        <v>3.3194000906218655</v>
      </c>
      <c r="V59" s="386">
        <f t="shared" si="9"/>
        <v>2.2036833923240899E-2</v>
      </c>
      <c r="W59" s="386">
        <f t="shared" si="47"/>
        <v>2.2036833923240899E-2</v>
      </c>
      <c r="X59" s="4">
        <f t="shared" si="67"/>
        <v>1.3454265960552967</v>
      </c>
      <c r="Y59" s="386">
        <f t="shared" si="11"/>
        <v>3.6203454507458851E-3</v>
      </c>
      <c r="Z59" s="603">
        <f t="shared" si="48"/>
        <v>3.6203454507458851E-3</v>
      </c>
      <c r="AA59" s="386">
        <f t="shared" si="68"/>
        <v>10.952304299043634</v>
      </c>
      <c r="AB59" s="386">
        <f t="shared" si="69"/>
        <v>0.22791064197181438</v>
      </c>
      <c r="AC59" s="386">
        <f t="shared" si="70"/>
        <v>0.20800578516478765</v>
      </c>
      <c r="AD59" s="386">
        <f t="shared" si="71"/>
        <v>0</v>
      </c>
      <c r="AE59" s="386">
        <f t="shared" si="72"/>
        <v>0.45673539872346564</v>
      </c>
      <c r="AF59" s="386">
        <f t="shared" si="73"/>
        <v>2.1618261531812766</v>
      </c>
      <c r="AG59" s="386">
        <f t="shared" si="74"/>
        <v>8.8796354014992578E-3</v>
      </c>
      <c r="AH59" s="386">
        <f t="shared" si="75"/>
        <v>0</v>
      </c>
      <c r="AI59" s="386">
        <f t="shared" si="76"/>
        <v>8.8954330419294143E-3</v>
      </c>
      <c r="AJ59" s="386">
        <f t="shared" si="77"/>
        <v>3.4886319536111374</v>
      </c>
      <c r="AK59" s="386">
        <f t="shared" si="78"/>
        <v>6.0852764538783313E-3</v>
      </c>
      <c r="AL59" s="386">
        <f t="shared" si="79"/>
        <v>1.1262092029730675</v>
      </c>
      <c r="AM59" s="386">
        <f t="shared" si="80"/>
        <v>0</v>
      </c>
      <c r="AN59" s="386">
        <f t="shared" si="81"/>
        <v>1.1336742236388415</v>
      </c>
      <c r="AO59" s="386">
        <f t="shared" si="49"/>
        <v>10.604523038197973</v>
      </c>
      <c r="AP59" s="386">
        <f t="shared" si="82"/>
        <v>5.6227954433835783E-2</v>
      </c>
      <c r="AQ59" s="386">
        <f t="shared" si="83"/>
        <v>0</v>
      </c>
      <c r="AR59" s="386">
        <f t="shared" si="84"/>
        <v>5.6867462653606753E-2</v>
      </c>
      <c r="AS59" s="386">
        <f t="shared" si="85"/>
        <v>0</v>
      </c>
      <c r="AT59" s="386">
        <f t="shared" si="86"/>
        <v>0.12652777777777779</v>
      </c>
      <c r="AU59" s="386">
        <f t="shared" si="87"/>
        <v>0.29872343750000002</v>
      </c>
      <c r="AV59" s="386">
        <f t="shared" si="88"/>
        <v>5.0532135673005657E-2</v>
      </c>
      <c r="AW59" s="386" t="e">
        <f t="shared" si="33"/>
        <v>#VALUE!</v>
      </c>
      <c r="AX59" s="386">
        <f t="shared" si="89"/>
        <v>3.8400000000000004E-2</v>
      </c>
      <c r="AY59" s="386">
        <f t="shared" si="90"/>
        <v>0.62080000000000002</v>
      </c>
      <c r="AZ59" s="386">
        <f t="shared" si="36"/>
        <v>0.47314285714285709</v>
      </c>
      <c r="BA59" s="386">
        <f t="shared" si="57"/>
        <v>0.65920000000000001</v>
      </c>
      <c r="BB59" s="386" t="e">
        <f t="shared" si="58"/>
        <v>#VALUE!</v>
      </c>
      <c r="BC59">
        <f t="shared" si="91"/>
        <v>128</v>
      </c>
      <c r="BD59" s="604" t="e">
        <f t="shared" si="51"/>
        <v>#VALUE!</v>
      </c>
      <c r="BE59" s="614">
        <f t="shared" si="92"/>
        <v>66.541584619442077</v>
      </c>
      <c r="BF59" s="614">
        <f t="shared" si="93"/>
        <v>7.7723098514303386</v>
      </c>
      <c r="BG59" s="9"/>
      <c r="BH59" s="4" t="e">
        <f t="shared" si="52"/>
        <v>#VALUE!</v>
      </c>
      <c r="BI59" s="386">
        <f t="shared" si="53"/>
        <v>0.77915760210090568</v>
      </c>
      <c r="BJ59" s="386">
        <f t="shared" si="54"/>
        <v>1.9548959555578433</v>
      </c>
      <c r="BK59" s="386">
        <f t="shared" si="94"/>
        <v>1.3308316923888415</v>
      </c>
      <c r="BL59" s="386">
        <f t="shared" si="95"/>
        <v>0.15544619702860676</v>
      </c>
      <c r="BM59" s="386">
        <f t="shared" si="55"/>
        <v>5.0532135673005657E-2</v>
      </c>
      <c r="BS59" s="18"/>
      <c r="BT59" s="19"/>
    </row>
    <row r="60" spans="1:74" x14ac:dyDescent="0.2">
      <c r="A60" s="23" t="s">
        <v>233</v>
      </c>
      <c r="B60" s="73">
        <f>Ireverse</f>
        <v>0</v>
      </c>
      <c r="C60" s="482" t="s">
        <v>68</v>
      </c>
      <c r="D60" s="76" t="s">
        <v>236</v>
      </c>
      <c r="E60" s="2"/>
      <c r="G60">
        <v>51</v>
      </c>
      <c r="H60" s="610">
        <f t="shared" si="59"/>
        <v>12</v>
      </c>
      <c r="I60" s="4" t="str">
        <f t="shared" si="60"/>
        <v>BUCK-BST</v>
      </c>
      <c r="J60">
        <f t="shared" si="43"/>
        <v>3</v>
      </c>
      <c r="K60" s="386">
        <f t="shared" si="96"/>
        <v>10.199999999999999</v>
      </c>
      <c r="L60" s="4">
        <f t="shared" si="61"/>
        <v>12.088888888888889</v>
      </c>
      <c r="M60" s="4">
        <f t="shared" si="56"/>
        <v>11.303896103896102</v>
      </c>
      <c r="N60" s="386">
        <f t="shared" si="62"/>
        <v>0.96250000000000002</v>
      </c>
      <c r="O60" s="386">
        <f t="shared" si="63"/>
        <v>9.765625E-2</v>
      </c>
      <c r="P60" s="4">
        <f t="shared" si="64"/>
        <v>4.6601583333333334</v>
      </c>
      <c r="Q60" s="4">
        <f t="shared" si="65"/>
        <v>11.383664762954071</v>
      </c>
      <c r="R60" s="386">
        <f t="shared" si="7"/>
        <v>0.30397257327606153</v>
      </c>
      <c r="S60" s="386">
        <f t="shared" si="45"/>
        <v>0.48696566932099722</v>
      </c>
      <c r="T60" s="386">
        <f t="shared" si="46"/>
        <v>0.7909382425970588</v>
      </c>
      <c r="U60" s="4">
        <f t="shared" si="66"/>
        <v>3.3846124345331146</v>
      </c>
      <c r="V60" s="386">
        <f t="shared" si="9"/>
        <v>2.2911202663992353E-2</v>
      </c>
      <c r="W60" s="386">
        <f t="shared" si="47"/>
        <v>2.2911202663992353E-2</v>
      </c>
      <c r="X60" s="4">
        <f t="shared" si="67"/>
        <v>1.3452718341081389</v>
      </c>
      <c r="Y60" s="386">
        <f t="shared" si="11"/>
        <v>3.6195126152893517E-3</v>
      </c>
      <c r="Z60" s="603">
        <f t="shared" si="48"/>
        <v>3.6195126152893517E-3</v>
      </c>
      <c r="AA60" s="386">
        <f t="shared" si="68"/>
        <v>11.168181591310987</v>
      </c>
      <c r="AB60" s="386">
        <f t="shared" si="69"/>
        <v>0.23698373210734544</v>
      </c>
      <c r="AC60" s="386">
        <f t="shared" si="70"/>
        <v>0.21216590086808337</v>
      </c>
      <c r="AD60" s="386">
        <f t="shared" si="71"/>
        <v>0</v>
      </c>
      <c r="AE60" s="386">
        <f t="shared" si="72"/>
        <v>0.47149705954515903</v>
      </c>
      <c r="AF60" s="386">
        <f t="shared" si="73"/>
        <v>2.2044372022864653</v>
      </c>
      <c r="AG60" s="386">
        <f t="shared" si="74"/>
        <v>9.2331324197666986E-3</v>
      </c>
      <c r="AH60" s="386">
        <f t="shared" si="75"/>
        <v>0</v>
      </c>
      <c r="AI60" s="386">
        <f t="shared" si="76"/>
        <v>9.2502141101246937E-3</v>
      </c>
      <c r="AJ60" s="386">
        <f t="shared" si="77"/>
        <v>3.5573952384231471</v>
      </c>
      <c r="AK60" s="386">
        <f t="shared" si="78"/>
        <v>6.3275304411778395E-3</v>
      </c>
      <c r="AL60" s="386">
        <f t="shared" si="79"/>
        <v>1.1262092029730675</v>
      </c>
      <c r="AM60" s="386">
        <f t="shared" si="80"/>
        <v>0</v>
      </c>
      <c r="AN60" s="386">
        <f t="shared" si="81"/>
        <v>1.1339717816077572</v>
      </c>
      <c r="AO60" s="386">
        <f t="shared" si="49"/>
        <v>10.813545327641924</v>
      </c>
      <c r="AP60" s="386">
        <f t="shared" si="82"/>
        <v>5.8466381276483244E-2</v>
      </c>
      <c r="AQ60" s="386">
        <f t="shared" si="83"/>
        <v>0</v>
      </c>
      <c r="AR60" s="386">
        <f t="shared" si="84"/>
        <v>5.9158133676308088E-2</v>
      </c>
      <c r="AS60" s="386">
        <f t="shared" si="85"/>
        <v>0</v>
      </c>
      <c r="AT60" s="386">
        <f t="shared" si="86"/>
        <v>0.12905833333333333</v>
      </c>
      <c r="AU60" s="386">
        <f t="shared" si="87"/>
        <v>0.30283524437500003</v>
      </c>
      <c r="AV60" s="386">
        <f t="shared" si="88"/>
        <v>5.2543812783540769E-2</v>
      </c>
      <c r="AW60" s="386" t="e">
        <f t="shared" si="33"/>
        <v>#VALUE!</v>
      </c>
      <c r="AX60" s="386">
        <f t="shared" si="89"/>
        <v>3.8400000000000004E-2</v>
      </c>
      <c r="AY60" s="386">
        <f t="shared" si="90"/>
        <v>0.62080000000000002</v>
      </c>
      <c r="AZ60" s="386">
        <f t="shared" si="36"/>
        <v>0.47314285714285709</v>
      </c>
      <c r="BA60" s="386">
        <f t="shared" si="57"/>
        <v>0.65920000000000001</v>
      </c>
      <c r="BB60" s="386" t="e">
        <f t="shared" si="58"/>
        <v>#VALUE!</v>
      </c>
      <c r="BC60">
        <f t="shared" si="91"/>
        <v>130.56</v>
      </c>
      <c r="BD60" s="604" t="e">
        <f t="shared" si="51"/>
        <v>#VALUE!</v>
      </c>
      <c r="BE60" s="614">
        <f t="shared" si="92"/>
        <v>66.692152144762858</v>
      </c>
      <c r="BF60" s="614">
        <f t="shared" si="93"/>
        <v>7.9546882160029044</v>
      </c>
      <c r="BG60" s="9"/>
      <c r="BH60" s="4" t="e">
        <f t="shared" si="52"/>
        <v>#VALUE!</v>
      </c>
      <c r="BI60" s="386">
        <f t="shared" si="53"/>
        <v>0.7909382425970588</v>
      </c>
      <c r="BJ60" s="386">
        <f t="shared" si="54"/>
        <v>1.9767124333143489</v>
      </c>
      <c r="BK60" s="386">
        <f t="shared" si="94"/>
        <v>1.3338430428952572</v>
      </c>
      <c r="BL60" s="386">
        <f t="shared" si="95"/>
        <v>0.15909376432005809</v>
      </c>
      <c r="BM60" s="386">
        <f t="shared" si="55"/>
        <v>5.2543812783540769E-2</v>
      </c>
      <c r="BS60" s="18"/>
      <c r="BT60" s="19"/>
    </row>
    <row r="61" spans="1:74" x14ac:dyDescent="0.2">
      <c r="A61" s="24" t="s">
        <v>121</v>
      </c>
      <c r="B61" s="15" t="s">
        <v>115</v>
      </c>
      <c r="C61" s="24" t="s">
        <v>80</v>
      </c>
      <c r="D61" s="24" t="s">
        <v>249</v>
      </c>
      <c r="G61">
        <v>52</v>
      </c>
      <c r="H61" s="610">
        <f t="shared" si="59"/>
        <v>12</v>
      </c>
      <c r="I61" s="4" t="str">
        <f t="shared" si="60"/>
        <v>BUCK-BST</v>
      </c>
      <c r="J61">
        <f t="shared" si="43"/>
        <v>3</v>
      </c>
      <c r="K61" s="386">
        <f t="shared" si="96"/>
        <v>10.4</v>
      </c>
      <c r="L61" s="4">
        <f t="shared" si="61"/>
        <v>12.325925925925926</v>
      </c>
      <c r="M61" s="4">
        <f t="shared" si="56"/>
        <v>11.525541125541126</v>
      </c>
      <c r="N61" s="386">
        <f t="shared" si="62"/>
        <v>0.96250000000000002</v>
      </c>
      <c r="O61" s="386">
        <f t="shared" si="63"/>
        <v>9.765625E-2</v>
      </c>
      <c r="P61" s="4">
        <f t="shared" si="64"/>
        <v>4.6596222222222217</v>
      </c>
      <c r="Q61" s="4">
        <f t="shared" si="65"/>
        <v>11.603768274761382</v>
      </c>
      <c r="R61" s="386">
        <f t="shared" si="7"/>
        <v>0.31614101363332475</v>
      </c>
      <c r="S61" s="386">
        <f t="shared" si="45"/>
        <v>0.48683660613568303</v>
      </c>
      <c r="T61" s="386">
        <f t="shared" si="46"/>
        <v>0.80297761976900772</v>
      </c>
      <c r="U61" s="4">
        <f t="shared" si="66"/>
        <v>3.449846911996846</v>
      </c>
      <c r="V61" s="386">
        <f t="shared" si="9"/>
        <v>2.3802887432428348E-2</v>
      </c>
      <c r="W61" s="386">
        <f t="shared" si="47"/>
        <v>2.3802887432428348E-2</v>
      </c>
      <c r="X61" s="4">
        <f t="shared" si="67"/>
        <v>1.3451170721609811</v>
      </c>
      <c r="Y61" s="386">
        <f t="shared" si="11"/>
        <v>3.6186798756378605E-3</v>
      </c>
      <c r="Z61" s="603">
        <f t="shared" si="48"/>
        <v>3.6186798756378605E-3</v>
      </c>
      <c r="AA61" s="386">
        <f t="shared" si="68"/>
        <v>11.384118729300933</v>
      </c>
      <c r="AB61" s="386">
        <f t="shared" si="69"/>
        <v>0.24623650256135854</v>
      </c>
      <c r="AC61" s="386">
        <f t="shared" si="70"/>
        <v>0.21632601657137918</v>
      </c>
      <c r="AD61" s="386">
        <f t="shared" si="71"/>
        <v>0</v>
      </c>
      <c r="AE61" s="386">
        <f t="shared" si="72"/>
        <v>0.48652243573115211</v>
      </c>
      <c r="AF61" s="386">
        <f t="shared" si="73"/>
        <v>2.2470600640700398</v>
      </c>
      <c r="AG61" s="386">
        <f t="shared" si="74"/>
        <v>9.5936299699230562E-3</v>
      </c>
      <c r="AH61" s="386">
        <f t="shared" si="75"/>
        <v>0</v>
      </c>
      <c r="AI61" s="386">
        <f t="shared" si="76"/>
        <v>9.6120729040601507E-3</v>
      </c>
      <c r="AJ61" s="386">
        <f t="shared" si="77"/>
        <v>3.6261775858629317</v>
      </c>
      <c r="AK61" s="386">
        <f t="shared" si="78"/>
        <v>6.5745819421073595E-3</v>
      </c>
      <c r="AL61" s="386">
        <f t="shared" si="79"/>
        <v>1.1262092029730675</v>
      </c>
      <c r="AM61" s="386">
        <f t="shared" si="80"/>
        <v>0</v>
      </c>
      <c r="AN61" s="386">
        <f t="shared" si="81"/>
        <v>1.1342752620462204</v>
      </c>
      <c r="AO61" s="386">
        <f t="shared" si="49"/>
        <v>11.022625562457614</v>
      </c>
      <c r="AP61" s="386">
        <f t="shared" si="82"/>
        <v>6.0749137145072019E-2</v>
      </c>
      <c r="AQ61" s="386">
        <f t="shared" si="83"/>
        <v>0</v>
      </c>
      <c r="AR61" s="386">
        <f t="shared" si="84"/>
        <v>6.1496306658494475E-2</v>
      </c>
      <c r="AS61" s="386">
        <f t="shared" si="85"/>
        <v>0</v>
      </c>
      <c r="AT61" s="386">
        <f t="shared" si="86"/>
        <v>0.13158888888888889</v>
      </c>
      <c r="AU61" s="386">
        <f t="shared" si="87"/>
        <v>0.30694678999999997</v>
      </c>
      <c r="AV61" s="386">
        <f t="shared" si="88"/>
        <v>5.4595328447259506E-2</v>
      </c>
      <c r="AW61" s="386" t="e">
        <f t="shared" si="33"/>
        <v>#VALUE!</v>
      </c>
      <c r="AX61" s="386">
        <f t="shared" si="89"/>
        <v>3.8400000000000004E-2</v>
      </c>
      <c r="AY61" s="386">
        <f t="shared" si="90"/>
        <v>0.62080000000000002</v>
      </c>
      <c r="AZ61" s="386">
        <f t="shared" si="36"/>
        <v>0.47314285714285709</v>
      </c>
      <c r="BA61" s="386">
        <f t="shared" si="57"/>
        <v>0.65920000000000001</v>
      </c>
      <c r="BB61" s="386" t="e">
        <f t="shared" si="58"/>
        <v>#VALUE!</v>
      </c>
      <c r="BC61">
        <f t="shared" si="91"/>
        <v>133.12</v>
      </c>
      <c r="BD61" s="604" t="e">
        <f t="shared" si="51"/>
        <v>#VALUE!</v>
      </c>
      <c r="BE61" s="614">
        <f t="shared" si="92"/>
        <v>66.843007172311019</v>
      </c>
      <c r="BF61" s="614">
        <f t="shared" si="93"/>
        <v>8.1394373679247227</v>
      </c>
      <c r="BG61" s="9"/>
      <c r="BH61" s="4" t="e">
        <f t="shared" si="52"/>
        <v>#VALUE!</v>
      </c>
      <c r="BI61" s="386">
        <f t="shared" si="53"/>
        <v>0.80297761976900772</v>
      </c>
      <c r="BJ61" s="386">
        <f t="shared" si="54"/>
        <v>1.9988528673399271</v>
      </c>
      <c r="BK61" s="386">
        <f t="shared" si="94"/>
        <v>1.3368601434462204</v>
      </c>
      <c r="BL61" s="386">
        <f t="shared" si="95"/>
        <v>0.16278874735849447</v>
      </c>
      <c r="BM61" s="386">
        <f t="shared" si="55"/>
        <v>5.4595328447259506E-2</v>
      </c>
      <c r="BS61" s="18"/>
      <c r="BT61" s="19"/>
    </row>
    <row r="62" spans="1:74" ht="15.75" x14ac:dyDescent="0.3">
      <c r="A62" s="488" t="s">
        <v>678</v>
      </c>
      <c r="B62" s="74">
        <v>30</v>
      </c>
      <c r="C62" s="483" t="s">
        <v>241</v>
      </c>
      <c r="D62" s="76" t="s">
        <v>107</v>
      </c>
      <c r="G62">
        <v>53</v>
      </c>
      <c r="H62" s="610">
        <f t="shared" si="59"/>
        <v>12</v>
      </c>
      <c r="I62" s="4" t="str">
        <f t="shared" si="60"/>
        <v>BUCK-BST</v>
      </c>
      <c r="J62">
        <f t="shared" si="43"/>
        <v>3</v>
      </c>
      <c r="K62" s="386">
        <f t="shared" si="96"/>
        <v>10.6</v>
      </c>
      <c r="L62" s="4">
        <f t="shared" si="61"/>
        <v>12.562962962962963</v>
      </c>
      <c r="M62" s="4">
        <f t="shared" si="56"/>
        <v>11.747186147186147</v>
      </c>
      <c r="N62" s="386">
        <f t="shared" si="62"/>
        <v>0.96250000000000002</v>
      </c>
      <c r="O62" s="386">
        <f t="shared" si="63"/>
        <v>9.765625E-2</v>
      </c>
      <c r="P62" s="4">
        <f t="shared" si="64"/>
        <v>4.6590861111111108</v>
      </c>
      <c r="Q62" s="4">
        <f t="shared" si="65"/>
        <v>11.82392938039372</v>
      </c>
      <c r="R62" s="386">
        <f t="shared" si="7"/>
        <v>0.32856958401275022</v>
      </c>
      <c r="S62" s="386">
        <f t="shared" si="45"/>
        <v>0.48670756231242573</v>
      </c>
      <c r="T62" s="386">
        <f t="shared" si="46"/>
        <v>0.81527714632517601</v>
      </c>
      <c r="U62" s="4">
        <f t="shared" si="66"/>
        <v>3.515102290727032</v>
      </c>
      <c r="V62" s="386">
        <f t="shared" si="9"/>
        <v>2.4711888228548855E-2</v>
      </c>
      <c r="W62" s="386">
        <f t="shared" si="47"/>
        <v>2.4711888228548855E-2</v>
      </c>
      <c r="X62" s="4">
        <f t="shared" si="67"/>
        <v>1.3449623102138233</v>
      </c>
      <c r="Y62" s="386">
        <f t="shared" si="11"/>
        <v>3.6178472317914094E-3</v>
      </c>
      <c r="Z62" s="603">
        <f t="shared" si="48"/>
        <v>3.6178472317914094E-3</v>
      </c>
      <c r="AA62" s="386">
        <f t="shared" si="68"/>
        <v>11.600112370913381</v>
      </c>
      <c r="AB62" s="386">
        <f t="shared" si="69"/>
        <v>0.25566895333385359</v>
      </c>
      <c r="AC62" s="386">
        <f t="shared" si="70"/>
        <v>0.2204861322746749</v>
      </c>
      <c r="AD62" s="386">
        <f t="shared" si="71"/>
        <v>0</v>
      </c>
      <c r="AE62" s="386">
        <f t="shared" si="72"/>
        <v>0.50181477738903135</v>
      </c>
      <c r="AF62" s="386">
        <f t="shared" si="73"/>
        <v>2.2896940788498723</v>
      </c>
      <c r="AG62" s="386">
        <f t="shared" si="74"/>
        <v>9.961128051968313E-3</v>
      </c>
      <c r="AH62" s="386">
        <f t="shared" si="75"/>
        <v>0</v>
      </c>
      <c r="AI62" s="386">
        <f t="shared" si="76"/>
        <v>9.9810124806499236E-3</v>
      </c>
      <c r="AJ62" s="386">
        <f t="shared" si="77"/>
        <v>3.6949779313730375</v>
      </c>
      <c r="AK62" s="386">
        <f t="shared" si="78"/>
        <v>6.826430956666886E-3</v>
      </c>
      <c r="AL62" s="386">
        <f t="shared" si="79"/>
        <v>1.1262092029730675</v>
      </c>
      <c r="AM62" s="386">
        <f t="shared" si="80"/>
        <v>0</v>
      </c>
      <c r="AN62" s="386">
        <f t="shared" si="81"/>
        <v>1.1345846667080894</v>
      </c>
      <c r="AO62" s="386">
        <f t="shared" si="49"/>
        <v>11.23176050667054</v>
      </c>
      <c r="AP62" s="386">
        <f t="shared" si="82"/>
        <v>6.3076222039602031E-2</v>
      </c>
      <c r="AQ62" s="386">
        <f t="shared" si="83"/>
        <v>0</v>
      </c>
      <c r="AR62" s="386">
        <f t="shared" si="84"/>
        <v>6.3882110476557577E-2</v>
      </c>
      <c r="AS62" s="386">
        <f t="shared" si="85"/>
        <v>0</v>
      </c>
      <c r="AT62" s="386">
        <f t="shared" si="86"/>
        <v>0.13411944444444446</v>
      </c>
      <c r="AU62" s="386">
        <f t="shared" si="87"/>
        <v>0.31105807437499999</v>
      </c>
      <c r="AV62" s="386">
        <f t="shared" si="88"/>
        <v>5.6686682664161811E-2</v>
      </c>
      <c r="AW62" s="386" t="e">
        <f t="shared" si="33"/>
        <v>#VALUE!</v>
      </c>
      <c r="AX62" s="386">
        <f t="shared" si="89"/>
        <v>3.8400000000000004E-2</v>
      </c>
      <c r="AY62" s="386">
        <f t="shared" si="90"/>
        <v>0.62080000000000002</v>
      </c>
      <c r="AZ62" s="386">
        <f t="shared" si="36"/>
        <v>0.47314285714285709</v>
      </c>
      <c r="BA62" s="386">
        <f t="shared" si="57"/>
        <v>0.65920000000000001</v>
      </c>
      <c r="BB62" s="386" t="e">
        <f t="shared" si="58"/>
        <v>#VALUE!</v>
      </c>
      <c r="BC62">
        <f t="shared" si="91"/>
        <v>135.68</v>
      </c>
      <c r="BD62" s="604" t="e">
        <f t="shared" si="51"/>
        <v>#VALUE!</v>
      </c>
      <c r="BE62" s="614">
        <f t="shared" si="92"/>
        <v>66.99414978977947</v>
      </c>
      <c r="BF62" s="614">
        <f t="shared" si="93"/>
        <v>8.326563751015378</v>
      </c>
      <c r="BG62" s="9"/>
      <c r="BH62" s="4" t="e">
        <f t="shared" si="52"/>
        <v>#VALUE!</v>
      </c>
      <c r="BI62" s="386">
        <f t="shared" si="53"/>
        <v>0.81527714632517601</v>
      </c>
      <c r="BJ62" s="386">
        <f t="shared" si="54"/>
        <v>2.0213206414293285</v>
      </c>
      <c r="BK62" s="386">
        <f t="shared" si="94"/>
        <v>1.3398829957955893</v>
      </c>
      <c r="BL62" s="386">
        <f t="shared" si="95"/>
        <v>0.16653127502030757</v>
      </c>
      <c r="BM62" s="386">
        <f t="shared" si="55"/>
        <v>5.6686682664161811E-2</v>
      </c>
      <c r="BS62" s="18"/>
      <c r="BT62" s="19"/>
    </row>
    <row r="63" spans="1:74" x14ac:dyDescent="0.2">
      <c r="A63" s="23" t="s">
        <v>122</v>
      </c>
      <c r="B63" s="74">
        <v>2</v>
      </c>
      <c r="C63" s="483" t="s">
        <v>241</v>
      </c>
      <c r="D63" s="21" t="s">
        <v>107</v>
      </c>
      <c r="G63">
        <v>54</v>
      </c>
      <c r="H63" s="610">
        <f t="shared" si="59"/>
        <v>12</v>
      </c>
      <c r="I63" s="4" t="str">
        <f t="shared" si="60"/>
        <v>BUCK-BST</v>
      </c>
      <c r="J63">
        <f t="shared" si="43"/>
        <v>3</v>
      </c>
      <c r="K63" s="386">
        <f t="shared" si="96"/>
        <v>10.8</v>
      </c>
      <c r="L63" s="4">
        <f t="shared" si="61"/>
        <v>12.8</v>
      </c>
      <c r="M63" s="4">
        <f t="shared" si="56"/>
        <v>11.968831168831169</v>
      </c>
      <c r="N63" s="386">
        <f t="shared" si="62"/>
        <v>0.96250000000000002</v>
      </c>
      <c r="O63" s="386">
        <f t="shared" si="63"/>
        <v>9.765625E-2</v>
      </c>
      <c r="P63" s="4">
        <f t="shared" si="64"/>
        <v>4.65855</v>
      </c>
      <c r="Q63" s="4">
        <f t="shared" si="65"/>
        <v>12.044144921490254</v>
      </c>
      <c r="R63" s="386">
        <f t="shared" si="7"/>
        <v>0.34125973141753863</v>
      </c>
      <c r="S63" s="386">
        <f t="shared" si="45"/>
        <v>0.48657853785054855</v>
      </c>
      <c r="T63" s="386">
        <f t="shared" si="46"/>
        <v>0.82783826926808723</v>
      </c>
      <c r="U63" s="4">
        <f t="shared" si="66"/>
        <v>3.5803774278945717</v>
      </c>
      <c r="V63" s="386">
        <f t="shared" si="9"/>
        <v>2.5638205052353896E-2</v>
      </c>
      <c r="W63" s="386">
        <f t="shared" si="47"/>
        <v>2.5638205052353896E-2</v>
      </c>
      <c r="X63" s="4">
        <f t="shared" si="67"/>
        <v>1.3448075482666657</v>
      </c>
      <c r="Y63" s="386">
        <f t="shared" si="11"/>
        <v>3.6170146837500011E-3</v>
      </c>
      <c r="Z63" s="603">
        <f t="shared" si="48"/>
        <v>3.6170146837500011E-3</v>
      </c>
      <c r="AA63" s="386">
        <f t="shared" si="68"/>
        <v>11.816159417572605</v>
      </c>
      <c r="AB63" s="386">
        <f t="shared" si="69"/>
        <v>0.26528108442483056</v>
      </c>
      <c r="AC63" s="386">
        <f t="shared" si="70"/>
        <v>0.22464624797797073</v>
      </c>
      <c r="AD63" s="386">
        <f t="shared" si="71"/>
        <v>0</v>
      </c>
      <c r="AE63" s="386">
        <f t="shared" si="72"/>
        <v>0.51737742106627815</v>
      </c>
      <c r="AF63" s="386">
        <f t="shared" si="73"/>
        <v>2.332338635012019</v>
      </c>
      <c r="AG63" s="386">
        <f t="shared" si="74"/>
        <v>1.0335626665902483E-2</v>
      </c>
      <c r="AH63" s="386">
        <f t="shared" si="75"/>
        <v>0</v>
      </c>
      <c r="AI63" s="386">
        <f t="shared" si="76"/>
        <v>1.0357035957306493E-2</v>
      </c>
      <c r="AJ63" s="386">
        <f t="shared" si="77"/>
        <v>3.7637952879657046</v>
      </c>
      <c r="AK63" s="386">
        <f t="shared" si="78"/>
        <v>7.0830774848564216E-3</v>
      </c>
      <c r="AL63" s="386">
        <f t="shared" si="79"/>
        <v>1.1262092029730675</v>
      </c>
      <c r="AM63" s="386">
        <f t="shared" si="80"/>
        <v>0</v>
      </c>
      <c r="AN63" s="386">
        <f t="shared" si="81"/>
        <v>1.1348999973817275</v>
      </c>
      <c r="AO63" s="386">
        <f t="shared" si="49"/>
        <v>11.440947160097657</v>
      </c>
      <c r="AP63" s="386">
        <f t="shared" si="82"/>
        <v>6.544763596007333E-2</v>
      </c>
      <c r="AQ63" s="386">
        <f t="shared" si="83"/>
        <v>0</v>
      </c>
      <c r="AR63" s="386">
        <f t="shared" si="84"/>
        <v>6.6315676815000127E-2</v>
      </c>
      <c r="AS63" s="386">
        <f t="shared" si="85"/>
        <v>0</v>
      </c>
      <c r="AT63" s="386">
        <f t="shared" si="86"/>
        <v>0.13665000000000002</v>
      </c>
      <c r="AU63" s="386">
        <f t="shared" si="87"/>
        <v>0.31516909750000005</v>
      </c>
      <c r="AV63" s="386">
        <f t="shared" si="88"/>
        <v>5.8817875434247713E-2</v>
      </c>
      <c r="AW63" s="386" t="e">
        <f t="shared" si="33"/>
        <v>#VALUE!</v>
      </c>
      <c r="AX63" s="386">
        <f t="shared" si="89"/>
        <v>3.8400000000000004E-2</v>
      </c>
      <c r="AY63" s="386">
        <f t="shared" si="90"/>
        <v>0.62080000000000002</v>
      </c>
      <c r="AZ63" s="386">
        <f t="shared" si="36"/>
        <v>0.47314285714285709</v>
      </c>
      <c r="BA63" s="386">
        <f t="shared" si="57"/>
        <v>0.65920000000000001</v>
      </c>
      <c r="BB63" s="386" t="e">
        <f t="shared" si="58"/>
        <v>#VALUE!</v>
      </c>
      <c r="BC63">
        <f t="shared" si="91"/>
        <v>138.24</v>
      </c>
      <c r="BD63" s="604" t="e">
        <f t="shared" si="51"/>
        <v>#VALUE!</v>
      </c>
      <c r="BE63" s="614">
        <f t="shared" si="92"/>
        <v>67.145580086586378</v>
      </c>
      <c r="BF63" s="614">
        <f t="shared" si="93"/>
        <v>8.516073949500008</v>
      </c>
      <c r="BG63" s="9"/>
      <c r="BH63" s="4" t="e">
        <f t="shared" si="52"/>
        <v>#VALUE!</v>
      </c>
      <c r="BI63" s="386">
        <f t="shared" si="53"/>
        <v>0.82783826926808723</v>
      </c>
      <c r="BJ63" s="386">
        <f t="shared" si="54"/>
        <v>2.0441192287203123</v>
      </c>
      <c r="BK63" s="386">
        <f t="shared" si="94"/>
        <v>1.3429116017317275</v>
      </c>
      <c r="BL63" s="386">
        <f t="shared" si="95"/>
        <v>0.17032147899000016</v>
      </c>
      <c r="BM63" s="386">
        <f t="shared" si="55"/>
        <v>5.8817875434247713E-2</v>
      </c>
      <c r="BS63" s="18"/>
      <c r="BT63" s="19"/>
    </row>
    <row r="64" spans="1:74" x14ac:dyDescent="0.2">
      <c r="A64" s="75"/>
      <c r="B64" s="30"/>
      <c r="G64">
        <v>55</v>
      </c>
      <c r="H64" s="610">
        <f t="shared" si="59"/>
        <v>12</v>
      </c>
      <c r="I64" s="4" t="str">
        <f t="shared" si="60"/>
        <v>BUCK-BST</v>
      </c>
      <c r="J64">
        <f t="shared" si="43"/>
        <v>3</v>
      </c>
      <c r="K64" s="386">
        <f t="shared" si="96"/>
        <v>11</v>
      </c>
      <c r="L64" s="4">
        <f t="shared" si="61"/>
        <v>13.037037037037038</v>
      </c>
      <c r="M64" s="4">
        <f t="shared" si="56"/>
        <v>12.19047619047619</v>
      </c>
      <c r="N64" s="386">
        <f t="shared" si="62"/>
        <v>0.96250000000000002</v>
      </c>
      <c r="O64" s="386">
        <f t="shared" si="63"/>
        <v>9.765625E-2</v>
      </c>
      <c r="P64" s="4">
        <f t="shared" si="64"/>
        <v>4.6580138888888882</v>
      </c>
      <c r="Q64" s="4">
        <f t="shared" si="65"/>
        <v>12.264411965778208</v>
      </c>
      <c r="R64" s="386">
        <f t="shared" si="7"/>
        <v>0.35421293757944827</v>
      </c>
      <c r="S64" s="386">
        <f t="shared" si="45"/>
        <v>0.48644953274937369</v>
      </c>
      <c r="T64" s="386">
        <f t="shared" si="46"/>
        <v>0.84066247032882191</v>
      </c>
      <c r="U64" s="4">
        <f t="shared" si="66"/>
        <v>3.6456712621850227</v>
      </c>
      <c r="V64" s="386">
        <f t="shared" si="9"/>
        <v>2.6581837903843473E-2</v>
      </c>
      <c r="W64" s="386">
        <f t="shared" si="47"/>
        <v>2.6581837903843473E-2</v>
      </c>
      <c r="X64" s="4">
        <f t="shared" si="67"/>
        <v>1.3446527863195077</v>
      </c>
      <c r="Y64" s="386">
        <f t="shared" si="11"/>
        <v>3.6161822315136311E-3</v>
      </c>
      <c r="Z64" s="603">
        <f t="shared" si="48"/>
        <v>3.6161822315136311E-3</v>
      </c>
      <c r="AA64" s="386">
        <f t="shared" si="68"/>
        <v>12.032256992511279</v>
      </c>
      <c r="AB64" s="386">
        <f t="shared" si="69"/>
        <v>0.27507289583428945</v>
      </c>
      <c r="AC64" s="386">
        <f t="shared" si="70"/>
        <v>0.22880636368126642</v>
      </c>
      <c r="AD64" s="386">
        <f t="shared" si="71"/>
        <v>0</v>
      </c>
      <c r="AE64" s="386">
        <f t="shared" si="72"/>
        <v>0.53321379188190343</v>
      </c>
      <c r="AF64" s="386">
        <f t="shared" si="73"/>
        <v>2.3749931647242977</v>
      </c>
      <c r="AG64" s="386">
        <f t="shared" si="74"/>
        <v>1.0717125811725558E-2</v>
      </c>
      <c r="AH64" s="386">
        <f t="shared" si="75"/>
        <v>0</v>
      </c>
      <c r="AI64" s="386">
        <f t="shared" si="76"/>
        <v>1.0740146512006665E-2</v>
      </c>
      <c r="AJ64" s="386">
        <f t="shared" si="77"/>
        <v>3.8326287393056901</v>
      </c>
      <c r="AK64" s="386">
        <f t="shared" si="78"/>
        <v>7.3445215266759621E-3</v>
      </c>
      <c r="AL64" s="386">
        <f t="shared" si="79"/>
        <v>1.1262092029730675</v>
      </c>
      <c r="AM64" s="386">
        <f t="shared" si="80"/>
        <v>0</v>
      </c>
      <c r="AN64" s="386">
        <f t="shared" si="81"/>
        <v>1.1352212558900283</v>
      </c>
      <c r="AO64" s="386">
        <f t="shared" si="49"/>
        <v>11.65018273732098</v>
      </c>
      <c r="AP64" s="386">
        <f t="shared" si="82"/>
        <v>6.7863378906485888E-2</v>
      </c>
      <c r="AQ64" s="386">
        <f t="shared" si="83"/>
        <v>0</v>
      </c>
      <c r="AR64" s="386">
        <f t="shared" si="84"/>
        <v>6.8797140184895939E-2</v>
      </c>
      <c r="AS64" s="386">
        <f t="shared" si="85"/>
        <v>0</v>
      </c>
      <c r="AT64" s="386">
        <f t="shared" si="86"/>
        <v>0.13918055555555556</v>
      </c>
      <c r="AU64" s="386">
        <f t="shared" si="87"/>
        <v>0.31927985937500003</v>
      </c>
      <c r="AV64" s="386">
        <f t="shared" si="88"/>
        <v>6.0988906757517169E-2</v>
      </c>
      <c r="AW64" s="386" t="e">
        <f t="shared" si="33"/>
        <v>#VALUE!</v>
      </c>
      <c r="AX64" s="386">
        <f t="shared" si="89"/>
        <v>3.8400000000000004E-2</v>
      </c>
      <c r="AY64" s="386">
        <f t="shared" si="90"/>
        <v>0.62080000000000002</v>
      </c>
      <c r="AZ64" s="386">
        <f t="shared" si="36"/>
        <v>0.47314285714285709</v>
      </c>
      <c r="BA64" s="386">
        <f t="shared" si="57"/>
        <v>0.65920000000000001</v>
      </c>
      <c r="BB64" s="386" t="e">
        <f t="shared" si="58"/>
        <v>#VALUE!</v>
      </c>
      <c r="BC64">
        <f t="shared" si="91"/>
        <v>140.80000000000001</v>
      </c>
      <c r="BD64" s="604" t="e">
        <f t="shared" si="51"/>
        <v>#VALUE!</v>
      </c>
      <c r="BE64" s="614">
        <f t="shared" si="92"/>
        <v>67.297298153876412</v>
      </c>
      <c r="BF64" s="614">
        <f t="shared" si="93"/>
        <v>8.707974688932298</v>
      </c>
      <c r="BG64" s="9"/>
      <c r="BH64" s="4" t="e">
        <f t="shared" si="52"/>
        <v>#VALUE!</v>
      </c>
      <c r="BI64" s="386">
        <f t="shared" si="53"/>
        <v>0.84066247032882191</v>
      </c>
      <c r="BJ64" s="386">
        <f t="shared" si="54"/>
        <v>2.0672521938438342</v>
      </c>
      <c r="BK64" s="386">
        <f t="shared" si="94"/>
        <v>1.3459459630775283</v>
      </c>
      <c r="BL64" s="386">
        <f t="shared" si="95"/>
        <v>0.17415949377864595</v>
      </c>
      <c r="BM64" s="386">
        <f t="shared" si="55"/>
        <v>6.0988906757517169E-2</v>
      </c>
      <c r="BS64" s="18"/>
      <c r="BT64" s="19"/>
    </row>
    <row r="65" spans="1:72" x14ac:dyDescent="0.2">
      <c r="G65">
        <v>56</v>
      </c>
      <c r="H65" s="610">
        <f t="shared" si="59"/>
        <v>12</v>
      </c>
      <c r="I65" s="4" t="str">
        <f t="shared" si="60"/>
        <v>BUCK-BST</v>
      </c>
      <c r="J65">
        <f t="shared" si="43"/>
        <v>3</v>
      </c>
      <c r="K65" s="386">
        <f t="shared" si="96"/>
        <v>11.2</v>
      </c>
      <c r="L65" s="4">
        <f t="shared" si="61"/>
        <v>13.274074074074072</v>
      </c>
      <c r="M65" s="4">
        <f t="shared" si="56"/>
        <v>12.412121212121212</v>
      </c>
      <c r="N65" s="386">
        <f t="shared" si="62"/>
        <v>0.96250000000000002</v>
      </c>
      <c r="O65" s="386">
        <f t="shared" si="63"/>
        <v>9.765625E-2</v>
      </c>
      <c r="P65" s="4">
        <f t="shared" si="64"/>
        <v>4.6574777777777774</v>
      </c>
      <c r="Q65" s="4">
        <f t="shared" si="65"/>
        <v>12.484727787257938</v>
      </c>
      <c r="R65" s="386">
        <f t="shared" si="7"/>
        <v>0.36743071940546518</v>
      </c>
      <c r="S65" s="386">
        <f t="shared" si="45"/>
        <v>0.48632054700822358</v>
      </c>
      <c r="T65" s="386">
        <f t="shared" si="46"/>
        <v>0.85375126641368881</v>
      </c>
      <c r="U65" s="4">
        <f t="shared" si="66"/>
        <v>3.7109828066846098</v>
      </c>
      <c r="V65" s="386">
        <f t="shared" si="9"/>
        <v>2.7542786783017571E-2</v>
      </c>
      <c r="W65" s="386">
        <f t="shared" si="47"/>
        <v>2.7542786783017571E-2</v>
      </c>
      <c r="X65" s="4">
        <f t="shared" si="67"/>
        <v>1.3444980243723499</v>
      </c>
      <c r="Y65" s="386">
        <f t="shared" si="11"/>
        <v>3.6153498750823043E-3</v>
      </c>
      <c r="Z65" s="603">
        <f t="shared" si="48"/>
        <v>3.6153498750823043E-3</v>
      </c>
      <c r="AA65" s="386">
        <f t="shared" si="68"/>
        <v>12.248402421330633</v>
      </c>
      <c r="AB65" s="386">
        <f t="shared" si="69"/>
        <v>0.28504438756223044</v>
      </c>
      <c r="AC65" s="386">
        <f t="shared" si="70"/>
        <v>0.23296647938456211</v>
      </c>
      <c r="AD65" s="386">
        <f t="shared" si="71"/>
        <v>0</v>
      </c>
      <c r="AE65" s="386">
        <f t="shared" si="72"/>
        <v>0.54932740573454286</v>
      </c>
      <c r="AF65" s="386">
        <f t="shared" si="73"/>
        <v>2.417657140099148</v>
      </c>
      <c r="AG65" s="386">
        <f t="shared" si="74"/>
        <v>1.1105625489437543E-2</v>
      </c>
      <c r="AH65" s="386">
        <f t="shared" si="75"/>
        <v>0</v>
      </c>
      <c r="AI65" s="386">
        <f t="shared" si="76"/>
        <v>1.1130347383358928E-2</v>
      </c>
      <c r="AJ65" s="386">
        <f t="shared" si="77"/>
        <v>3.9014774335181057</v>
      </c>
      <c r="AK65" s="386">
        <f t="shared" si="78"/>
        <v>7.6107630821255125E-3</v>
      </c>
      <c r="AL65" s="386">
        <f t="shared" si="79"/>
        <v>1.1262092029730675</v>
      </c>
      <c r="AM65" s="386">
        <f t="shared" si="80"/>
        <v>0</v>
      </c>
      <c r="AN65" s="386">
        <f t="shared" si="81"/>
        <v>1.1355484440904429</v>
      </c>
      <c r="AO65" s="386">
        <f t="shared" si="49"/>
        <v>11.859464648865035</v>
      </c>
      <c r="AP65" s="386">
        <f t="shared" si="82"/>
        <v>7.0323450878839733E-2</v>
      </c>
      <c r="AQ65" s="386">
        <f t="shared" si="83"/>
        <v>0</v>
      </c>
      <c r="AR65" s="386">
        <f t="shared" si="84"/>
        <v>7.1326637942784168E-2</v>
      </c>
      <c r="AS65" s="386">
        <f t="shared" si="85"/>
        <v>0</v>
      </c>
      <c r="AT65" s="386">
        <f t="shared" si="86"/>
        <v>0.14171111111111109</v>
      </c>
      <c r="AU65" s="386">
        <f t="shared" si="87"/>
        <v>0.32339035999999999</v>
      </c>
      <c r="AV65" s="386">
        <f t="shared" si="88"/>
        <v>6.319977663397025E-2</v>
      </c>
      <c r="AW65" s="386" t="e">
        <f t="shared" si="33"/>
        <v>#VALUE!</v>
      </c>
      <c r="AX65" s="386">
        <f t="shared" si="89"/>
        <v>3.8400000000000004E-2</v>
      </c>
      <c r="AY65" s="386">
        <f t="shared" si="90"/>
        <v>0.62080000000000002</v>
      </c>
      <c r="AZ65" s="386">
        <f t="shared" si="36"/>
        <v>0.47314285714285709</v>
      </c>
      <c r="BA65" s="386">
        <f t="shared" si="57"/>
        <v>0.65920000000000001</v>
      </c>
      <c r="BB65" s="386" t="e">
        <f t="shared" si="58"/>
        <v>#VALUE!</v>
      </c>
      <c r="BC65">
        <f t="shared" si="91"/>
        <v>143.35999999999999</v>
      </c>
      <c r="BD65" s="604" t="e">
        <f t="shared" si="51"/>
        <v>#VALUE!</v>
      </c>
      <c r="BE65" s="614">
        <f t="shared" si="92"/>
        <v>67.44930408452214</v>
      </c>
      <c r="BF65" s="614">
        <f t="shared" si="93"/>
        <v>8.9022728371392077</v>
      </c>
      <c r="BG65" s="9"/>
      <c r="BH65" s="4" t="e">
        <f t="shared" si="52"/>
        <v>#VALUE!</v>
      </c>
      <c r="BI65" s="386">
        <f t="shared" si="53"/>
        <v>0.85375126641368881</v>
      </c>
      <c r="BJ65" s="386">
        <f t="shared" si="54"/>
        <v>2.0907231951511287</v>
      </c>
      <c r="BK65" s="386">
        <f t="shared" si="94"/>
        <v>1.3489860816904429</v>
      </c>
      <c r="BL65" s="386">
        <f t="shared" si="95"/>
        <v>0.17804545674278416</v>
      </c>
      <c r="BM65" s="386">
        <f t="shared" si="55"/>
        <v>6.319977663397025E-2</v>
      </c>
      <c r="BS65" s="18"/>
      <c r="BT65" s="19"/>
    </row>
    <row r="66" spans="1:72" x14ac:dyDescent="0.2">
      <c r="A66" s="11" t="s">
        <v>81</v>
      </c>
      <c r="B66" s="31"/>
      <c r="C66" s="31"/>
      <c r="G66">
        <v>57</v>
      </c>
      <c r="H66" s="610">
        <f t="shared" si="59"/>
        <v>12</v>
      </c>
      <c r="I66" s="4" t="str">
        <f t="shared" si="60"/>
        <v>BUCK-BST</v>
      </c>
      <c r="J66">
        <f t="shared" si="43"/>
        <v>3</v>
      </c>
      <c r="K66" s="386">
        <f t="shared" si="96"/>
        <v>11.4</v>
      </c>
      <c r="L66" s="4">
        <f t="shared" si="61"/>
        <v>13.511111111111111</v>
      </c>
      <c r="M66" s="4">
        <f t="shared" si="56"/>
        <v>12.633766233766234</v>
      </c>
      <c r="N66" s="386">
        <f t="shared" si="62"/>
        <v>0.96250000000000002</v>
      </c>
      <c r="O66" s="386">
        <f t="shared" si="63"/>
        <v>9.765625E-2</v>
      </c>
      <c r="P66" s="4">
        <f t="shared" si="64"/>
        <v>4.6569416666666665</v>
      </c>
      <c r="Q66" s="4">
        <f t="shared" si="65"/>
        <v>12.705089848430033</v>
      </c>
      <c r="R66" s="386">
        <f t="shared" si="7"/>
        <v>0.38091462943694465</v>
      </c>
      <c r="S66" s="386">
        <f t="shared" si="45"/>
        <v>0.48619158062642148</v>
      </c>
      <c r="T66" s="386">
        <f t="shared" si="46"/>
        <v>0.86710621006336619</v>
      </c>
      <c r="U66" s="4">
        <f t="shared" si="66"/>
        <v>3.7763111424958216</v>
      </c>
      <c r="V66" s="386">
        <f t="shared" si="9"/>
        <v>2.8521051689876196E-2</v>
      </c>
      <c r="W66" s="386">
        <f t="shared" si="47"/>
        <v>2.8521051689876196E-2</v>
      </c>
      <c r="X66" s="4">
        <f t="shared" si="67"/>
        <v>1.3443432624251923</v>
      </c>
      <c r="Y66" s="386">
        <f t="shared" si="11"/>
        <v>3.6145176144560193E-3</v>
      </c>
      <c r="Z66" s="603">
        <f t="shared" si="48"/>
        <v>3.6145176144560193E-3</v>
      </c>
      <c r="AA66" s="386">
        <f t="shared" si="68"/>
        <v>12.46459321456398</v>
      </c>
      <c r="AB66" s="386">
        <f t="shared" si="69"/>
        <v>0.2951955596086534</v>
      </c>
      <c r="AC66" s="386">
        <f t="shared" si="70"/>
        <v>0.23712659508785794</v>
      </c>
      <c r="AD66" s="386">
        <f t="shared" si="71"/>
        <v>0</v>
      </c>
      <c r="AE66" s="386">
        <f t="shared" si="72"/>
        <v>0.56572187158987708</v>
      </c>
      <c r="AF66" s="386">
        <f t="shared" si="73"/>
        <v>2.460330069751921</v>
      </c>
      <c r="AG66" s="386">
        <f t="shared" si="74"/>
        <v>1.1501125699038436E-2</v>
      </c>
      <c r="AH66" s="386">
        <f t="shared" si="75"/>
        <v>0</v>
      </c>
      <c r="AI66" s="386">
        <f t="shared" si="76"/>
        <v>1.1527641870672055E-2</v>
      </c>
      <c r="AJ66" s="386">
        <f t="shared" si="77"/>
        <v>3.9703405776343854</v>
      </c>
      <c r="AK66" s="386">
        <f t="shared" si="78"/>
        <v>7.881802151205073E-3</v>
      </c>
      <c r="AL66" s="386">
        <f t="shared" si="79"/>
        <v>1.1262092029730675</v>
      </c>
      <c r="AM66" s="386">
        <f t="shared" si="80"/>
        <v>0</v>
      </c>
      <c r="AN66" s="386">
        <f t="shared" si="81"/>
        <v>1.1358815638750053</v>
      </c>
      <c r="AO66" s="386">
        <f t="shared" si="49"/>
        <v>12.068790484314066</v>
      </c>
      <c r="AP66" s="386">
        <f t="shared" si="82"/>
        <v>7.2827851877134878E-2</v>
      </c>
      <c r="AQ66" s="386">
        <f t="shared" si="83"/>
        <v>0</v>
      </c>
      <c r="AR66" s="386">
        <f t="shared" si="84"/>
        <v>7.3904310310002608E-2</v>
      </c>
      <c r="AS66" s="386">
        <f t="shared" si="85"/>
        <v>0</v>
      </c>
      <c r="AT66" s="386">
        <f t="shared" si="86"/>
        <v>0.14424166666666666</v>
      </c>
      <c r="AU66" s="386">
        <f t="shared" si="87"/>
        <v>0.32750059937499998</v>
      </c>
      <c r="AV66" s="386">
        <f t="shared" si="88"/>
        <v>6.5450485063606914E-2</v>
      </c>
      <c r="AW66" s="386" t="e">
        <f t="shared" si="33"/>
        <v>#VALUE!</v>
      </c>
      <c r="AX66" s="386">
        <f t="shared" si="89"/>
        <v>3.8400000000000004E-2</v>
      </c>
      <c r="AY66" s="386">
        <f t="shared" si="90"/>
        <v>0.62080000000000002</v>
      </c>
      <c r="AZ66" s="386">
        <f t="shared" si="36"/>
        <v>0.47314285714285709</v>
      </c>
      <c r="BA66" s="386">
        <f t="shared" si="57"/>
        <v>0.65920000000000001</v>
      </c>
      <c r="BB66" s="386" t="e">
        <f t="shared" si="58"/>
        <v>#VALUE!</v>
      </c>
      <c r="BC66">
        <f t="shared" si="91"/>
        <v>145.92000000000002</v>
      </c>
      <c r="BD66" s="604" t="e">
        <f t="shared" si="51"/>
        <v>#VALUE!</v>
      </c>
      <c r="BE66" s="614">
        <f t="shared" si="92"/>
        <v>67.601597973125266</v>
      </c>
      <c r="BF66" s="614">
        <f t="shared" si="93"/>
        <v>9.0989754051876304</v>
      </c>
      <c r="BG66" s="9"/>
      <c r="BH66" s="4" t="e">
        <f t="shared" si="52"/>
        <v>#VALUE!</v>
      </c>
      <c r="BI66" s="386">
        <f t="shared" si="53"/>
        <v>0.86710621006336619</v>
      </c>
      <c r="BJ66" s="386">
        <f t="shared" si="54"/>
        <v>2.1145359870205569</v>
      </c>
      <c r="BK66" s="386">
        <f t="shared" si="94"/>
        <v>1.3520319594625052</v>
      </c>
      <c r="BL66" s="386">
        <f t="shared" si="95"/>
        <v>0.1819795081037526</v>
      </c>
      <c r="BM66" s="386">
        <f t="shared" si="55"/>
        <v>6.5450485063606914E-2</v>
      </c>
      <c r="BS66" s="18"/>
      <c r="BT66" s="19"/>
    </row>
    <row r="67" spans="1:72" x14ac:dyDescent="0.2">
      <c r="A67" s="14" t="s">
        <v>59</v>
      </c>
      <c r="B67" s="15" t="s">
        <v>8</v>
      </c>
      <c r="C67" s="15" t="s">
        <v>80</v>
      </c>
      <c r="G67">
        <v>58</v>
      </c>
      <c r="H67" s="610">
        <f t="shared" si="59"/>
        <v>12</v>
      </c>
      <c r="I67" s="4" t="str">
        <f t="shared" si="60"/>
        <v>BUCK-BST</v>
      </c>
      <c r="J67">
        <f t="shared" si="43"/>
        <v>3</v>
      </c>
      <c r="K67" s="386">
        <f t="shared" si="96"/>
        <v>11.6</v>
      </c>
      <c r="L67" s="4">
        <f t="shared" si="61"/>
        <v>13.748148148148147</v>
      </c>
      <c r="M67" s="4">
        <f t="shared" si="56"/>
        <v>12.855411255411255</v>
      </c>
      <c r="N67" s="386">
        <f t="shared" si="62"/>
        <v>0.96250000000000002</v>
      </c>
      <c r="O67" s="386">
        <f t="shared" si="63"/>
        <v>9.765625E-2</v>
      </c>
      <c r="P67" s="4">
        <f t="shared" si="64"/>
        <v>4.6564055555555557</v>
      </c>
      <c r="Q67" s="4">
        <f t="shared" si="65"/>
        <v>12.925495784323777</v>
      </c>
      <c r="R67" s="386">
        <f t="shared" si="7"/>
        <v>0.39466625632148972</v>
      </c>
      <c r="S67" s="386">
        <f t="shared" si="45"/>
        <v>0.48606263360328944</v>
      </c>
      <c r="T67" s="386">
        <f t="shared" si="46"/>
        <v>0.88072888992477916</v>
      </c>
      <c r="U67" s="4">
        <f t="shared" si="66"/>
        <v>3.8416554129970684</v>
      </c>
      <c r="V67" s="386">
        <f t="shared" si="9"/>
        <v>2.9516632624419351E-2</v>
      </c>
      <c r="W67" s="386">
        <f t="shared" si="47"/>
        <v>2.9516632624419351E-2</v>
      </c>
      <c r="X67" s="4">
        <f t="shared" si="67"/>
        <v>1.3441885004780345</v>
      </c>
      <c r="Y67" s="386">
        <f t="shared" si="11"/>
        <v>3.613685449634774E-3</v>
      </c>
      <c r="Z67" s="603">
        <f t="shared" si="48"/>
        <v>3.613685449634774E-3</v>
      </c>
      <c r="AA67" s="386">
        <f t="shared" si="68"/>
        <v>12.680827052007503</v>
      </c>
      <c r="AB67" s="386">
        <f t="shared" si="69"/>
        <v>0.30552641197355807</v>
      </c>
      <c r="AC67" s="386">
        <f t="shared" si="70"/>
        <v>0.24128671079115369</v>
      </c>
      <c r="AD67" s="386">
        <f t="shared" si="71"/>
        <v>0</v>
      </c>
      <c r="AE67" s="386">
        <f t="shared" si="72"/>
        <v>0.58240089385037108</v>
      </c>
      <c r="AF67" s="386">
        <f t="shared" si="73"/>
        <v>2.5030114957080074</v>
      </c>
      <c r="AG67" s="386">
        <f t="shared" si="74"/>
        <v>1.1903626440528229E-2</v>
      </c>
      <c r="AH67" s="386">
        <f t="shared" si="75"/>
        <v>0</v>
      </c>
      <c r="AI67" s="386">
        <f t="shared" si="76"/>
        <v>1.1932033334025061E-2</v>
      </c>
      <c r="AJ67" s="386">
        <f t="shared" si="77"/>
        <v>4.0392174326011805</v>
      </c>
      <c r="AK67" s="386">
        <f t="shared" si="78"/>
        <v>8.1576387339146357E-3</v>
      </c>
      <c r="AL67" s="386">
        <f t="shared" si="79"/>
        <v>1.1262092029730675</v>
      </c>
      <c r="AM67" s="386">
        <f t="shared" si="80"/>
        <v>0</v>
      </c>
      <c r="AN67" s="386">
        <f t="shared" si="81"/>
        <v>1.1362206171703624</v>
      </c>
      <c r="AO67" s="386">
        <f t="shared" si="49"/>
        <v>12.278157997140388</v>
      </c>
      <c r="AP67" s="386">
        <f t="shared" si="82"/>
        <v>7.537658190137124E-2</v>
      </c>
      <c r="AQ67" s="386">
        <f t="shared" si="83"/>
        <v>0</v>
      </c>
      <c r="AR67" s="386">
        <f t="shared" si="84"/>
        <v>7.6530300392465084E-2</v>
      </c>
      <c r="AS67" s="386">
        <f t="shared" si="85"/>
        <v>0</v>
      </c>
      <c r="AT67" s="386">
        <f t="shared" si="86"/>
        <v>0.14677222222222222</v>
      </c>
      <c r="AU67" s="386">
        <f t="shared" si="87"/>
        <v>0.3316105775</v>
      </c>
      <c r="AV67" s="386">
        <f t="shared" si="88"/>
        <v>6.7741032046427133E-2</v>
      </c>
      <c r="AW67" s="386" t="e">
        <f t="shared" si="33"/>
        <v>#VALUE!</v>
      </c>
      <c r="AX67" s="386">
        <f t="shared" si="89"/>
        <v>3.8400000000000004E-2</v>
      </c>
      <c r="AY67" s="386">
        <f t="shared" si="90"/>
        <v>0.62080000000000002</v>
      </c>
      <c r="AZ67" s="386">
        <f t="shared" si="36"/>
        <v>0.47314285714285709</v>
      </c>
      <c r="BA67" s="386">
        <f t="shared" si="57"/>
        <v>0.65920000000000001</v>
      </c>
      <c r="BB67" s="386" t="e">
        <f t="shared" si="58"/>
        <v>#VALUE!</v>
      </c>
      <c r="BC67">
        <f t="shared" si="91"/>
        <v>148.47999999999999</v>
      </c>
      <c r="BD67" s="604" t="e">
        <f t="shared" si="51"/>
        <v>#VALUE!</v>
      </c>
      <c r="BE67" s="614">
        <f t="shared" si="92"/>
        <v>67.754179916018117</v>
      </c>
      <c r="BF67" s="614">
        <f t="shared" si="93"/>
        <v>9.2980895483732553</v>
      </c>
      <c r="BG67" s="9"/>
      <c r="BH67" s="4" t="e">
        <f t="shared" si="52"/>
        <v>#VALUE!</v>
      </c>
      <c r="BI67" s="386">
        <f t="shared" si="53"/>
        <v>0.88072888992477916</v>
      </c>
      <c r="BJ67" s="386">
        <f t="shared" si="54"/>
        <v>2.1386944222472239</v>
      </c>
      <c r="BK67" s="386">
        <f t="shared" si="94"/>
        <v>1.3550835983203624</v>
      </c>
      <c r="BL67" s="386">
        <f t="shared" si="95"/>
        <v>0.1859617909674651</v>
      </c>
      <c r="BM67" s="386">
        <f t="shared" si="55"/>
        <v>6.7741032046427133E-2</v>
      </c>
      <c r="BS67" s="18"/>
      <c r="BT67" s="19"/>
    </row>
    <row r="68" spans="1:72" x14ac:dyDescent="0.2">
      <c r="A68" s="32" t="s">
        <v>244</v>
      </c>
      <c r="B68" s="491" t="e">
        <f>#REF!</f>
        <v>#REF!</v>
      </c>
      <c r="C68" s="21" t="s">
        <v>19</v>
      </c>
      <c r="G68">
        <v>59</v>
      </c>
      <c r="H68" s="610">
        <f t="shared" si="59"/>
        <v>12</v>
      </c>
      <c r="I68" s="4" t="str">
        <f t="shared" si="60"/>
        <v>BUCK-BST</v>
      </c>
      <c r="J68">
        <f t="shared" si="43"/>
        <v>3</v>
      </c>
      <c r="K68" s="386">
        <f t="shared" si="96"/>
        <v>11.8</v>
      </c>
      <c r="L68" s="4">
        <f t="shared" si="61"/>
        <v>13.985185185185186</v>
      </c>
      <c r="M68" s="4">
        <f t="shared" si="56"/>
        <v>13.077056277056277</v>
      </c>
      <c r="N68" s="386">
        <f t="shared" si="62"/>
        <v>0.96250000000000002</v>
      </c>
      <c r="O68" s="386">
        <f t="shared" si="63"/>
        <v>9.765625E-2</v>
      </c>
      <c r="P68" s="4">
        <f t="shared" si="64"/>
        <v>4.6558694444444448</v>
      </c>
      <c r="Q68" s="4">
        <f t="shared" si="65"/>
        <v>13.145943388118111</v>
      </c>
      <c r="R68" s="386">
        <f t="shared" si="7"/>
        <v>0.40868722529784668</v>
      </c>
      <c r="S68" s="386">
        <f t="shared" si="45"/>
        <v>0.48593370593814994</v>
      </c>
      <c r="T68" s="386">
        <f t="shared" si="46"/>
        <v>0.89462093123599662</v>
      </c>
      <c r="U68" s="4">
        <f t="shared" si="66"/>
        <v>3.9070148186721174</v>
      </c>
      <c r="V68" s="386">
        <f t="shared" si="9"/>
        <v>3.0529529586647036E-2</v>
      </c>
      <c r="W68" s="386">
        <f t="shared" si="47"/>
        <v>3.0529529586647036E-2</v>
      </c>
      <c r="X68" s="4">
        <f t="shared" si="67"/>
        <v>1.3440337385308769</v>
      </c>
      <c r="Y68" s="386">
        <f t="shared" si="11"/>
        <v>3.6128533806185715E-3</v>
      </c>
      <c r="Z68" s="603">
        <f t="shared" si="48"/>
        <v>3.6128533806185715E-3</v>
      </c>
      <c r="AA68" s="386">
        <f t="shared" si="68"/>
        <v>12.897101768613407</v>
      </c>
      <c r="AB68" s="386">
        <f t="shared" si="69"/>
        <v>0.31603694465694504</v>
      </c>
      <c r="AC68" s="386">
        <f t="shared" si="70"/>
        <v>0.24544682649444949</v>
      </c>
      <c r="AD68" s="386">
        <f t="shared" si="71"/>
        <v>0</v>
      </c>
      <c r="AE68" s="386">
        <f t="shared" si="72"/>
        <v>0.59936827481047583</v>
      </c>
      <c r="AF68" s="386">
        <f t="shared" si="73"/>
        <v>2.545700990618347</v>
      </c>
      <c r="AG68" s="386">
        <f t="shared" si="74"/>
        <v>1.2313127713906942E-2</v>
      </c>
      <c r="AH68" s="386">
        <f t="shared" si="75"/>
        <v>0</v>
      </c>
      <c r="AI68" s="386">
        <f t="shared" si="76"/>
        <v>1.2343525194338486E-2</v>
      </c>
      <c r="AJ68" s="386">
        <f t="shared" si="77"/>
        <v>4.1081073087869093</v>
      </c>
      <c r="AK68" s="386">
        <f t="shared" si="78"/>
        <v>8.438272830254211E-3</v>
      </c>
      <c r="AL68" s="386">
        <f t="shared" si="79"/>
        <v>1.1262092029730675</v>
      </c>
      <c r="AM68" s="386">
        <f t="shared" si="80"/>
        <v>0</v>
      </c>
      <c r="AN68" s="386">
        <f t="shared" si="81"/>
        <v>1.1365656059377989</v>
      </c>
      <c r="AO68" s="386">
        <f t="shared" si="49"/>
        <v>12.487565091045486</v>
      </c>
      <c r="AP68" s="386">
        <f t="shared" si="82"/>
        <v>7.796964095154893E-2</v>
      </c>
      <c r="AQ68" s="386">
        <f t="shared" si="83"/>
        <v>0</v>
      </c>
      <c r="AR68" s="386">
        <f t="shared" si="84"/>
        <v>7.9204754200888725E-2</v>
      </c>
      <c r="AS68" s="386">
        <f t="shared" si="85"/>
        <v>0</v>
      </c>
      <c r="AT68" s="386">
        <f t="shared" si="86"/>
        <v>0.14930277777777778</v>
      </c>
      <c r="AU68" s="386">
        <f t="shared" si="87"/>
        <v>0.33572029437500001</v>
      </c>
      <c r="AV68" s="386">
        <f t="shared" si="88"/>
        <v>7.0071417582430975E-2</v>
      </c>
      <c r="AW68" s="386" t="e">
        <f t="shared" si="33"/>
        <v>#VALUE!</v>
      </c>
      <c r="AX68" s="386">
        <f t="shared" si="89"/>
        <v>3.8400000000000004E-2</v>
      </c>
      <c r="AY68" s="386">
        <f t="shared" si="90"/>
        <v>0.62080000000000002</v>
      </c>
      <c r="AZ68" s="386">
        <f t="shared" si="36"/>
        <v>0.47314285714285709</v>
      </c>
      <c r="BA68" s="386">
        <f t="shared" si="57"/>
        <v>0.65920000000000001</v>
      </c>
      <c r="BB68" s="386" t="e">
        <f t="shared" si="58"/>
        <v>#VALUE!</v>
      </c>
      <c r="BC68">
        <f t="shared" si="91"/>
        <v>151.04000000000002</v>
      </c>
      <c r="BD68" s="604" t="e">
        <f t="shared" si="51"/>
        <v>#VALUE!</v>
      </c>
      <c r="BE68" s="614">
        <f t="shared" si="92"/>
        <v>67.907050011264943</v>
      </c>
      <c r="BF68" s="614">
        <f t="shared" si="93"/>
        <v>9.4996225672319348</v>
      </c>
      <c r="BG68" s="9"/>
      <c r="BH68" s="4" t="e">
        <f t="shared" si="52"/>
        <v>#VALUE!</v>
      </c>
      <c r="BI68" s="386">
        <f t="shared" si="53"/>
        <v>0.89462093123599662</v>
      </c>
      <c r="BJ68" s="386">
        <f t="shared" si="54"/>
        <v>2.163202454518502</v>
      </c>
      <c r="BK68" s="386">
        <f t="shared" si="94"/>
        <v>1.3581410002252989</v>
      </c>
      <c r="BL68" s="386">
        <f t="shared" si="95"/>
        <v>0.18999245134463871</v>
      </c>
      <c r="BM68" s="386">
        <f t="shared" si="55"/>
        <v>7.0071417582430975E-2</v>
      </c>
      <c r="BS68" s="18"/>
      <c r="BT68" s="19"/>
    </row>
    <row r="69" spans="1:72" x14ac:dyDescent="0.2">
      <c r="A69" s="23" t="s">
        <v>82</v>
      </c>
      <c r="B69" s="491" t="e">
        <f>1-B68</f>
        <v>#REF!</v>
      </c>
      <c r="C69" s="21" t="s">
        <v>19</v>
      </c>
      <c r="G69">
        <v>60</v>
      </c>
      <c r="H69" s="610">
        <f t="shared" si="59"/>
        <v>12</v>
      </c>
      <c r="I69" s="4" t="str">
        <f t="shared" si="60"/>
        <v>BUCK-BST</v>
      </c>
      <c r="J69">
        <f t="shared" si="43"/>
        <v>3</v>
      </c>
      <c r="K69" s="386">
        <f t="shared" si="96"/>
        <v>12</v>
      </c>
      <c r="L69" s="4">
        <f t="shared" si="61"/>
        <v>14.222222222222223</v>
      </c>
      <c r="M69" s="4">
        <f t="shared" si="56"/>
        <v>13.2987012987013</v>
      </c>
      <c r="N69" s="386">
        <f t="shared" si="62"/>
        <v>0.96250000000000002</v>
      </c>
      <c r="O69" s="386">
        <f t="shared" si="63"/>
        <v>9.765625E-2</v>
      </c>
      <c r="P69" s="4">
        <f t="shared" si="64"/>
        <v>4.6553333333333331</v>
      </c>
      <c r="Q69" s="4">
        <f t="shared" si="65"/>
        <v>13.366430598173295</v>
      </c>
      <c r="R69" s="386">
        <f t="shared" si="7"/>
        <v>0.42297919869409589</v>
      </c>
      <c r="S69" s="386">
        <f t="shared" si="45"/>
        <v>0.48580479763032502</v>
      </c>
      <c r="T69" s="386">
        <f t="shared" si="46"/>
        <v>0.90878399632442086</v>
      </c>
      <c r="U69" s="4">
        <f t="shared" si="66"/>
        <v>3.9723886124446106</v>
      </c>
      <c r="V69" s="386">
        <f t="shared" si="9"/>
        <v>3.155974257655924E-2</v>
      </c>
      <c r="W69" s="386">
        <f t="shared" si="47"/>
        <v>3.155974257655924E-2</v>
      </c>
      <c r="X69" s="4">
        <f t="shared" si="67"/>
        <v>1.3438789765837189</v>
      </c>
      <c r="Y69" s="386">
        <f t="shared" si="11"/>
        <v>3.6120214074074073E-3</v>
      </c>
      <c r="Z69" s="603">
        <f t="shared" si="48"/>
        <v>3.6120214074074073E-3</v>
      </c>
      <c r="AA69" s="386">
        <f t="shared" si="68"/>
        <v>13.11341534176705</v>
      </c>
      <c r="AB69" s="386">
        <f t="shared" si="69"/>
        <v>0.32672715765881372</v>
      </c>
      <c r="AC69" s="386">
        <f t="shared" si="70"/>
        <v>0.24960694219774518</v>
      </c>
      <c r="AD69" s="386">
        <f t="shared" si="71"/>
        <v>0</v>
      </c>
      <c r="AE69" s="386">
        <f t="shared" si="72"/>
        <v>0.61662791720056165</v>
      </c>
      <c r="AF69" s="386">
        <f t="shared" si="73"/>
        <v>2.5883981552481199</v>
      </c>
      <c r="AG69" s="386">
        <f t="shared" si="74"/>
        <v>1.2729629519174553E-2</v>
      </c>
      <c r="AH69" s="386">
        <f t="shared" si="75"/>
        <v>0</v>
      </c>
      <c r="AI69" s="386">
        <f t="shared" si="76"/>
        <v>1.2762120933446889E-2</v>
      </c>
      <c r="AJ69" s="386">
        <f t="shared" si="77"/>
        <v>4.1770095619291547</v>
      </c>
      <c r="AK69" s="386">
        <f t="shared" si="78"/>
        <v>8.7237044402237954E-3</v>
      </c>
      <c r="AL69" s="386">
        <f t="shared" si="79"/>
        <v>1.1262092029730675</v>
      </c>
      <c r="AM69" s="386">
        <f t="shared" si="80"/>
        <v>0</v>
      </c>
      <c r="AN69" s="386">
        <f t="shared" si="81"/>
        <v>1.1369165321732679</v>
      </c>
      <c r="AO69" s="386">
        <f t="shared" si="49"/>
        <v>12.697009807641157</v>
      </c>
      <c r="AP69" s="386">
        <f t="shared" si="82"/>
        <v>8.0607029027667865E-2</v>
      </c>
      <c r="AQ69" s="386">
        <f t="shared" si="83"/>
        <v>0</v>
      </c>
      <c r="AR69" s="386">
        <f t="shared" si="84"/>
        <v>8.1927820671475707E-2</v>
      </c>
      <c r="AS69" s="386">
        <f t="shared" si="85"/>
        <v>0</v>
      </c>
      <c r="AT69" s="386">
        <f t="shared" si="86"/>
        <v>0.15183333333333335</v>
      </c>
      <c r="AU69" s="386">
        <f t="shared" si="87"/>
        <v>0.33982975000000004</v>
      </c>
      <c r="AV69" s="386">
        <f t="shared" si="88"/>
        <v>7.2441641671618387E-2</v>
      </c>
      <c r="AW69" s="386" t="e">
        <f t="shared" si="33"/>
        <v>#VALUE!</v>
      </c>
      <c r="AX69" s="386">
        <f t="shared" si="89"/>
        <v>3.8400000000000004E-2</v>
      </c>
      <c r="AY69" s="386">
        <f t="shared" si="90"/>
        <v>0.62080000000000002</v>
      </c>
      <c r="AZ69" s="386">
        <f t="shared" si="36"/>
        <v>0.47314285714285709</v>
      </c>
      <c r="BA69" s="386">
        <f t="shared" si="57"/>
        <v>0.65920000000000001</v>
      </c>
      <c r="BB69" s="386" t="e">
        <f t="shared" si="58"/>
        <v>#VALUE!</v>
      </c>
      <c r="BC69">
        <f t="shared" si="91"/>
        <v>153.60000000000002</v>
      </c>
      <c r="BD69" s="604" t="e">
        <f t="shared" si="51"/>
        <v>#VALUE!</v>
      </c>
      <c r="BE69" s="614">
        <f t="shared" si="92"/>
        <v>68.060208358663402</v>
      </c>
      <c r="BF69" s="614">
        <f t="shared" si="93"/>
        <v>9.7035819085737849</v>
      </c>
      <c r="BG69" s="9"/>
      <c r="BH69" s="4" t="e">
        <f t="shared" si="52"/>
        <v>#VALUE!</v>
      </c>
      <c r="BI69" s="386">
        <f t="shared" si="53"/>
        <v>0.90878399632442086</v>
      </c>
      <c r="BJ69" s="386">
        <f t="shared" si="54"/>
        <v>2.188064140978752</v>
      </c>
      <c r="BK69" s="386">
        <f t="shared" si="94"/>
        <v>1.361204167173268</v>
      </c>
      <c r="BL69" s="386">
        <f t="shared" si="95"/>
        <v>0.19407163817147571</v>
      </c>
      <c r="BM69" s="386">
        <f t="shared" si="55"/>
        <v>7.2441641671618387E-2</v>
      </c>
      <c r="BS69" s="18"/>
      <c r="BT69" s="19"/>
    </row>
    <row r="70" spans="1:72" x14ac:dyDescent="0.2">
      <c r="A70" s="33" t="s">
        <v>245</v>
      </c>
      <c r="B70" s="491">
        <f>Iripple_Vinnom</f>
        <v>1.6107262569832415</v>
      </c>
      <c r="C70" s="21" t="s">
        <v>2</v>
      </c>
      <c r="G70">
        <v>61</v>
      </c>
      <c r="H70" s="610">
        <f t="shared" si="59"/>
        <v>12</v>
      </c>
      <c r="I70" s="4" t="str">
        <f t="shared" si="60"/>
        <v>BUCK-BST</v>
      </c>
      <c r="J70">
        <f t="shared" si="43"/>
        <v>3</v>
      </c>
      <c r="K70" s="386">
        <f t="shared" si="96"/>
        <v>12.2</v>
      </c>
      <c r="L70" s="4">
        <f t="shared" si="61"/>
        <v>14.459259259259259</v>
      </c>
      <c r="M70" s="4">
        <f t="shared" si="56"/>
        <v>13.52034632034632</v>
      </c>
      <c r="N70" s="386">
        <f t="shared" si="62"/>
        <v>0.96250000000000002</v>
      </c>
      <c r="O70" s="386">
        <f t="shared" si="63"/>
        <v>9.765625E-2</v>
      </c>
      <c r="P70" s="4">
        <f t="shared" si="64"/>
        <v>4.6547972222222223</v>
      </c>
      <c r="Q70" s="4">
        <f t="shared" si="65"/>
        <v>13.586955486314913</v>
      </c>
      <c r="R70" s="386">
        <f t="shared" si="7"/>
        <v>0.43754387643944176</v>
      </c>
      <c r="S70" s="386">
        <f t="shared" si="45"/>
        <v>0.48567590867913862</v>
      </c>
      <c r="T70" s="386">
        <f t="shared" si="46"/>
        <v>0.92321978511858038</v>
      </c>
      <c r="U70" s="4">
        <f t="shared" si="66"/>
        <v>4.0377760954612123</v>
      </c>
      <c r="V70" s="386">
        <f t="shared" si="9"/>
        <v>3.2607271594155988E-2</v>
      </c>
      <c r="W70" s="386">
        <f t="shared" si="47"/>
        <v>3.2607271594155988E-2</v>
      </c>
      <c r="X70" s="4">
        <f t="shared" si="67"/>
        <v>1.3437242146365611</v>
      </c>
      <c r="Y70" s="386">
        <f t="shared" si="11"/>
        <v>3.6111895300012862E-3</v>
      </c>
      <c r="Z70" s="603">
        <f t="shared" si="48"/>
        <v>3.6111895300012862E-3</v>
      </c>
      <c r="AA70" s="386">
        <f t="shared" si="68"/>
        <v>13.329765879792735</v>
      </c>
      <c r="AB70" s="386">
        <f t="shared" si="69"/>
        <v>0.33759705097916454</v>
      </c>
      <c r="AC70" s="386">
        <f t="shared" si="70"/>
        <v>0.25376705790104087</v>
      </c>
      <c r="AD70" s="386">
        <f t="shared" si="71"/>
        <v>0</v>
      </c>
      <c r="AE70" s="386">
        <f t="shared" si="72"/>
        <v>0.63418382682303287</v>
      </c>
      <c r="AF70" s="386">
        <f t="shared" si="73"/>
        <v>2.6311026162079569</v>
      </c>
      <c r="AG70" s="386">
        <f t="shared" si="74"/>
        <v>1.3153131856331076E-2</v>
      </c>
      <c r="AH70" s="386">
        <f t="shared" si="75"/>
        <v>0</v>
      </c>
      <c r="AI70" s="386">
        <f t="shared" si="76"/>
        <v>1.3187824094172827E-2</v>
      </c>
      <c r="AJ70" s="386">
        <f t="shared" si="77"/>
        <v>4.24592358947341</v>
      </c>
      <c r="AK70" s="386">
        <f t="shared" si="78"/>
        <v>9.0139335638233821E-3</v>
      </c>
      <c r="AL70" s="386">
        <f t="shared" si="79"/>
        <v>1.1262092029730675</v>
      </c>
      <c r="AM70" s="386">
        <f t="shared" si="80"/>
        <v>0</v>
      </c>
      <c r="AN70" s="386">
        <f t="shared" si="81"/>
        <v>1.137273397907419</v>
      </c>
      <c r="AO70" s="386">
        <f t="shared" si="49"/>
        <v>12.90649031532028</v>
      </c>
      <c r="AP70" s="386">
        <f t="shared" si="82"/>
        <v>8.3288746129728086E-2</v>
      </c>
      <c r="AQ70" s="386">
        <f t="shared" si="83"/>
        <v>0</v>
      </c>
      <c r="AR70" s="386">
        <f t="shared" si="84"/>
        <v>8.469965168705601E-2</v>
      </c>
      <c r="AS70" s="386">
        <f t="shared" si="85"/>
        <v>0</v>
      </c>
      <c r="AT70" s="386">
        <f t="shared" si="86"/>
        <v>0.15436388888888888</v>
      </c>
      <c r="AU70" s="386">
        <f t="shared" si="87"/>
        <v>0.343938944375</v>
      </c>
      <c r="AV70" s="386">
        <f t="shared" si="88"/>
        <v>7.4851704313989353E-2</v>
      </c>
      <c r="AW70" s="386" t="e">
        <f t="shared" si="33"/>
        <v>#VALUE!</v>
      </c>
      <c r="AX70" s="386">
        <f t="shared" si="89"/>
        <v>3.8400000000000004E-2</v>
      </c>
      <c r="AY70" s="386">
        <f t="shared" si="90"/>
        <v>0.62080000000000002</v>
      </c>
      <c r="AZ70" s="386">
        <f t="shared" si="36"/>
        <v>0.47314285714285709</v>
      </c>
      <c r="BA70" s="386">
        <f t="shared" si="57"/>
        <v>0.65920000000000001</v>
      </c>
      <c r="BB70" s="386" t="e">
        <f t="shared" si="58"/>
        <v>#VALUE!</v>
      </c>
      <c r="BC70">
        <f t="shared" si="91"/>
        <v>156.16</v>
      </c>
      <c r="BD70" s="604" t="e">
        <f t="shared" si="51"/>
        <v>#VALUE!</v>
      </c>
      <c r="BE70" s="614">
        <f t="shared" si="92"/>
        <v>68.213655059745946</v>
      </c>
      <c r="BF70" s="614">
        <f t="shared" si="93"/>
        <v>9.9099751665403009</v>
      </c>
      <c r="BG70" s="9"/>
      <c r="BH70" s="4" t="e">
        <f t="shared" si="52"/>
        <v>#VALUE!</v>
      </c>
      <c r="BI70" s="386">
        <f t="shared" si="53"/>
        <v>0.92321978511858038</v>
      </c>
      <c r="BJ70" s="386">
        <f t="shared" si="54"/>
        <v>2.2132836448866806</v>
      </c>
      <c r="BK70" s="386">
        <f t="shared" si="94"/>
        <v>1.364273101194919</v>
      </c>
      <c r="BL70" s="386">
        <f t="shared" si="95"/>
        <v>0.19819950333080602</v>
      </c>
      <c r="BM70" s="386">
        <f t="shared" si="55"/>
        <v>7.4851704313989353E-2</v>
      </c>
      <c r="BS70" s="18"/>
      <c r="BT70" s="19"/>
    </row>
    <row r="71" spans="1:72" x14ac:dyDescent="0.2">
      <c r="A71" s="14" t="s">
        <v>63</v>
      </c>
      <c r="B71" s="15" t="s">
        <v>8</v>
      </c>
      <c r="C71" s="17" t="s">
        <v>80</v>
      </c>
      <c r="G71">
        <v>62</v>
      </c>
      <c r="H71" s="610">
        <f t="shared" si="59"/>
        <v>12</v>
      </c>
      <c r="I71" s="4" t="str">
        <f t="shared" si="60"/>
        <v>BUCK-BST</v>
      </c>
      <c r="J71">
        <f t="shared" si="43"/>
        <v>3</v>
      </c>
      <c r="K71" s="386">
        <f t="shared" si="96"/>
        <v>12.4</v>
      </c>
      <c r="L71" s="4">
        <f t="shared" si="61"/>
        <v>14.696296296296298</v>
      </c>
      <c r="M71" s="4">
        <f t="shared" si="56"/>
        <v>13.741991341991342</v>
      </c>
      <c r="N71" s="386">
        <f t="shared" si="62"/>
        <v>0.96250000000000002</v>
      </c>
      <c r="O71" s="386">
        <f t="shared" si="63"/>
        <v>9.765625E-2</v>
      </c>
      <c r="P71" s="4">
        <f t="shared" si="64"/>
        <v>4.6542611111111114</v>
      </c>
      <c r="Q71" s="4">
        <f t="shared" si="65"/>
        <v>13.807516247231618</v>
      </c>
      <c r="R71" s="386">
        <f t="shared" si="7"/>
        <v>0.45238299658989756</v>
      </c>
      <c r="S71" s="386">
        <f t="shared" si="45"/>
        <v>0.48554703908391139</v>
      </c>
      <c r="T71" s="386">
        <f t="shared" si="46"/>
        <v>0.93793003567380895</v>
      </c>
      <c r="U71" s="4">
        <f t="shared" si="66"/>
        <v>4.103176613273992</v>
      </c>
      <c r="V71" s="386">
        <f t="shared" si="9"/>
        <v>3.3672116639437255E-2</v>
      </c>
      <c r="W71" s="386">
        <f t="shared" si="47"/>
        <v>3.3672116639437255E-2</v>
      </c>
      <c r="X71" s="4">
        <f t="shared" si="67"/>
        <v>1.3435694526894035</v>
      </c>
      <c r="Y71" s="386">
        <f t="shared" si="11"/>
        <v>3.6103577484002066E-3</v>
      </c>
      <c r="Z71" s="603">
        <f t="shared" si="48"/>
        <v>3.6103577484002066E-3</v>
      </c>
      <c r="AA71" s="386">
        <f t="shared" si="68"/>
        <v>13.546151611552132</v>
      </c>
      <c r="AB71" s="386">
        <f t="shared" si="69"/>
        <v>0.34864662461799717</v>
      </c>
      <c r="AC71" s="386">
        <f t="shared" si="70"/>
        <v>0.2579271736043367</v>
      </c>
      <c r="AD71" s="386">
        <f t="shared" si="71"/>
        <v>0</v>
      </c>
      <c r="AE71" s="386">
        <f t="shared" si="72"/>
        <v>0.65204011528420758</v>
      </c>
      <c r="AF71" s="386">
        <f t="shared" si="73"/>
        <v>2.6738140239008188</v>
      </c>
      <c r="AG71" s="386">
        <f t="shared" si="74"/>
        <v>1.358363472537651E-2</v>
      </c>
      <c r="AH71" s="386">
        <f t="shared" si="75"/>
        <v>0</v>
      </c>
      <c r="AI71" s="386">
        <f t="shared" si="76"/>
        <v>1.3620638280402001E-2</v>
      </c>
      <c r="AJ71" s="386">
        <f t="shared" si="77"/>
        <v>4.3148488272598806</v>
      </c>
      <c r="AK71" s="386">
        <f t="shared" si="78"/>
        <v>9.3089602010529831E-3</v>
      </c>
      <c r="AL71" s="386">
        <f t="shared" si="79"/>
        <v>1.1262092029730675</v>
      </c>
      <c r="AM71" s="386">
        <f t="shared" si="80"/>
        <v>0</v>
      </c>
      <c r="AN71" s="386">
        <f t="shared" si="81"/>
        <v>1.1376362052056277</v>
      </c>
      <c r="AO71" s="386">
        <f t="shared" si="49"/>
        <v>13.116004899185542</v>
      </c>
      <c r="AP71" s="386">
        <f t="shared" si="82"/>
        <v>8.6014792257729566E-2</v>
      </c>
      <c r="AQ71" s="386">
        <f t="shared" si="83"/>
        <v>0</v>
      </c>
      <c r="AR71" s="386">
        <f t="shared" si="84"/>
        <v>8.7520402098696035E-2</v>
      </c>
      <c r="AS71" s="386">
        <f t="shared" si="85"/>
        <v>0</v>
      </c>
      <c r="AT71" s="386">
        <f t="shared" si="86"/>
        <v>0.15689444444444445</v>
      </c>
      <c r="AU71" s="386">
        <f t="shared" si="87"/>
        <v>0.34804787749999999</v>
      </c>
      <c r="AV71" s="386">
        <f t="shared" si="88"/>
        <v>7.7301605509543972E-2</v>
      </c>
      <c r="AW71" s="386" t="e">
        <f t="shared" si="33"/>
        <v>#VALUE!</v>
      </c>
      <c r="AX71" s="386">
        <f t="shared" si="89"/>
        <v>3.8400000000000004E-2</v>
      </c>
      <c r="AY71" s="386">
        <f t="shared" si="90"/>
        <v>0.62080000000000002</v>
      </c>
      <c r="AZ71" s="386">
        <f t="shared" si="36"/>
        <v>0.47314285714285709</v>
      </c>
      <c r="BA71" s="386">
        <f t="shared" si="57"/>
        <v>0.65920000000000001</v>
      </c>
      <c r="BB71" s="386" t="e">
        <f t="shared" si="58"/>
        <v>#VALUE!</v>
      </c>
      <c r="BC71">
        <f t="shared" si="91"/>
        <v>158.72000000000003</v>
      </c>
      <c r="BD71" s="604" t="e">
        <f t="shared" si="51"/>
        <v>#VALUE!</v>
      </c>
      <c r="BE71" s="614">
        <f t="shared" si="92"/>
        <v>68.367390217781391</v>
      </c>
      <c r="BF71" s="614">
        <f t="shared" si="93"/>
        <v>10.118810083684801</v>
      </c>
      <c r="BG71" s="9"/>
      <c r="BH71" s="4" t="e">
        <f t="shared" si="52"/>
        <v>#VALUE!</v>
      </c>
      <c r="BI71" s="386">
        <f t="shared" si="53"/>
        <v>0.93793003567380895</v>
      </c>
      <c r="BJ71" s="386">
        <f t="shared" si="54"/>
        <v>2.2388652383689331</v>
      </c>
      <c r="BK71" s="386">
        <f t="shared" si="94"/>
        <v>1.3673478043556277</v>
      </c>
      <c r="BL71" s="386">
        <f t="shared" si="95"/>
        <v>0.20237620167369602</v>
      </c>
      <c r="BM71" s="386">
        <f t="shared" si="55"/>
        <v>7.7301605509543972E-2</v>
      </c>
      <c r="BS71" s="18"/>
      <c r="BT71" s="19"/>
    </row>
    <row r="72" spans="1:72" x14ac:dyDescent="0.2">
      <c r="A72" s="32" t="s">
        <v>92</v>
      </c>
      <c r="B72" s="492">
        <f>(Qgd_Q1+Qgs_Q1/2)*(RdsonDRT+Rgate1)/(Vdd-Vsp_Q1)*1000000000</f>
        <v>12.771371769383698</v>
      </c>
      <c r="C72" s="21" t="s">
        <v>79</v>
      </c>
      <c r="D72" s="118" t="s">
        <v>719</v>
      </c>
      <c r="G72">
        <v>63</v>
      </c>
      <c r="H72" s="610">
        <f t="shared" si="59"/>
        <v>12</v>
      </c>
      <c r="I72" s="4" t="str">
        <f t="shared" si="60"/>
        <v>BUCK-BST</v>
      </c>
      <c r="J72">
        <f t="shared" si="43"/>
        <v>3</v>
      </c>
      <c r="K72" s="386">
        <f t="shared" si="96"/>
        <v>12.6</v>
      </c>
      <c r="L72" s="4">
        <f t="shared" si="61"/>
        <v>14.933333333333332</v>
      </c>
      <c r="M72" s="4">
        <f t="shared" si="56"/>
        <v>13.963636363636363</v>
      </c>
      <c r="N72" s="386">
        <f t="shared" si="62"/>
        <v>0.96250000000000002</v>
      </c>
      <c r="O72" s="386">
        <f t="shared" si="63"/>
        <v>9.765625E-2</v>
      </c>
      <c r="P72" s="4">
        <f t="shared" si="64"/>
        <v>4.6537250000000006</v>
      </c>
      <c r="Q72" s="4">
        <f t="shared" si="65"/>
        <v>14.028111188865372</v>
      </c>
      <c r="R72" s="386">
        <f t="shared" si="7"/>
        <v>0.46749833586818568</v>
      </c>
      <c r="S72" s="386">
        <f t="shared" si="45"/>
        <v>0.48541818884396615</v>
      </c>
      <c r="T72" s="386">
        <f t="shared" si="46"/>
        <v>0.95291652471215182</v>
      </c>
      <c r="U72" s="4">
        <f t="shared" si="66"/>
        <v>4.1685895523787808</v>
      </c>
      <c r="V72" s="386">
        <f t="shared" si="9"/>
        <v>3.4754277712403046E-2</v>
      </c>
      <c r="W72" s="386">
        <f t="shared" si="47"/>
        <v>3.4754277712403046E-2</v>
      </c>
      <c r="X72" s="4">
        <f t="shared" si="67"/>
        <v>1.3434146907422457</v>
      </c>
      <c r="Y72" s="386">
        <f t="shared" si="11"/>
        <v>3.6095260626041676E-3</v>
      </c>
      <c r="Z72" s="603">
        <f t="shared" si="48"/>
        <v>3.6095260626041676E-3</v>
      </c>
      <c r="AA72" s="386">
        <f t="shared" si="68"/>
        <v>13.762570877016438</v>
      </c>
      <c r="AB72" s="386">
        <f t="shared" si="69"/>
        <v>0.35987587857531189</v>
      </c>
      <c r="AC72" s="386">
        <f t="shared" si="70"/>
        <v>0.26208728930763242</v>
      </c>
      <c r="AD72" s="386">
        <f t="shared" si="71"/>
        <v>0</v>
      </c>
      <c r="AE72" s="386">
        <f t="shared" si="72"/>
        <v>0.6702010028257378</v>
      </c>
      <c r="AF72" s="386">
        <f t="shared" si="73"/>
        <v>2.7165320506610748</v>
      </c>
      <c r="AG72" s="386">
        <f t="shared" si="74"/>
        <v>1.4021138126310841E-2</v>
      </c>
      <c r="AH72" s="386">
        <f t="shared" si="75"/>
        <v>0</v>
      </c>
      <c r="AI72" s="386">
        <f t="shared" si="76"/>
        <v>1.4060567157159804E-2</v>
      </c>
      <c r="AJ72" s="386">
        <f t="shared" si="77"/>
        <v>4.3837847465204289</v>
      </c>
      <c r="AK72" s="386">
        <f t="shared" si="78"/>
        <v>9.6087843519125915E-3</v>
      </c>
      <c r="AL72" s="386">
        <f t="shared" si="79"/>
        <v>1.1262092029730675</v>
      </c>
      <c r="AM72" s="386">
        <f t="shared" si="80"/>
        <v>0</v>
      </c>
      <c r="AN72" s="386">
        <f t="shared" si="81"/>
        <v>1.1380049561680254</v>
      </c>
      <c r="AO72" s="386">
        <f t="shared" si="49"/>
        <v>13.325551951920966</v>
      </c>
      <c r="AP72" s="386">
        <f t="shared" si="82"/>
        <v>8.8785167411672333E-2</v>
      </c>
      <c r="AQ72" s="386">
        <f t="shared" si="83"/>
        <v>0</v>
      </c>
      <c r="AR72" s="386">
        <f t="shared" si="84"/>
        <v>9.0390229747779563E-2</v>
      </c>
      <c r="AS72" s="386">
        <f t="shared" si="85"/>
        <v>0</v>
      </c>
      <c r="AT72" s="386">
        <f t="shared" si="86"/>
        <v>0.15942499999999998</v>
      </c>
      <c r="AU72" s="386">
        <f t="shared" si="87"/>
        <v>0.35215654937500002</v>
      </c>
      <c r="AV72" s="386">
        <f t="shared" si="88"/>
        <v>7.9791345258282145E-2</v>
      </c>
      <c r="AW72" s="386" t="e">
        <f t="shared" si="33"/>
        <v>#VALUE!</v>
      </c>
      <c r="AX72" s="386">
        <f t="shared" si="89"/>
        <v>3.8400000000000004E-2</v>
      </c>
      <c r="AY72" s="386">
        <f t="shared" si="90"/>
        <v>0.62080000000000002</v>
      </c>
      <c r="AZ72" s="386">
        <f t="shared" si="36"/>
        <v>0.47314285714285709</v>
      </c>
      <c r="BA72" s="386">
        <f t="shared" si="57"/>
        <v>0.65920000000000001</v>
      </c>
      <c r="BB72" s="386" t="e">
        <f t="shared" si="58"/>
        <v>#VALUE!</v>
      </c>
      <c r="BC72">
        <f t="shared" si="91"/>
        <v>161.28</v>
      </c>
      <c r="BD72" s="604" t="e">
        <f t="shared" si="51"/>
        <v>#VALUE!</v>
      </c>
      <c r="BE72" s="614">
        <f t="shared" si="92"/>
        <v>68.521413937776273</v>
      </c>
      <c r="BF72" s="614">
        <f t="shared" si="93"/>
        <v>10.330094552076478</v>
      </c>
      <c r="BG72" s="9"/>
      <c r="BH72" s="4" t="e">
        <f t="shared" si="52"/>
        <v>#VALUE!</v>
      </c>
      <c r="BI72" s="386">
        <f t="shared" si="53"/>
        <v>0.95291652471215182</v>
      </c>
      <c r="BJ72" s="386">
        <f t="shared" si="54"/>
        <v>2.2648133052737025</v>
      </c>
      <c r="BK72" s="386">
        <f t="shared" si="94"/>
        <v>1.3704282787555255</v>
      </c>
      <c r="BL72" s="386">
        <f t="shared" si="95"/>
        <v>0.20660189104152957</v>
      </c>
      <c r="BM72" s="386">
        <f t="shared" si="55"/>
        <v>7.9791345258282145E-2</v>
      </c>
      <c r="BS72" s="18"/>
      <c r="BT72" s="19"/>
    </row>
    <row r="73" spans="1:72" x14ac:dyDescent="0.2">
      <c r="A73" s="33" t="s">
        <v>93</v>
      </c>
      <c r="B73" s="492">
        <f>(Qgd_Q1+Qgs_Q1/2)*(RdsonDRT2+Rgate1)/(Vsp_Q1)*1000000000</f>
        <v>14.962732919254655</v>
      </c>
      <c r="C73" s="21" t="s">
        <v>79</v>
      </c>
      <c r="D73" s="118" t="s">
        <v>720</v>
      </c>
      <c r="G73">
        <v>64</v>
      </c>
      <c r="H73" s="610">
        <f t="shared" ref="H73:H109" si="97">Vin</f>
        <v>12</v>
      </c>
      <c r="I73" s="4" t="str">
        <f t="shared" ref="I73:I104" si="98">IF(H73&gt;VIN_BB_to_buck, "BUCK", IF(H73&lt;VIN_boost_to_BB,"BOOST","BUCK-BST"))</f>
        <v>BUCK-BST</v>
      </c>
      <c r="J73">
        <f t="shared" si="43"/>
        <v>3</v>
      </c>
      <c r="K73" s="386">
        <f t="shared" si="96"/>
        <v>12.8</v>
      </c>
      <c r="L73" s="4">
        <f t="shared" ref="L73:L104" si="99">Vout*K73/(Vin*Efficiency)</f>
        <v>15.170370370370373</v>
      </c>
      <c r="M73" s="4">
        <f t="shared" si="56"/>
        <v>14.185281385281385</v>
      </c>
      <c r="N73" s="386">
        <f t="shared" ref="N73:N109" si="100">CHOOSE(J73,(Vout+(Rdson2+Rs+Rdcr)*K73)/(Vin+(Rs+Rdson2-Rdson1)*K73), 1, IF(Vin&lt;Vout, D_max_buck_BB, Vout/Vin*(1-D_min_boost_exitBB_to_buck)))</f>
        <v>0.96250000000000002</v>
      </c>
      <c r="O73" s="386">
        <f t="shared" ref="O73:O109" si="101">CHOOSE(J73,0,(Vout+(Rdson3+Rdcr)*L73-Vin)/(Vout+(Rdson3-Rdson4-Rs)*L73), IF(Vin&gt;Vout,D_min_boost_exitBB_to_buck, (Vout-Vin*D_max_buck_BB)/Vout))</f>
        <v>9.765625E-2</v>
      </c>
      <c r="P73" s="4">
        <f t="shared" ref="P73:P104" si="102">MAX(0, CHOOSE(J73, (Vin-(Rdson1+Rdcr)*K73-Vout)*N73/(Fsw*Lf), (Vin-(Rdson4+Rdcr+Rs)*L73)*O73/(Fsw*Lf), IF(Vin&lt;Vout, (Vin-(Rdson4+Rdcr+Rs)*L73)*O73/(0.5*Fsw*Lf),(Vin-(Rdson1+Rdcr)*K73-Vout)*N73/(0.5*Fsw*Lf))))</f>
        <v>4.6531888888888888</v>
      </c>
      <c r="Q73" s="4">
        <f t="shared" ref="Q73:Q104" si="103">CHOOSE(J73, SQRT(K73^2+(P73^2)/12), SQRT(L73^2+(P73^2)/12), SQRT(M73^2+(P73^2)/12))</f>
        <v>14.248738723687692</v>
      </c>
      <c r="R73" s="386">
        <f t="shared" si="7"/>
        <v>0.48289171021817295</v>
      </c>
      <c r="S73" s="386">
        <f t="shared" si="45"/>
        <v>0.48528935795862554</v>
      </c>
      <c r="T73" s="386">
        <f t="shared" si="46"/>
        <v>0.9681810681767985</v>
      </c>
      <c r="U73" s="4">
        <f t="shared" ref="U73:U109" si="104">IF(Vin&gt;Vout, P73/SQRT(12), SQRT(O73/(1-O73))*SQRT(K73^2+(P73^2)/12))</f>
        <v>4.2340143370714616</v>
      </c>
      <c r="V73" s="386">
        <f t="shared" si="9"/>
        <v>3.5853754813053376E-2</v>
      </c>
      <c r="W73" s="386">
        <f t="shared" si="47"/>
        <v>3.5853754813053376E-2</v>
      </c>
      <c r="X73" s="4">
        <f t="shared" ref="X73:X109" si="105">IF(Vin&gt;Vout, SQRT(N73*(1-N73))*SQRT(K73^2+(P73^2)/12), P73/SQRT(12))</f>
        <v>1.3432599287950879</v>
      </c>
      <c r="Y73" s="386">
        <f t="shared" si="11"/>
        <v>3.6086944726131695E-3</v>
      </c>
      <c r="Z73" s="603">
        <f t="shared" si="48"/>
        <v>3.6086944726131695E-3</v>
      </c>
      <c r="AA73" s="386">
        <f t="shared" ref="AA73:AA109" si="106">CHOOSE(J73, SQRT(N73)*SQRT(K73^2+(P73^2)/12), SQRT(L73^2+(P73^2)/12), SQRT(N73)*SQRT(M73^2+(P73^2)/12))</f>
        <v>13.979022118707743</v>
      </c>
      <c r="AB73" s="386">
        <f t="shared" ref="AB73:AB104" si="107">Rdson1*AA73^2</f>
        <v>0.37128481285110859</v>
      </c>
      <c r="AC73" s="386">
        <f t="shared" ref="AC73:AC109" si="108">CHOOSE(J73, (Vin*K73/2)*(Fsw)*(Tr_buck+Tf_buck), 0, (Vin*K73/2)*(Fsw/2)*(Tr_buck+Tf_buck))</f>
        <v>0.26624740501092825</v>
      </c>
      <c r="AD73" s="386">
        <f t="shared" ref="AD73:AD109" si="109">CHOOSE(J73, IF(K73&gt;P73/2,0,ABS(K73-P73/2)*Vsd_Q1*Deadtime*Fsw),0, IF(K73&gt;P73/2,0,ABS(K73-P73/2)*Vsd_Q1*Deadtime*Fsw/2))</f>
        <v>0</v>
      </c>
      <c r="AE73" s="386">
        <f t="shared" ref="AE73:AE104" si="110">(AD73+AC73+AB73*(1+RdsonTopTc*Ta-RdsonTopTc*25))/(1-AB73*RdsonTopTc*ThetaJA_Q1)</f>
        <v>0.68867082125950796</v>
      </c>
      <c r="AF73" s="386">
        <f t="shared" ref="AF73:AF109" si="111">CHOOSE(J73, SQRT((1-N73))*SQRT(K73^2+(P73^2)/12), 0, SQRT((1-N73))*SQRT(M73^2+(P73^2)/12))</f>
        <v>2.7592563890651571</v>
      </c>
      <c r="AG73" s="386">
        <f t="shared" ref="AG73:AG104" si="112">Rdson2*AF73^2</f>
        <v>1.4465642059134091E-2</v>
      </c>
      <c r="AH73" s="386">
        <f t="shared" ref="AH73:AH109" si="113">CHOOSE(J73, IF(K73&lt;P73/2,Deadtime*Fsw*IF(VfdSky_Q2&gt;0,0,Vsd_Q2)*(K73+P73/2),2*Deadtime*Fsw*IF(VfdSky_Q2&gt;0,0,Vsd_Q2)*K73),0, IF(K73&lt;P73/2,Deadtime*Fsw/2*IF(VfdSky_Q2&gt;0,0,Vsd_Q2)*(K73+P73/2),2*Deadtime*Fsw/2*IF(VfdSky_Q2&gt;0,0,Vsd_Q2)*K73))</f>
        <v>0</v>
      </c>
      <c r="AI73" s="386">
        <f t="shared" ref="AI73:AI104" si="114">(AH73+AG73*(1+RdsonBotTc*Ta-RdsonBotTc*25))/(1-AG73*RdsonBotTc*ThetaJA_Q2)</f>
        <v>1.450761445068921E-2</v>
      </c>
      <c r="AJ73" s="386">
        <f t="shared" ref="AJ73:AJ109" si="115">CHOOSE(J73, 0, SQRT(O73)*SQRT(L73^2+(P73^2)/12), SQRT(O73)*SQRT(M73^2+(P73^2)/12))</f>
        <v>4.4527308511524035</v>
      </c>
      <c r="AK73" s="386">
        <f t="shared" ref="AK73:AK104" si="116">Rdson4*AJ73^2</f>
        <v>9.9134060164022039E-3</v>
      </c>
      <c r="AL73" s="386">
        <f t="shared" ref="AL73:AL109" si="117">CHOOSE(J73, 0, (Vout*L73/2)*(Fsw)*(Tr_boost+Tf_boost), (Vout*Iout/2)*(Fsw/2)*(Tr_boost+Tf_boost))</f>
        <v>1.1262092029730675</v>
      </c>
      <c r="AM73" s="386">
        <f t="shared" ref="AM73:AM109" si="118">IF(H73&gt;Vout, 0, IF(L73&gt;P73/2,0,ABS(L73-P73/2)*Vsd_Q4*Deadtime*Fsw))</f>
        <v>0</v>
      </c>
      <c r="AN73" s="386">
        <f t="shared" ref="AN73:AN104" si="119">(AM73+AL73+AK73*(1+RdsonTopTc*Ta-RdsonTopTc*25))/(1-AK73*RdsonTopTc*ThetaJA_Q4)</f>
        <v>1.13837965292953</v>
      </c>
      <c r="AO73" s="386">
        <f t="shared" si="49"/>
        <v>13.535129965505051</v>
      </c>
      <c r="AP73" s="386">
        <f t="shared" ref="AP73:AP104" si="120">Rdson3*AO73^2</f>
        <v>9.15998715915564E-2</v>
      </c>
      <c r="AQ73" s="386">
        <f t="shared" ref="AQ73:AQ109" si="121">CHOOSE(J73, 0, IF(L73&lt;P73/2,Deadtime*Fsw*IF(VfdSky_Q3&gt;0,0,Vsd_Q3)*(L73+P73/2), 2*Deadtime*Fsw*IF(VfdSky_Q3&gt;0,0,Vsd_Q3)*L73), IF(L73&lt;P73/2,Deadtime*Fsw/2*IF(VfdSky_Q3&gt;0,0,Vsd_Q3)*(L73+P73/2), 2*Deadtime*Fsw/2*IF(VfdSky_Q3&gt;0,0,Vsd_Q3)*L73))</f>
        <v>0</v>
      </c>
      <c r="AR73" s="386">
        <f t="shared" ref="AR73:AR104" si="122">(AQ73+AP73*(1+RdsonBotTc*Ta-RdsonBotTc*25))/(1-AP73*RdsonBotTc*ThetaJA_Q3)</f>
        <v>9.330929548856666E-2</v>
      </c>
      <c r="AS73" s="386">
        <f t="shared" ref="AS73:AS109" si="123">CHOOSE(J73, Rdson3*Q73^2, Rdson1*Q73^2, 0)</f>
        <v>0</v>
      </c>
      <c r="AT73" s="386">
        <f t="shared" ref="AT73:AT109" si="124">CHOOSE(J73, 2*Deadtime*Fsw*IF(VfdSky_Q2&gt;0,VfdSky_Q2,0)*K73, 2*Deadtime*Fsw*IF(VfdSky_Q3&gt;0,VfdSky_Q3,0)*L73, 2*Deadtime*Fsw/2*IF(VfdSky_Q2&gt;0,VfdSky_Q2,0)*K73+2*Deadtime*Fsw/2*IF(VfdSky_Q3&gt;0,VfdSky_Q3,0)*L73)</f>
        <v>0.16195555555555557</v>
      </c>
      <c r="AU73" s="386">
        <f t="shared" ref="AU73:AU109" si="125">CHOOSE(J73, IF(QrrSky_Q2&gt;0,QrrSky_Q2,Qrr_Q2*K73/Iout)*Fsw*(Vin-K73*Rdson1), IF(QrrSky_Q3&gt;0,QrrSky_Q3,Qrr_Q3)*Fsw*Vout,  IF(QrrSky_Q2&gt;0,QrrSky_Q2,Qrr_Q2*K73/Iout)*Fsw/2*(Vin-K73*Rdson1)+IF(QrrSky_Q3&gt;0,QrrSky_Q3,Qrr_Q3)*Fsw/2*Vout)</f>
        <v>0.35626496000000002</v>
      </c>
      <c r="AV73" s="386">
        <f t="shared" ref="AV73:AV109" si="126">CHOOSE(J73, Rs*AF73^2, Rs*AJ73^2, Rs*(AF73^2+AJ73^2))</f>
        <v>8.2320923560203887E-2</v>
      </c>
      <c r="AW73" s="386" t="e">
        <f t="shared" ref="AW73:AW109" si="127">Rshunt_std/1000*Iout^2</f>
        <v>#VALUE!</v>
      </c>
      <c r="AX73" s="386">
        <f t="shared" ref="AX73:AX109" si="128">IF(Vout&gt;8, Iq*Vout, Iq*Vin)</f>
        <v>3.8400000000000004E-2</v>
      </c>
      <c r="AY73" s="386">
        <f t="shared" ref="AY73:AY109" si="129">CHOOSE(J73, (Qg_Q1+Qg_Q2)*Fsw, (Qg_Q3+Qg_Q4)*Fsw, (Qg_Q1+Qg_Q2+Qg_Q3+Qg_Q4)*Fsw/2)*IF(Vout&gt;8, Vout, Vin)</f>
        <v>0.62080000000000002</v>
      </c>
      <c r="AZ73" s="386">
        <f t="shared" ref="AZ73:AZ109" si="130">(Vin-Vdd)*Fsw*(Qg_Q1+Qg_Q2)+(RdsonDRT+RdsonDRT2)*Fsw*Qg_Q1*Vdd/(RdsonDRT+2*Rgate1+RdsonDRT2)+(RdsonDRB+RdsonDRB2)*Fsw*Qg_Q2*Vdd/(RdsonDRB+2*Rgate2+RdsonDRB2)</f>
        <v>0.47314285714285709</v>
      </c>
      <c r="BA73" s="386">
        <f t="shared" si="57"/>
        <v>0.65920000000000001</v>
      </c>
      <c r="BB73" s="386" t="e">
        <f t="shared" si="58"/>
        <v>#VALUE!</v>
      </c>
      <c r="BC73">
        <f t="shared" ref="BC73:BC109" si="131">Vout*K73</f>
        <v>163.84000000000003</v>
      </c>
      <c r="BD73" s="604" t="e">
        <f t="shared" si="51"/>
        <v>#VALUE!</v>
      </c>
      <c r="BE73" s="614">
        <f t="shared" ref="BE73:BE109" si="132">IF(Vin&gt;Vout,ThetaJA_Q1*BK73,ThetaJA_Q4*BK73)</f>
        <v>68.675726326476507</v>
      </c>
      <c r="BF73" s="614">
        <f t="shared" ref="BF73:BF109" si="133">IF(Vin&gt;Vout, ThetaJA_Q2*BL73, ThetaJA_Q3*BL73)</f>
        <v>10.543836614428335</v>
      </c>
      <c r="BG73" s="9"/>
      <c r="BH73" s="4" t="e">
        <f t="shared" si="52"/>
        <v>#VALUE!</v>
      </c>
      <c r="BI73" s="386">
        <f t="shared" si="53"/>
        <v>0.9681810681767985</v>
      </c>
      <c r="BJ73" s="386">
        <f t="shared" si="54"/>
        <v>2.2911323441282936</v>
      </c>
      <c r="BK73" s="386">
        <f t="shared" ref="BK73:BK109" si="134">IF(Vin&gt;Vout, AE73+AU73*0.66, AN73+AU73*0.66)</f>
        <v>1.3735145265295301</v>
      </c>
      <c r="BL73" s="386">
        <f t="shared" ref="BL73:BL109" si="135">IF(Vin&gt;Vout, AI73+AU73*0.33, AR73+AU73*0.33)</f>
        <v>0.21087673228856668</v>
      </c>
      <c r="BM73" s="386">
        <f t="shared" si="55"/>
        <v>8.2320923560203887E-2</v>
      </c>
      <c r="BS73" s="18"/>
      <c r="BT73" s="19"/>
    </row>
    <row r="74" spans="1:72" x14ac:dyDescent="0.2">
      <c r="A74" s="14" t="s">
        <v>118</v>
      </c>
      <c r="B74" s="15" t="s">
        <v>8</v>
      </c>
      <c r="C74" s="17" t="s">
        <v>80</v>
      </c>
      <c r="G74">
        <v>65</v>
      </c>
      <c r="H74" s="610">
        <f t="shared" si="97"/>
        <v>12</v>
      </c>
      <c r="I74" s="4" t="str">
        <f t="shared" si="98"/>
        <v>BUCK-BST</v>
      </c>
      <c r="J74">
        <f t="shared" ref="J74:J109" si="136">IF(I74="BOOST",2, IF(I74="BUCK", 1,3))</f>
        <v>3</v>
      </c>
      <c r="K74" s="386">
        <f t="shared" ref="K74:K109" si="137">Iout*G74/100</f>
        <v>13</v>
      </c>
      <c r="L74" s="4">
        <f t="shared" si="99"/>
        <v>15.407407407407407</v>
      </c>
      <c r="M74" s="4">
        <f t="shared" si="56"/>
        <v>14.406926406926408</v>
      </c>
      <c r="N74" s="386">
        <f t="shared" si="100"/>
        <v>0.96250000000000002</v>
      </c>
      <c r="O74" s="386">
        <f t="shared" si="101"/>
        <v>9.765625E-2</v>
      </c>
      <c r="P74" s="4">
        <f t="shared" si="102"/>
        <v>4.652652777777778</v>
      </c>
      <c r="Q74" s="4">
        <f t="shared" si="103"/>
        <v>14.469397360768244</v>
      </c>
      <c r="R74" s="386">
        <f t="shared" ref="R74:R109" si="138">(Q74^2*Rdcr*(1+Ltc*Ta-Ltc*25))/(1-Q74^2*Rdcr*Ltc*ThetaCa)</f>
        <v>0.49856497537417999</v>
      </c>
      <c r="S74" s="386">
        <f t="shared" ref="S74:S109" si="139">7.759*10^-3*Fsw^0.9458*(0.00787*P74)^2.304</f>
        <v>0.48516054642721074</v>
      </c>
      <c r="T74" s="386">
        <f t="shared" ref="T74:T109" si="140">R74+S74</f>
        <v>0.98372552180139072</v>
      </c>
      <c r="U74" s="4">
        <f t="shared" si="104"/>
        <v>4.2994504265887414</v>
      </c>
      <c r="V74" s="386">
        <f t="shared" ref="V74:V109" si="141">RCoutEsr*U74^2</f>
        <v>3.6970547941388217E-2</v>
      </c>
      <c r="W74" s="386">
        <f t="shared" ref="W74:W109" si="142">V74</f>
        <v>3.6970547941388217E-2</v>
      </c>
      <c r="X74" s="4">
        <f t="shared" si="105"/>
        <v>1.3431051668479301</v>
      </c>
      <c r="Y74" s="386">
        <f t="shared" ref="Y74:Y109" si="143">RCinEsr*X74^2</f>
        <v>3.6078629784272124E-3</v>
      </c>
      <c r="Z74" s="603">
        <f t="shared" ref="Z74:Z109" si="144">Y74</f>
        <v>3.6078629784272124E-3</v>
      </c>
      <c r="AA74" s="386">
        <f t="shared" si="106"/>
        <v>14.195503873917765</v>
      </c>
      <c r="AB74" s="386">
        <f t="shared" si="107"/>
        <v>0.38287342744538716</v>
      </c>
      <c r="AC74" s="386">
        <f t="shared" si="108"/>
        <v>0.27040752071422397</v>
      </c>
      <c r="AD74" s="386">
        <f t="shared" si="109"/>
        <v>0</v>
      </c>
      <c r="AE74" s="386">
        <f t="shared" si="110"/>
        <v>0.70745401701014765</v>
      </c>
      <c r="AF74" s="386">
        <f t="shared" si="111"/>
        <v>2.8019867503956473</v>
      </c>
      <c r="AG74" s="386">
        <f t="shared" si="112"/>
        <v>1.4917146523846243E-2</v>
      </c>
      <c r="AH74" s="386">
        <f t="shared" si="113"/>
        <v>0</v>
      </c>
      <c r="AI74" s="386">
        <f t="shared" si="114"/>
        <v>1.4961783948529914E-2</v>
      </c>
      <c r="AJ74" s="386">
        <f t="shared" si="115"/>
        <v>4.5216866752400762</v>
      </c>
      <c r="AK74" s="386">
        <f t="shared" si="116"/>
        <v>1.0222825194521827E-2</v>
      </c>
      <c r="AL74" s="386">
        <f t="shared" si="117"/>
        <v>1.1262092029730675</v>
      </c>
      <c r="AM74" s="386">
        <f t="shared" si="118"/>
        <v>0</v>
      </c>
      <c r="AN74" s="386">
        <f t="shared" si="119"/>
        <v>1.138760297659877</v>
      </c>
      <c r="AO74" s="386">
        <f t="shared" ref="AO74:AO109" si="145">CHOOSE(J74, SQRT(K74^2+(P74^2)/12), SQRT(1-O74)*SQRT(L74^2+(P74^2)/12), SQRT(1-O74)*SQRT(M74^2+(P74^2)/12))</f>
        <v>13.744737523676594</v>
      </c>
      <c r="AP74" s="386">
        <f t="shared" si="120"/>
        <v>9.4458904797381699E-2</v>
      </c>
      <c r="AQ74" s="386">
        <f t="shared" si="121"/>
        <v>0</v>
      </c>
      <c r="AR74" s="386">
        <f t="shared" si="122"/>
        <v>9.6277763211236711E-2</v>
      </c>
      <c r="AS74" s="386">
        <f t="shared" si="123"/>
        <v>0</v>
      </c>
      <c r="AT74" s="386">
        <f t="shared" si="124"/>
        <v>0.16448611111111111</v>
      </c>
      <c r="AU74" s="386">
        <f t="shared" si="125"/>
        <v>0.36037310937500006</v>
      </c>
      <c r="AV74" s="386">
        <f t="shared" si="126"/>
        <v>8.489034041530924E-2</v>
      </c>
      <c r="AW74" s="386" t="e">
        <f t="shared" si="127"/>
        <v>#VALUE!</v>
      </c>
      <c r="AX74" s="386">
        <f t="shared" si="128"/>
        <v>3.8400000000000004E-2</v>
      </c>
      <c r="AY74" s="386">
        <f t="shared" si="129"/>
        <v>0.62080000000000002</v>
      </c>
      <c r="AZ74" s="386">
        <f t="shared" si="130"/>
        <v>0.47314285714285709</v>
      </c>
      <c r="BA74" s="386">
        <f t="shared" si="57"/>
        <v>0.65920000000000001</v>
      </c>
      <c r="BB74" s="386" t="e">
        <f t="shared" si="58"/>
        <v>#VALUE!</v>
      </c>
      <c r="BC74">
        <f t="shared" si="131"/>
        <v>166.4</v>
      </c>
      <c r="BD74" s="604" t="e">
        <f t="shared" ref="BD74:BD109" si="146">BC74/(BC74+BB74)</f>
        <v>#VALUE!</v>
      </c>
      <c r="BE74" s="614">
        <f t="shared" si="132"/>
        <v>68.830327492368852</v>
      </c>
      <c r="BF74" s="614">
        <f t="shared" si="133"/>
        <v>10.760044465249337</v>
      </c>
      <c r="BG74" s="9"/>
      <c r="BH74" s="4" t="e">
        <f t="shared" ref="BH74:BH109" si="147">BD74*100</f>
        <v>#VALUE!</v>
      </c>
      <c r="BI74" s="386">
        <f t="shared" ref="BI74:BI109" si="148">T74</f>
        <v>0.98372552180139072</v>
      </c>
      <c r="BJ74" s="386">
        <f t="shared" ref="BJ74:BJ109" si="149">AE74+AI74+AN74+AR74+AU74</f>
        <v>2.3178269712047914</v>
      </c>
      <c r="BK74" s="386">
        <f t="shared" si="134"/>
        <v>1.376606549847377</v>
      </c>
      <c r="BL74" s="386">
        <f t="shared" si="135"/>
        <v>0.21520088930498674</v>
      </c>
      <c r="BM74" s="386">
        <f t="shared" ref="BM74:BM109" si="150">AV74</f>
        <v>8.489034041530924E-2</v>
      </c>
      <c r="BS74" s="18"/>
      <c r="BT74" s="19"/>
    </row>
    <row r="75" spans="1:72" x14ac:dyDescent="0.2">
      <c r="A75" s="34" t="s">
        <v>119</v>
      </c>
      <c r="B75" s="80">
        <f>BA9</f>
        <v>0.65920000000000001</v>
      </c>
      <c r="C75" s="81" t="s">
        <v>120</v>
      </c>
      <c r="G75">
        <v>66</v>
      </c>
      <c r="H75" s="610">
        <f t="shared" si="97"/>
        <v>12</v>
      </c>
      <c r="I75" s="4" t="str">
        <f t="shared" si="98"/>
        <v>BUCK-BST</v>
      </c>
      <c r="J75">
        <f t="shared" si="136"/>
        <v>3</v>
      </c>
      <c r="K75" s="386">
        <f t="shared" si="137"/>
        <v>13.2</v>
      </c>
      <c r="L75" s="4">
        <f t="shared" si="99"/>
        <v>15.644444444444444</v>
      </c>
      <c r="M75" s="4">
        <f t="shared" ref="M75:M108" si="151">K75/(1-O75)</f>
        <v>14.628571428571428</v>
      </c>
      <c r="N75" s="386">
        <f t="shared" si="100"/>
        <v>0.96250000000000002</v>
      </c>
      <c r="O75" s="386">
        <f t="shared" si="101"/>
        <v>9.765625E-2</v>
      </c>
      <c r="P75" s="4">
        <f t="shared" si="102"/>
        <v>4.6521166666666671</v>
      </c>
      <c r="Q75" s="4">
        <f t="shared" si="103"/>
        <v>14.690085698553274</v>
      </c>
      <c r="R75" s="386">
        <f t="shared" si="138"/>
        <v>0.51452002744550784</v>
      </c>
      <c r="S75" s="386">
        <f t="shared" si="139"/>
        <v>0.48503175424904488</v>
      </c>
      <c r="T75" s="386">
        <f t="shared" si="140"/>
        <v>0.99955178169455272</v>
      </c>
      <c r="U75" s="4">
        <f t="shared" si="104"/>
        <v>4.3648973125039037</v>
      </c>
      <c r="V75" s="386">
        <f t="shared" si="141"/>
        <v>3.8104657097407603E-2</v>
      </c>
      <c r="W75" s="386">
        <f t="shared" si="142"/>
        <v>3.8104657097407603E-2</v>
      </c>
      <c r="X75" s="4">
        <f t="shared" si="105"/>
        <v>1.3429504049007726</v>
      </c>
      <c r="Y75" s="386">
        <f t="shared" si="143"/>
        <v>3.607031580046298E-3</v>
      </c>
      <c r="Z75" s="603">
        <f t="shared" si="144"/>
        <v>3.607031580046298E-3</v>
      </c>
      <c r="AA75" s="386">
        <f t="shared" si="106"/>
        <v>14.412014767622985</v>
      </c>
      <c r="AB75" s="386">
        <f t="shared" si="107"/>
        <v>0.39464172235814765</v>
      </c>
      <c r="AC75" s="386">
        <f t="shared" si="108"/>
        <v>0.27456763641751963</v>
      </c>
      <c r="AD75" s="386">
        <f t="shared" si="109"/>
        <v>0</v>
      </c>
      <c r="AE75" s="386">
        <f t="shared" si="110"/>
        <v>0.72655515426948736</v>
      </c>
      <c r="AF75" s="386">
        <f t="shared" si="111"/>
        <v>2.8447228632428283</v>
      </c>
      <c r="AG75" s="386">
        <f t="shared" si="112"/>
        <v>1.5375651520447302E-2</v>
      </c>
      <c r="AH75" s="386">
        <f t="shared" si="113"/>
        <v>0</v>
      </c>
      <c r="AI75" s="386">
        <f t="shared" si="114"/>
        <v>1.54230794995989E-2</v>
      </c>
      <c r="AJ75" s="386">
        <f t="shared" si="115"/>
        <v>4.5906517807978977</v>
      </c>
      <c r="AK75" s="386">
        <f t="shared" si="116"/>
        <v>1.0537041886271454E-2</v>
      </c>
      <c r="AL75" s="386">
        <f t="shared" si="117"/>
        <v>1.1262092029730675</v>
      </c>
      <c r="AM75" s="386">
        <f t="shared" si="118"/>
        <v>0</v>
      </c>
      <c r="AN75" s="386">
        <f t="shared" si="119"/>
        <v>1.1391468925636508</v>
      </c>
      <c r="AO75" s="386">
        <f t="shared" si="145"/>
        <v>13.954373295074792</v>
      </c>
      <c r="AP75" s="386">
        <f t="shared" si="120"/>
        <v>9.7362267029148242E-2</v>
      </c>
      <c r="AQ75" s="386">
        <f t="shared" si="121"/>
        <v>0</v>
      </c>
      <c r="AR75" s="386">
        <f t="shared" si="122"/>
        <v>9.9295799865422266E-2</v>
      </c>
      <c r="AS75" s="386">
        <f t="shared" si="123"/>
        <v>0</v>
      </c>
      <c r="AT75" s="386">
        <f t="shared" si="124"/>
        <v>0.16701666666666665</v>
      </c>
      <c r="AU75" s="386">
        <f t="shared" si="125"/>
        <v>0.36448099749999996</v>
      </c>
      <c r="AV75" s="386">
        <f t="shared" si="126"/>
        <v>8.7499595823598147E-2</v>
      </c>
      <c r="AW75" s="386" t="e">
        <f t="shared" si="127"/>
        <v>#VALUE!</v>
      </c>
      <c r="AX75" s="386">
        <f t="shared" si="128"/>
        <v>3.8400000000000004E-2</v>
      </c>
      <c r="AY75" s="386">
        <f t="shared" si="129"/>
        <v>0.62080000000000002</v>
      </c>
      <c r="AZ75" s="386">
        <f t="shared" si="130"/>
        <v>0.47314285714285709</v>
      </c>
      <c r="BA75" s="386">
        <f t="shared" ref="BA75:BA109" si="152">SUM(AX75:AY75)</f>
        <v>0.65920000000000001</v>
      </c>
      <c r="BB75" s="386" t="e">
        <f t="shared" ref="BB75:BB109" si="153">SUM(T75,W75,Z75,AE75,AI75,AN75,AR75, AT75,AU75,BA75,AV75,AW75)</f>
        <v>#VALUE!</v>
      </c>
      <c r="BC75">
        <f t="shared" si="131"/>
        <v>168.96</v>
      </c>
      <c r="BD75" s="604" t="e">
        <f t="shared" si="146"/>
        <v>#VALUE!</v>
      </c>
      <c r="BE75" s="614">
        <f t="shared" si="132"/>
        <v>68.985217545682545</v>
      </c>
      <c r="BF75" s="614">
        <f t="shared" si="133"/>
        <v>10.978726452021112</v>
      </c>
      <c r="BG75" s="9"/>
      <c r="BH75" s="4" t="e">
        <f t="shared" si="147"/>
        <v>#VALUE!</v>
      </c>
      <c r="BI75" s="386">
        <f t="shared" si="148"/>
        <v>0.99955178169455272</v>
      </c>
      <c r="BJ75" s="386">
        <f t="shared" si="149"/>
        <v>2.3449019236981594</v>
      </c>
      <c r="BK75" s="386">
        <f t="shared" si="134"/>
        <v>1.3797043509136508</v>
      </c>
      <c r="BL75" s="386">
        <f t="shared" si="135"/>
        <v>0.21957452904042224</v>
      </c>
      <c r="BM75" s="386">
        <f t="shared" si="150"/>
        <v>8.7499595823598147E-2</v>
      </c>
      <c r="BS75" s="18"/>
      <c r="BT75" s="19"/>
    </row>
    <row r="76" spans="1:72" x14ac:dyDescent="0.2">
      <c r="A76" s="34" t="s">
        <v>123</v>
      </c>
      <c r="B76" s="79">
        <f>B75*B62</f>
        <v>19.776</v>
      </c>
      <c r="C76" s="482" t="s">
        <v>673</v>
      </c>
      <c r="G76">
        <v>67</v>
      </c>
      <c r="H76" s="610">
        <f t="shared" si="97"/>
        <v>12</v>
      </c>
      <c r="I76" s="4" t="str">
        <f t="shared" si="98"/>
        <v>BUCK-BST</v>
      </c>
      <c r="J76">
        <f t="shared" si="136"/>
        <v>3</v>
      </c>
      <c r="K76" s="386">
        <f t="shared" si="137"/>
        <v>13.4</v>
      </c>
      <c r="L76" s="4">
        <f t="shared" si="99"/>
        <v>15.881481481481481</v>
      </c>
      <c r="M76" s="4">
        <f t="shared" si="151"/>
        <v>14.85021645021645</v>
      </c>
      <c r="N76" s="386">
        <f t="shared" si="100"/>
        <v>0.96250000000000002</v>
      </c>
      <c r="O76" s="386">
        <f t="shared" si="101"/>
        <v>9.765625E-2</v>
      </c>
      <c r="P76" s="4">
        <f t="shared" si="102"/>
        <v>4.6515805555555554</v>
      </c>
      <c r="Q76" s="4">
        <f t="shared" si="103"/>
        <v>14.910802418281</v>
      </c>
      <c r="R76" s="386">
        <f t="shared" si="138"/>
        <v>0.53075880351654214</v>
      </c>
      <c r="S76" s="386">
        <f t="shared" si="139"/>
        <v>0.48490298142344918</v>
      </c>
      <c r="T76" s="386">
        <f t="shared" si="140"/>
        <v>1.0156617849399914</v>
      </c>
      <c r="U76" s="4">
        <f t="shared" si="104"/>
        <v>4.4303545163514579</v>
      </c>
      <c r="V76" s="386">
        <f t="shared" si="141"/>
        <v>3.9256082281111528E-2</v>
      </c>
      <c r="W76" s="386">
        <f t="shared" si="142"/>
        <v>3.9256082281111528E-2</v>
      </c>
      <c r="X76" s="4">
        <f t="shared" si="105"/>
        <v>1.3427956429536145</v>
      </c>
      <c r="Y76" s="386">
        <f t="shared" si="143"/>
        <v>3.606200277470422E-3</v>
      </c>
      <c r="Z76" s="603">
        <f t="shared" si="144"/>
        <v>3.606200277470422E-3</v>
      </c>
      <c r="AA76" s="386">
        <f t="shared" si="106"/>
        <v>14.628553506024664</v>
      </c>
      <c r="AB76" s="386">
        <f t="shared" si="107"/>
        <v>0.40658969758939034</v>
      </c>
      <c r="AC76" s="386">
        <f t="shared" si="108"/>
        <v>0.27872775212081546</v>
      </c>
      <c r="AD76" s="386">
        <f t="shared" si="109"/>
        <v>0</v>
      </c>
      <c r="AE76" s="386">
        <f t="shared" si="110"/>
        <v>0.74597891826749396</v>
      </c>
      <c r="AF76" s="386">
        <f t="shared" si="111"/>
        <v>2.8874644722295786</v>
      </c>
      <c r="AG76" s="386">
        <f t="shared" si="112"/>
        <v>1.5841157048937272E-2</v>
      </c>
      <c r="AH76" s="386">
        <f t="shared" si="113"/>
        <v>0</v>
      </c>
      <c r="AI76" s="386">
        <f t="shared" si="114"/>
        <v>1.5891505014272285E-2</v>
      </c>
      <c r="AJ76" s="386">
        <f t="shared" si="115"/>
        <v>4.6596257557128125</v>
      </c>
      <c r="AK76" s="386">
        <f t="shared" si="116"/>
        <v>1.0856056091651099E-2</v>
      </c>
      <c r="AL76" s="386">
        <f t="shared" si="117"/>
        <v>1.1262092029730675</v>
      </c>
      <c r="AM76" s="386">
        <f t="shared" si="118"/>
        <v>0</v>
      </c>
      <c r="AN76" s="386">
        <f t="shared" si="119"/>
        <v>1.1395394398803165</v>
      </c>
      <c r="AO76" s="386">
        <f t="shared" si="145"/>
        <v>14.164036026984411</v>
      </c>
      <c r="AP76" s="386">
        <f t="shared" si="120"/>
        <v>0.10030995828685615</v>
      </c>
      <c r="AQ76" s="386">
        <f t="shared" si="121"/>
        <v>0</v>
      </c>
      <c r="AR76" s="386">
        <f t="shared" si="122"/>
        <v>0.10236357548423966</v>
      </c>
      <c r="AS76" s="386">
        <f t="shared" si="123"/>
        <v>0</v>
      </c>
      <c r="AT76" s="386">
        <f t="shared" si="124"/>
        <v>0.16954722222222224</v>
      </c>
      <c r="AU76" s="386">
        <f t="shared" si="125"/>
        <v>0.36858862437500001</v>
      </c>
      <c r="AV76" s="386">
        <f t="shared" si="126"/>
        <v>9.0148689785070721E-2</v>
      </c>
      <c r="AW76" s="386" t="e">
        <f t="shared" si="127"/>
        <v>#VALUE!</v>
      </c>
      <c r="AX76" s="386">
        <f t="shared" si="128"/>
        <v>3.8400000000000004E-2</v>
      </c>
      <c r="AY76" s="386">
        <f t="shared" si="129"/>
        <v>0.62080000000000002</v>
      </c>
      <c r="AZ76" s="386">
        <f t="shared" si="130"/>
        <v>0.47314285714285709</v>
      </c>
      <c r="BA76" s="386">
        <f t="shared" si="152"/>
        <v>0.65920000000000001</v>
      </c>
      <c r="BB76" s="386" t="e">
        <f t="shared" si="153"/>
        <v>#VALUE!</v>
      </c>
      <c r="BC76">
        <f t="shared" si="131"/>
        <v>171.52</v>
      </c>
      <c r="BD76" s="604" t="e">
        <f t="shared" si="146"/>
        <v>#VALUE!</v>
      </c>
      <c r="BE76" s="614">
        <f t="shared" si="132"/>
        <v>69.140396598390822</v>
      </c>
      <c r="BF76" s="614">
        <f t="shared" si="133"/>
        <v>11.199891076399483</v>
      </c>
      <c r="BG76" s="9"/>
      <c r="BH76" s="4" t="e">
        <f t="shared" si="147"/>
        <v>#VALUE!</v>
      </c>
      <c r="BI76" s="386">
        <f t="shared" si="148"/>
        <v>1.0156617849399914</v>
      </c>
      <c r="BJ76" s="386">
        <f t="shared" si="149"/>
        <v>2.3723620630213227</v>
      </c>
      <c r="BK76" s="386">
        <f t="shared" si="134"/>
        <v>1.3828079319678164</v>
      </c>
      <c r="BL76" s="386">
        <f t="shared" si="135"/>
        <v>0.22399782152798967</v>
      </c>
      <c r="BM76" s="386">
        <f t="shared" si="150"/>
        <v>9.0148689785070721E-2</v>
      </c>
      <c r="BS76" s="18"/>
      <c r="BT76" s="19"/>
    </row>
    <row r="77" spans="1:72" x14ac:dyDescent="0.2">
      <c r="A77" s="34" t="s">
        <v>246</v>
      </c>
      <c r="B77" s="79">
        <f>(Qg_Q1+Qg_Q2)*Fsw+Iq</f>
        <v>5.1000000000000004E-2</v>
      </c>
      <c r="C77" s="21" t="s">
        <v>2</v>
      </c>
      <c r="G77">
        <v>68</v>
      </c>
      <c r="H77" s="610">
        <f t="shared" si="97"/>
        <v>12</v>
      </c>
      <c r="I77" s="4" t="str">
        <f t="shared" si="98"/>
        <v>BUCK-BST</v>
      </c>
      <c r="J77">
        <f t="shared" si="136"/>
        <v>3</v>
      </c>
      <c r="K77" s="386">
        <f t="shared" si="137"/>
        <v>13.6</v>
      </c>
      <c r="L77" s="4">
        <f t="shared" si="99"/>
        <v>16.118518518518517</v>
      </c>
      <c r="M77" s="4">
        <f t="shared" si="151"/>
        <v>15.071861471861471</v>
      </c>
      <c r="N77" s="386">
        <f t="shared" si="100"/>
        <v>0.96250000000000002</v>
      </c>
      <c r="O77" s="386">
        <f t="shared" si="101"/>
        <v>9.765625E-2</v>
      </c>
      <c r="P77" s="4">
        <f t="shared" si="102"/>
        <v>4.6510444444444445</v>
      </c>
      <c r="Q77" s="4">
        <f t="shared" si="103"/>
        <v>15.13154627796948</v>
      </c>
      <c r="R77" s="386">
        <f t="shared" si="138"/>
        <v>0.54728328226279743</v>
      </c>
      <c r="S77" s="386">
        <f t="shared" si="139"/>
        <v>0.48477422794974667</v>
      </c>
      <c r="T77" s="386">
        <f t="shared" si="140"/>
        <v>1.0320575102125442</v>
      </c>
      <c r="U77" s="4">
        <f t="shared" si="104"/>
        <v>4.4958215874576224</v>
      </c>
      <c r="V77" s="386">
        <f t="shared" si="141"/>
        <v>4.0424823492499956E-2</v>
      </c>
      <c r="W77" s="386">
        <f t="shared" si="142"/>
        <v>4.0424823492499956E-2</v>
      </c>
      <c r="X77" s="4">
        <f t="shared" si="105"/>
        <v>1.3426408810064567</v>
      </c>
      <c r="Y77" s="386">
        <f t="shared" si="143"/>
        <v>3.6053690706995887E-3</v>
      </c>
      <c r="Z77" s="603">
        <f t="shared" si="144"/>
        <v>3.6053690706995887E-3</v>
      </c>
      <c r="AA77" s="386">
        <f t="shared" si="106"/>
        <v>14.845118870650534</v>
      </c>
      <c r="AB77" s="386">
        <f t="shared" si="107"/>
        <v>0.41871735313911473</v>
      </c>
      <c r="AC77" s="386">
        <f t="shared" si="108"/>
        <v>0.28288786782411118</v>
      </c>
      <c r="AD77" s="386">
        <f t="shared" si="109"/>
        <v>0</v>
      </c>
      <c r="AE77" s="386">
        <f t="shared" si="110"/>
        <v>0.76573011866444096</v>
      </c>
      <c r="AF77" s="386">
        <f t="shared" si="111"/>
        <v>2.9302113368471305</v>
      </c>
      <c r="AG77" s="386">
        <f t="shared" si="112"/>
        <v>1.6313663109316149E-2</v>
      </c>
      <c r="AH77" s="386">
        <f t="shared" si="113"/>
        <v>0</v>
      </c>
      <c r="AI77" s="386">
        <f t="shared" si="114"/>
        <v>1.6367064464468509E-2</v>
      </c>
      <c r="AJ77" s="386">
        <f t="shared" si="115"/>
        <v>4.7286082118654624</v>
      </c>
      <c r="AK77" s="386">
        <f t="shared" si="116"/>
        <v>1.1179867810660745E-2</v>
      </c>
      <c r="AL77" s="386">
        <f t="shared" si="117"/>
        <v>1.1262092029730675</v>
      </c>
      <c r="AM77" s="386">
        <f t="shared" si="118"/>
        <v>0</v>
      </c>
      <c r="AN77" s="386">
        <f t="shared" si="119"/>
        <v>1.1399379418842528</v>
      </c>
      <c r="AO77" s="386">
        <f t="shared" si="145"/>
        <v>14.373724539624744</v>
      </c>
      <c r="AP77" s="386">
        <f t="shared" si="120"/>
        <v>0.10330197857050528</v>
      </c>
      <c r="AQ77" s="386">
        <f t="shared" si="121"/>
        <v>0</v>
      </c>
      <c r="AR77" s="386">
        <f t="shared" si="122"/>
        <v>0.10548126320882281</v>
      </c>
      <c r="AS77" s="386">
        <f t="shared" si="123"/>
        <v>0</v>
      </c>
      <c r="AT77" s="386">
        <f t="shared" si="124"/>
        <v>0.17207777777777777</v>
      </c>
      <c r="AU77" s="386">
        <f t="shared" si="125"/>
        <v>0.37269599000000003</v>
      </c>
      <c r="AV77" s="386">
        <f t="shared" si="126"/>
        <v>9.2837622299726807E-2</v>
      </c>
      <c r="AW77" s="386" t="e">
        <f t="shared" si="127"/>
        <v>#VALUE!</v>
      </c>
      <c r="AX77" s="386">
        <f t="shared" si="128"/>
        <v>3.8400000000000004E-2</v>
      </c>
      <c r="AY77" s="386">
        <f t="shared" si="129"/>
        <v>0.62080000000000002</v>
      </c>
      <c r="AZ77" s="386">
        <f t="shared" si="130"/>
        <v>0.47314285714285709</v>
      </c>
      <c r="BA77" s="386">
        <f t="shared" si="152"/>
        <v>0.65920000000000001</v>
      </c>
      <c r="BB77" s="386" t="e">
        <f t="shared" si="153"/>
        <v>#VALUE!</v>
      </c>
      <c r="BC77">
        <f t="shared" si="131"/>
        <v>174.08</v>
      </c>
      <c r="BD77" s="604" t="e">
        <f t="shared" si="146"/>
        <v>#VALUE!</v>
      </c>
      <c r="BE77" s="614">
        <f t="shared" si="132"/>
        <v>69.295864764212638</v>
      </c>
      <c r="BF77" s="614">
        <f t="shared" si="133"/>
        <v>11.423546995441141</v>
      </c>
      <c r="BG77" s="9"/>
      <c r="BH77" s="4" t="e">
        <f t="shared" si="147"/>
        <v>#VALUE!</v>
      </c>
      <c r="BI77" s="386">
        <f t="shared" si="148"/>
        <v>1.0320575102125442</v>
      </c>
      <c r="BJ77" s="386">
        <f t="shared" si="149"/>
        <v>2.4002123782219851</v>
      </c>
      <c r="BK77" s="386">
        <f t="shared" si="134"/>
        <v>1.3859172952842529</v>
      </c>
      <c r="BL77" s="386">
        <f t="shared" si="135"/>
        <v>0.22847093990882283</v>
      </c>
      <c r="BM77" s="386">
        <f t="shared" si="150"/>
        <v>9.2837622299726807E-2</v>
      </c>
      <c r="BS77" s="18"/>
      <c r="BT77" s="19"/>
    </row>
    <row r="78" spans="1:72" x14ac:dyDescent="0.2">
      <c r="A78" s="34" t="s">
        <v>247</v>
      </c>
      <c r="B78" s="78">
        <f>Qrr_Q2*Fsw</f>
        <v>6.8750000000000006E-2</v>
      </c>
      <c r="C78" s="21" t="s">
        <v>2</v>
      </c>
      <c r="G78">
        <v>69</v>
      </c>
      <c r="H78" s="610">
        <f t="shared" si="97"/>
        <v>12</v>
      </c>
      <c r="I78" s="4" t="str">
        <f t="shared" si="98"/>
        <v>BUCK-BST</v>
      </c>
      <c r="J78">
        <f t="shared" si="136"/>
        <v>3</v>
      </c>
      <c r="K78" s="386">
        <f t="shared" si="137"/>
        <v>13.8</v>
      </c>
      <c r="L78" s="4">
        <f t="shared" si="99"/>
        <v>16.355555555555554</v>
      </c>
      <c r="M78" s="4">
        <f t="shared" si="151"/>
        <v>15.293506493506495</v>
      </c>
      <c r="N78" s="386">
        <f t="shared" si="100"/>
        <v>0.96250000000000002</v>
      </c>
      <c r="O78" s="386">
        <f t="shared" si="101"/>
        <v>9.765625E-2</v>
      </c>
      <c r="P78" s="4">
        <f t="shared" si="102"/>
        <v>4.6505083333333337</v>
      </c>
      <c r="Q78" s="4">
        <f t="shared" si="103"/>
        <v>15.352316106919902</v>
      </c>
      <c r="R78" s="386">
        <f t="shared" si="138"/>
        <v>0.5640954845832935</v>
      </c>
      <c r="S78" s="386">
        <f t="shared" si="139"/>
        <v>0.48464549382725858</v>
      </c>
      <c r="T78" s="386">
        <f t="shared" si="140"/>
        <v>1.0487409784105521</v>
      </c>
      <c r="U78" s="4">
        <f t="shared" si="104"/>
        <v>4.561298100956181</v>
      </c>
      <c r="V78" s="386">
        <f t="shared" si="141"/>
        <v>4.161088073157293E-2</v>
      </c>
      <c r="W78" s="386">
        <f t="shared" si="142"/>
        <v>4.161088073157293E-2</v>
      </c>
      <c r="X78" s="4">
        <f t="shared" si="105"/>
        <v>1.3424861190592992</v>
      </c>
      <c r="Y78" s="386">
        <f t="shared" si="143"/>
        <v>3.6045379597337973E-3</v>
      </c>
      <c r="Z78" s="603">
        <f t="shared" si="144"/>
        <v>3.6045379597337973E-3</v>
      </c>
      <c r="AA78" s="386">
        <f t="shared" si="106"/>
        <v>15.061709712962124</v>
      </c>
      <c r="AB78" s="386">
        <f t="shared" si="107"/>
        <v>0.43102468900732138</v>
      </c>
      <c r="AC78" s="386">
        <f t="shared" si="108"/>
        <v>0.28704798352740701</v>
      </c>
      <c r="AD78" s="386">
        <f t="shared" si="109"/>
        <v>0</v>
      </c>
      <c r="AE78" s="386">
        <f t="shared" si="110"/>
        <v>0.78581369306930693</v>
      </c>
      <c r="AF78" s="386">
        <f t="shared" si="111"/>
        <v>2.9729632303906324</v>
      </c>
      <c r="AG78" s="386">
        <f t="shared" si="112"/>
        <v>1.6793169701583937E-2</v>
      </c>
      <c r="AH78" s="386">
        <f t="shared" si="113"/>
        <v>0</v>
      </c>
      <c r="AI78" s="386">
        <f t="shared" si="114"/>
        <v>1.6849761883732897E-2</v>
      </c>
      <c r="AJ78" s="386">
        <f t="shared" si="115"/>
        <v>4.7975987834124698</v>
      </c>
      <c r="AK78" s="386">
        <f t="shared" si="116"/>
        <v>1.1508477043300406E-2</v>
      </c>
      <c r="AL78" s="386">
        <f t="shared" si="117"/>
        <v>1.1262092029730675</v>
      </c>
      <c r="AM78" s="386">
        <f t="shared" si="118"/>
        <v>0</v>
      </c>
      <c r="AN78" s="386">
        <f t="shared" si="119"/>
        <v>1.1403424008847849</v>
      </c>
      <c r="AO78" s="386">
        <f t="shared" si="145"/>
        <v>14.583437720928199</v>
      </c>
      <c r="AP78" s="386">
        <f t="shared" si="120"/>
        <v>0.10633832788009573</v>
      </c>
      <c r="AQ78" s="386">
        <f t="shared" si="121"/>
        <v>0</v>
      </c>
      <c r="AR78" s="386">
        <f t="shared" si="122"/>
        <v>0.1086490393133682</v>
      </c>
      <c r="AS78" s="386">
        <f t="shared" si="123"/>
        <v>0</v>
      </c>
      <c r="AT78" s="386">
        <f t="shared" si="124"/>
        <v>0.17460833333333331</v>
      </c>
      <c r="AU78" s="386">
        <f t="shared" si="125"/>
        <v>0.37680309437499998</v>
      </c>
      <c r="AV78" s="386">
        <f t="shared" si="126"/>
        <v>9.556639336756656E-2</v>
      </c>
      <c r="AW78" s="386" t="e">
        <f t="shared" si="127"/>
        <v>#VALUE!</v>
      </c>
      <c r="AX78" s="386">
        <f t="shared" si="128"/>
        <v>3.8400000000000004E-2</v>
      </c>
      <c r="AY78" s="386">
        <f t="shared" si="129"/>
        <v>0.62080000000000002</v>
      </c>
      <c r="AZ78" s="386">
        <f t="shared" si="130"/>
        <v>0.47314285714285709</v>
      </c>
      <c r="BA78" s="386">
        <f t="shared" si="152"/>
        <v>0.65920000000000001</v>
      </c>
      <c r="BB78" s="386" t="e">
        <f t="shared" si="153"/>
        <v>#VALUE!</v>
      </c>
      <c r="BC78">
        <f t="shared" si="131"/>
        <v>176.64000000000001</v>
      </c>
      <c r="BD78" s="604" t="e">
        <f t="shared" si="146"/>
        <v>#VALUE!</v>
      </c>
      <c r="BE78" s="614">
        <f t="shared" si="132"/>
        <v>69.451622158614242</v>
      </c>
      <c r="BF78" s="614">
        <f t="shared" si="133"/>
        <v>11.64970302285591</v>
      </c>
      <c r="BG78" s="9"/>
      <c r="BH78" s="4" t="e">
        <f t="shared" si="147"/>
        <v>#VALUE!</v>
      </c>
      <c r="BI78" s="386">
        <f t="shared" si="148"/>
        <v>1.0487409784105521</v>
      </c>
      <c r="BJ78" s="386">
        <f t="shared" si="149"/>
        <v>2.4284579895261929</v>
      </c>
      <c r="BK78" s="386">
        <f t="shared" si="134"/>
        <v>1.3890324431722849</v>
      </c>
      <c r="BL78" s="386">
        <f t="shared" si="135"/>
        <v>0.23299406045711818</v>
      </c>
      <c r="BM78" s="386">
        <f t="shared" si="150"/>
        <v>9.556639336756656E-2</v>
      </c>
      <c r="BS78" s="18"/>
      <c r="BT78" s="19"/>
    </row>
    <row r="79" spans="1:72" x14ac:dyDescent="0.2">
      <c r="A79" s="34" t="s">
        <v>248</v>
      </c>
      <c r="B79" s="78" t="e">
        <f>C79/Vin</f>
        <v>#NAME?</v>
      </c>
      <c r="C79" s="21" t="e">
        <f>Deadtime*Fsw*(Iripple_Vinnom/2)*(VsdTop+VsdBot)</f>
        <v>#NAME?</v>
      </c>
      <c r="G79">
        <v>70</v>
      </c>
      <c r="H79" s="610">
        <f t="shared" si="97"/>
        <v>12</v>
      </c>
      <c r="I79" s="4" t="str">
        <f t="shared" si="98"/>
        <v>BUCK-BST</v>
      </c>
      <c r="J79">
        <f t="shared" si="136"/>
        <v>3</v>
      </c>
      <c r="K79" s="386">
        <f t="shared" si="137"/>
        <v>14</v>
      </c>
      <c r="L79" s="4">
        <f t="shared" si="99"/>
        <v>16.592592592592592</v>
      </c>
      <c r="M79" s="4">
        <f t="shared" si="151"/>
        <v>15.515151515151516</v>
      </c>
      <c r="N79" s="386">
        <f t="shared" si="100"/>
        <v>0.96250000000000002</v>
      </c>
      <c r="O79" s="386">
        <f t="shared" si="101"/>
        <v>9.765625E-2</v>
      </c>
      <c r="P79" s="4">
        <f t="shared" si="102"/>
        <v>4.649972222222222</v>
      </c>
      <c r="Q79" s="4">
        <f t="shared" si="103"/>
        <v>15.573110800684457</v>
      </c>
      <c r="R79" s="386">
        <f t="shared" si="138"/>
        <v>0.58119747424964296</v>
      </c>
      <c r="S79" s="386">
        <f t="shared" si="139"/>
        <v>0.4845167790553061</v>
      </c>
      <c r="T79" s="386">
        <f t="shared" si="140"/>
        <v>1.0657142533049491</v>
      </c>
      <c r="U79" s="4">
        <f t="shared" si="104"/>
        <v>4.626783655971523</v>
      </c>
      <c r="V79" s="386">
        <f t="shared" si="141"/>
        <v>4.2814253998330422E-2</v>
      </c>
      <c r="W79" s="386">
        <f t="shared" si="142"/>
        <v>4.2814253998330422E-2</v>
      </c>
      <c r="X79" s="4">
        <f t="shared" si="105"/>
        <v>1.3423313571121411</v>
      </c>
      <c r="Y79" s="386">
        <f t="shared" si="143"/>
        <v>3.6037069445730451E-3</v>
      </c>
      <c r="Z79" s="603">
        <f t="shared" si="144"/>
        <v>3.6037069445730451E-3</v>
      </c>
      <c r="AA79" s="386">
        <f t="shared" si="106"/>
        <v>15.278324949417888</v>
      </c>
      <c r="AB79" s="386">
        <f t="shared" si="107"/>
        <v>0.44351170519400973</v>
      </c>
      <c r="AC79" s="386">
        <f t="shared" si="108"/>
        <v>0.29120809923070273</v>
      </c>
      <c r="AD79" s="386">
        <f t="shared" si="109"/>
        <v>0</v>
      </c>
      <c r="AE79" s="386">
        <f t="shared" si="110"/>
        <v>0.80623471068962327</v>
      </c>
      <c r="AF79" s="386">
        <f t="shared" si="111"/>
        <v>3.0157199389846872</v>
      </c>
      <c r="AG79" s="386">
        <f t="shared" si="112"/>
        <v>1.7279676825740629E-2</v>
      </c>
      <c r="AH79" s="386">
        <f t="shared" si="113"/>
        <v>0</v>
      </c>
      <c r="AI79" s="386">
        <f t="shared" si="114"/>
        <v>1.7339601367323532E-2</v>
      </c>
      <c r="AJ79" s="386">
        <f t="shared" si="115"/>
        <v>4.8665971252138931</v>
      </c>
      <c r="AK79" s="386">
        <f t="shared" si="116"/>
        <v>1.1841883789570065E-2</v>
      </c>
      <c r="AL79" s="386">
        <f t="shared" si="117"/>
        <v>1.1262092029730675</v>
      </c>
      <c r="AM79" s="386">
        <f t="shared" si="118"/>
        <v>0</v>
      </c>
      <c r="AN79" s="386">
        <f t="shared" si="119"/>
        <v>1.1407528192262177</v>
      </c>
      <c r="AO79" s="386">
        <f t="shared" si="145"/>
        <v>14.793174521760188</v>
      </c>
      <c r="AP79" s="386">
        <f t="shared" si="120"/>
        <v>0.10941900621562738</v>
      </c>
      <c r="AQ79" s="386">
        <f t="shared" si="121"/>
        <v>0</v>
      </c>
      <c r="AR79" s="386">
        <f t="shared" si="122"/>
        <v>0.11186708323069611</v>
      </c>
      <c r="AS79" s="386">
        <f t="shared" si="123"/>
        <v>0</v>
      </c>
      <c r="AT79" s="386">
        <f t="shared" si="124"/>
        <v>0.1771388888888889</v>
      </c>
      <c r="AU79" s="386">
        <f t="shared" si="125"/>
        <v>0.38090993750000002</v>
      </c>
      <c r="AV79" s="386">
        <f t="shared" si="126"/>
        <v>9.8335002988589798E-2</v>
      </c>
      <c r="AW79" s="386" t="e">
        <f t="shared" si="127"/>
        <v>#VALUE!</v>
      </c>
      <c r="AX79" s="386">
        <f t="shared" si="128"/>
        <v>3.8400000000000004E-2</v>
      </c>
      <c r="AY79" s="386">
        <f t="shared" si="129"/>
        <v>0.62080000000000002</v>
      </c>
      <c r="AZ79" s="386">
        <f t="shared" si="130"/>
        <v>0.47314285714285709</v>
      </c>
      <c r="BA79" s="386">
        <f t="shared" si="152"/>
        <v>0.65920000000000001</v>
      </c>
      <c r="BB79" s="386" t="e">
        <f t="shared" si="153"/>
        <v>#VALUE!</v>
      </c>
      <c r="BC79">
        <f t="shared" si="131"/>
        <v>179.20000000000002</v>
      </c>
      <c r="BD79" s="604" t="e">
        <f t="shared" si="146"/>
        <v>#VALUE!</v>
      </c>
      <c r="BE79" s="614">
        <f t="shared" si="132"/>
        <v>69.607668898810886</v>
      </c>
      <c r="BF79" s="614">
        <f t="shared" si="133"/>
        <v>11.878368130284805</v>
      </c>
      <c r="BG79" s="9"/>
      <c r="BH79" s="4" t="e">
        <f t="shared" si="147"/>
        <v>#VALUE!</v>
      </c>
      <c r="BI79" s="386">
        <f t="shared" si="148"/>
        <v>1.0657142533049491</v>
      </c>
      <c r="BJ79" s="386">
        <f t="shared" si="149"/>
        <v>2.4571041520138603</v>
      </c>
      <c r="BK79" s="386">
        <f t="shared" si="134"/>
        <v>1.3921533779762179</v>
      </c>
      <c r="BL79" s="386">
        <f t="shared" si="135"/>
        <v>0.23756736260569611</v>
      </c>
      <c r="BM79" s="386">
        <f t="shared" si="150"/>
        <v>9.8335002988589798E-2</v>
      </c>
      <c r="BS79" s="18"/>
      <c r="BT79" s="19"/>
    </row>
    <row r="80" spans="1:72" x14ac:dyDescent="0.2">
      <c r="A80" s="34" t="s">
        <v>49</v>
      </c>
      <c r="B80" s="78" t="e">
        <f>SUM(B77:B79)</f>
        <v>#NAME?</v>
      </c>
      <c r="C80" s="21" t="s">
        <v>2</v>
      </c>
      <c r="G80">
        <v>71</v>
      </c>
      <c r="H80" s="610">
        <f t="shared" si="97"/>
        <v>12</v>
      </c>
      <c r="I80" s="4" t="str">
        <f t="shared" si="98"/>
        <v>BUCK-BST</v>
      </c>
      <c r="J80">
        <f t="shared" si="136"/>
        <v>3</v>
      </c>
      <c r="K80" s="386">
        <f t="shared" si="137"/>
        <v>14.2</v>
      </c>
      <c r="L80" s="4">
        <f t="shared" si="99"/>
        <v>16.829629629629629</v>
      </c>
      <c r="M80" s="4">
        <f t="shared" si="151"/>
        <v>15.736796536796536</v>
      </c>
      <c r="N80" s="386">
        <f t="shared" si="100"/>
        <v>0.96250000000000002</v>
      </c>
      <c r="O80" s="386">
        <f t="shared" si="101"/>
        <v>9.765625E-2</v>
      </c>
      <c r="P80" s="4">
        <f t="shared" si="102"/>
        <v>4.6494361111111111</v>
      </c>
      <c r="Q80" s="4">
        <f t="shared" si="103"/>
        <v>15.793929316453841</v>
      </c>
      <c r="R80" s="386">
        <f t="shared" si="138"/>
        <v>0.5985913585722703</v>
      </c>
      <c r="S80" s="386">
        <f t="shared" si="139"/>
        <v>0.48438808363321262</v>
      </c>
      <c r="T80" s="386">
        <f t="shared" si="140"/>
        <v>1.0829794422054828</v>
      </c>
      <c r="U80" s="4">
        <f t="shared" si="104"/>
        <v>4.6922778739527153</v>
      </c>
      <c r="V80" s="386">
        <f t="shared" si="141"/>
        <v>4.4034943292772424E-2</v>
      </c>
      <c r="W80" s="386">
        <f t="shared" si="142"/>
        <v>4.4034943292772424E-2</v>
      </c>
      <c r="X80" s="4">
        <f t="shared" si="105"/>
        <v>1.3421765951649836</v>
      </c>
      <c r="Y80" s="386">
        <f t="shared" si="143"/>
        <v>3.6028760252173365E-3</v>
      </c>
      <c r="Z80" s="603">
        <f t="shared" si="144"/>
        <v>3.6028760252173365E-3</v>
      </c>
      <c r="AA80" s="386">
        <f t="shared" si="106"/>
        <v>15.494963556948024</v>
      </c>
      <c r="AB80" s="386">
        <f t="shared" si="107"/>
        <v>0.45617840169917995</v>
      </c>
      <c r="AC80" s="386">
        <f t="shared" si="108"/>
        <v>0.2953682149339984</v>
      </c>
      <c r="AD80" s="386">
        <f t="shared" si="109"/>
        <v>0</v>
      </c>
      <c r="AE80" s="386">
        <f t="shared" si="110"/>
        <v>0.8269983761182681</v>
      </c>
      <c r="AF80" s="386">
        <f t="shared" si="111"/>
        <v>3.0584812606901401</v>
      </c>
      <c r="AG80" s="386">
        <f t="shared" si="112"/>
        <v>1.7773184481786223E-2</v>
      </c>
      <c r="AH80" s="386">
        <f t="shared" si="113"/>
        <v>0</v>
      </c>
      <c r="AI80" s="386">
        <f t="shared" si="114"/>
        <v>1.7836587072298505E-2</v>
      </c>
      <c r="AJ80" s="386">
        <f t="shared" si="115"/>
        <v>4.9356029113918254</v>
      </c>
      <c r="AK80" s="386">
        <f t="shared" si="116"/>
        <v>1.2180088049469731E-2</v>
      </c>
      <c r="AL80" s="386">
        <f t="shared" si="117"/>
        <v>1.1262092029730675</v>
      </c>
      <c r="AM80" s="386">
        <f t="shared" si="118"/>
        <v>0</v>
      </c>
      <c r="AN80" s="386">
        <f t="shared" si="119"/>
        <v>1.1411691992878712</v>
      </c>
      <c r="AO80" s="386">
        <f t="shared" si="145"/>
        <v>15.002933951537633</v>
      </c>
      <c r="AP80" s="386">
        <f t="shared" si="120"/>
        <v>0.11254401357710032</v>
      </c>
      <c r="AQ80" s="386">
        <f t="shared" si="121"/>
        <v>0</v>
      </c>
      <c r="AR80" s="386">
        <f t="shared" si="122"/>
        <v>0.11513557757833706</v>
      </c>
      <c r="AS80" s="386">
        <f t="shared" si="123"/>
        <v>0</v>
      </c>
      <c r="AT80" s="386">
        <f t="shared" si="124"/>
        <v>0.17966944444444444</v>
      </c>
      <c r="AU80" s="386">
        <f t="shared" si="125"/>
        <v>0.38501651937499998</v>
      </c>
      <c r="AV80" s="386">
        <f t="shared" si="126"/>
        <v>0.10114345116279662</v>
      </c>
      <c r="AW80" s="386" t="e">
        <f t="shared" si="127"/>
        <v>#VALUE!</v>
      </c>
      <c r="AX80" s="386">
        <f t="shared" si="128"/>
        <v>3.8400000000000004E-2</v>
      </c>
      <c r="AY80" s="386">
        <f t="shared" si="129"/>
        <v>0.62080000000000002</v>
      </c>
      <c r="AZ80" s="386">
        <f t="shared" si="130"/>
        <v>0.47314285714285709</v>
      </c>
      <c r="BA80" s="386">
        <f t="shared" si="152"/>
        <v>0.65920000000000001</v>
      </c>
      <c r="BB80" s="386" t="e">
        <f t="shared" si="153"/>
        <v>#VALUE!</v>
      </c>
      <c r="BC80">
        <f t="shared" si="131"/>
        <v>181.76</v>
      </c>
      <c r="BD80" s="604" t="e">
        <f t="shared" si="146"/>
        <v>#VALUE!</v>
      </c>
      <c r="BE80" s="614">
        <f t="shared" si="132"/>
        <v>69.764005103768554</v>
      </c>
      <c r="BF80" s="614">
        <f t="shared" si="133"/>
        <v>12.109551448604353</v>
      </c>
      <c r="BG80" s="9"/>
      <c r="BH80" s="4" t="e">
        <f t="shared" si="147"/>
        <v>#VALUE!</v>
      </c>
      <c r="BI80" s="386">
        <f t="shared" si="148"/>
        <v>1.0829794422054828</v>
      </c>
      <c r="BJ80" s="386">
        <f t="shared" si="149"/>
        <v>2.486156259431775</v>
      </c>
      <c r="BK80" s="386">
        <f t="shared" si="134"/>
        <v>1.3952801020753711</v>
      </c>
      <c r="BL80" s="386">
        <f t="shared" si="135"/>
        <v>0.24219102897208705</v>
      </c>
      <c r="BM80" s="386">
        <f t="shared" si="150"/>
        <v>0.10114345116279662</v>
      </c>
      <c r="BS80" s="18"/>
      <c r="BT80" s="19"/>
    </row>
    <row r="81" spans="1:72" x14ac:dyDescent="0.2">
      <c r="A81" s="2"/>
      <c r="G81">
        <v>72</v>
      </c>
      <c r="H81" s="610">
        <f t="shared" si="97"/>
        <v>12</v>
      </c>
      <c r="I81" s="4" t="str">
        <f t="shared" si="98"/>
        <v>BUCK-BST</v>
      </c>
      <c r="J81">
        <f t="shared" si="136"/>
        <v>3</v>
      </c>
      <c r="K81" s="386">
        <f t="shared" si="137"/>
        <v>14.4</v>
      </c>
      <c r="L81" s="4">
        <f t="shared" si="99"/>
        <v>17.066666666666666</v>
      </c>
      <c r="M81" s="4">
        <f t="shared" si="151"/>
        <v>15.958441558441558</v>
      </c>
      <c r="N81" s="386">
        <f t="shared" si="100"/>
        <v>0.96250000000000002</v>
      </c>
      <c r="O81" s="386">
        <f t="shared" si="101"/>
        <v>9.765625E-2</v>
      </c>
      <c r="P81" s="4">
        <f t="shared" si="102"/>
        <v>4.6489000000000003</v>
      </c>
      <c r="Q81" s="4">
        <f t="shared" si="103"/>
        <v>16.014770668824077</v>
      </c>
      <c r="R81" s="386">
        <f t="shared" si="138"/>
        <v>0.61627928908417084</v>
      </c>
      <c r="S81" s="386">
        <f t="shared" si="139"/>
        <v>0.48425940756029873</v>
      </c>
      <c r="T81" s="386">
        <f t="shared" si="140"/>
        <v>1.1005386966444695</v>
      </c>
      <c r="U81" s="4">
        <f t="shared" si="104"/>
        <v>4.7577803971441872</v>
      </c>
      <c r="V81" s="386">
        <f t="shared" si="141"/>
        <v>4.5272948614899E-2</v>
      </c>
      <c r="W81" s="386">
        <f t="shared" si="142"/>
        <v>4.5272948614899E-2</v>
      </c>
      <c r="X81" s="4">
        <f t="shared" si="105"/>
        <v>1.3420218332178258</v>
      </c>
      <c r="Y81" s="386">
        <f t="shared" si="143"/>
        <v>3.6020452016666672E-3</v>
      </c>
      <c r="Z81" s="603">
        <f t="shared" si="144"/>
        <v>3.6020452016666672E-3</v>
      </c>
      <c r="AA81" s="386">
        <f t="shared" si="106"/>
        <v>15.711624568801422</v>
      </c>
      <c r="AB81" s="386">
        <f t="shared" si="107"/>
        <v>0.46902477852283253</v>
      </c>
      <c r="AC81" s="386">
        <f t="shared" si="108"/>
        <v>0.29952833063729423</v>
      </c>
      <c r="AD81" s="386">
        <f t="shared" si="109"/>
        <v>0</v>
      </c>
      <c r="AE81" s="386">
        <f t="shared" si="110"/>
        <v>0.84811003326295686</v>
      </c>
      <c r="AF81" s="386">
        <f t="shared" si="111"/>
        <v>3.1012470046843328</v>
      </c>
      <c r="AG81" s="386">
        <f t="shared" si="112"/>
        <v>1.8273692669720735E-2</v>
      </c>
      <c r="AH81" s="386">
        <f t="shared" si="113"/>
        <v>0</v>
      </c>
      <c r="AI81" s="386">
        <f t="shared" si="114"/>
        <v>1.8340723217604517E-2</v>
      </c>
      <c r="AJ81" s="386">
        <f t="shared" si="115"/>
        <v>5.0046158340075237</v>
      </c>
      <c r="AK81" s="386">
        <f t="shared" si="116"/>
        <v>1.2523089822999411E-2</v>
      </c>
      <c r="AL81" s="386">
        <f t="shared" si="117"/>
        <v>1.1262092029730675</v>
      </c>
      <c r="AM81" s="386">
        <f t="shared" si="118"/>
        <v>0</v>
      </c>
      <c r="AN81" s="386">
        <f t="shared" si="119"/>
        <v>1.1415915434841124</v>
      </c>
      <c r="AO81" s="386">
        <f t="shared" si="145"/>
        <v>15.212715074207798</v>
      </c>
      <c r="AP81" s="386">
        <f t="shared" si="120"/>
        <v>0.1157133499645146</v>
      </c>
      <c r="AQ81" s="386">
        <f t="shared" si="121"/>
        <v>0</v>
      </c>
      <c r="AR81" s="386">
        <f t="shared" si="122"/>
        <v>0.11845470818514912</v>
      </c>
      <c r="AS81" s="386">
        <f t="shared" si="123"/>
        <v>0</v>
      </c>
      <c r="AT81" s="386">
        <f t="shared" si="124"/>
        <v>0.1822</v>
      </c>
      <c r="AU81" s="386">
        <f t="shared" si="125"/>
        <v>0.38912284000000003</v>
      </c>
      <c r="AV81" s="386">
        <f t="shared" si="126"/>
        <v>0.10399173789018712</v>
      </c>
      <c r="AW81" s="386" t="e">
        <f t="shared" si="127"/>
        <v>#VALUE!</v>
      </c>
      <c r="AX81" s="386">
        <f t="shared" si="128"/>
        <v>3.8400000000000004E-2</v>
      </c>
      <c r="AY81" s="386">
        <f t="shared" si="129"/>
        <v>0.62080000000000002</v>
      </c>
      <c r="AZ81" s="386">
        <f t="shared" si="130"/>
        <v>0.47314285714285709</v>
      </c>
      <c r="BA81" s="386">
        <f t="shared" si="152"/>
        <v>0.65920000000000001</v>
      </c>
      <c r="BB81" s="386" t="e">
        <f t="shared" si="153"/>
        <v>#VALUE!</v>
      </c>
      <c r="BC81">
        <f t="shared" si="131"/>
        <v>184.32000000000002</v>
      </c>
      <c r="BD81" s="604" t="e">
        <f t="shared" si="146"/>
        <v>#VALUE!</v>
      </c>
      <c r="BE81" s="614">
        <f t="shared" si="132"/>
        <v>69.920630894205615</v>
      </c>
      <c r="BF81" s="614">
        <f t="shared" si="133"/>
        <v>12.343262269257457</v>
      </c>
      <c r="BG81" s="9"/>
      <c r="BH81" s="4" t="e">
        <f t="shared" si="147"/>
        <v>#VALUE!</v>
      </c>
      <c r="BI81" s="386">
        <f t="shared" si="148"/>
        <v>1.1005386966444695</v>
      </c>
      <c r="BJ81" s="386">
        <f t="shared" si="149"/>
        <v>2.5156198481498229</v>
      </c>
      <c r="BK81" s="386">
        <f t="shared" si="134"/>
        <v>1.3984126178841123</v>
      </c>
      <c r="BL81" s="386">
        <f t="shared" si="135"/>
        <v>0.24686524538514915</v>
      </c>
      <c r="BM81" s="386">
        <f t="shared" si="150"/>
        <v>0.10399173789018712</v>
      </c>
      <c r="BS81" s="18"/>
      <c r="BT81" s="19"/>
    </row>
    <row r="82" spans="1:72" x14ac:dyDescent="0.2">
      <c r="A82" s="2"/>
      <c r="G82">
        <v>73</v>
      </c>
      <c r="H82" s="610">
        <f t="shared" si="97"/>
        <v>12</v>
      </c>
      <c r="I82" s="4" t="str">
        <f t="shared" si="98"/>
        <v>BUCK-BST</v>
      </c>
      <c r="J82">
        <f t="shared" si="136"/>
        <v>3</v>
      </c>
      <c r="K82" s="386">
        <f t="shared" si="137"/>
        <v>14.6</v>
      </c>
      <c r="L82" s="4">
        <f t="shared" si="99"/>
        <v>17.303703703703704</v>
      </c>
      <c r="M82" s="4">
        <f t="shared" si="151"/>
        <v>16.180086580086581</v>
      </c>
      <c r="N82" s="386">
        <f t="shared" si="100"/>
        <v>0.96250000000000002</v>
      </c>
      <c r="O82" s="386">
        <f t="shared" si="101"/>
        <v>9.765625E-2</v>
      </c>
      <c r="P82" s="4">
        <f t="shared" si="102"/>
        <v>4.6483638888888885</v>
      </c>
      <c r="Q82" s="4">
        <f t="shared" si="103"/>
        <v>16.235633925906878</v>
      </c>
      <c r="R82" s="386">
        <f t="shared" si="138"/>
        <v>0.63426346224264696</v>
      </c>
      <c r="S82" s="386">
        <f t="shared" si="139"/>
        <v>0.48413075083588675</v>
      </c>
      <c r="T82" s="386">
        <f t="shared" si="140"/>
        <v>1.1183942130785338</v>
      </c>
      <c r="U82" s="4">
        <f t="shared" si="104"/>
        <v>4.8232908871801463</v>
      </c>
      <c r="V82" s="386">
        <f t="shared" si="141"/>
        <v>4.6528269964710087E-2</v>
      </c>
      <c r="W82" s="386">
        <f t="shared" si="142"/>
        <v>4.6528269964710087E-2</v>
      </c>
      <c r="X82" s="4">
        <f t="shared" si="105"/>
        <v>1.3418670712706677</v>
      </c>
      <c r="Y82" s="386">
        <f t="shared" si="143"/>
        <v>3.6012144739210384E-3</v>
      </c>
      <c r="Z82" s="603">
        <f t="shared" si="144"/>
        <v>3.6012144739210384E-3</v>
      </c>
      <c r="AA82" s="386">
        <f t="shared" si="106"/>
        <v>15.928307070729652</v>
      </c>
      <c r="AB82" s="386">
        <f t="shared" si="107"/>
        <v>0.48205083566496681</v>
      </c>
      <c r="AC82" s="386">
        <f t="shared" si="108"/>
        <v>0.30368844634059</v>
      </c>
      <c r="AD82" s="386">
        <f t="shared" si="109"/>
        <v>0</v>
      </c>
      <c r="AE82" s="386">
        <f t="shared" si="110"/>
        <v>0.86957516942447111</v>
      </c>
      <c r="AF82" s="386">
        <f t="shared" si="111"/>
        <v>3.1440169905078732</v>
      </c>
      <c r="AG82" s="386">
        <f t="shared" si="112"/>
        <v>1.8781201389544148E-2</v>
      </c>
      <c r="AH82" s="386">
        <f t="shared" si="113"/>
        <v>0</v>
      </c>
      <c r="AI82" s="386">
        <f t="shared" si="114"/>
        <v>1.8852014084166802E-2</v>
      </c>
      <c r="AJ82" s="386">
        <f t="shared" si="115"/>
        <v>5.0736356018458997</v>
      </c>
      <c r="AK82" s="386">
        <f t="shared" si="116"/>
        <v>1.2870889110159104E-2</v>
      </c>
      <c r="AL82" s="386">
        <f t="shared" si="117"/>
        <v>1.1262092029730675</v>
      </c>
      <c r="AM82" s="386">
        <f t="shared" si="118"/>
        <v>0</v>
      </c>
      <c r="AN82" s="386">
        <f t="shared" si="119"/>
        <v>1.1420198542643942</v>
      </c>
      <c r="AO82" s="386">
        <f t="shared" si="145"/>
        <v>15.422517004553447</v>
      </c>
      <c r="AP82" s="386">
        <f t="shared" si="120"/>
        <v>0.11892701537787011</v>
      </c>
      <c r="AQ82" s="386">
        <f t="shared" si="121"/>
        <v>0</v>
      </c>
      <c r="AR82" s="386">
        <f t="shared" si="122"/>
        <v>0.12182466411847444</v>
      </c>
      <c r="AS82" s="386">
        <f t="shared" si="123"/>
        <v>0</v>
      </c>
      <c r="AT82" s="386">
        <f t="shared" si="124"/>
        <v>0.18473055555555556</v>
      </c>
      <c r="AU82" s="386">
        <f t="shared" si="125"/>
        <v>0.393228899375</v>
      </c>
      <c r="AV82" s="386">
        <f t="shared" si="126"/>
        <v>0.10687986317076117</v>
      </c>
      <c r="AW82" s="386" t="e">
        <f t="shared" si="127"/>
        <v>#VALUE!</v>
      </c>
      <c r="AX82" s="386">
        <f t="shared" si="128"/>
        <v>3.8400000000000004E-2</v>
      </c>
      <c r="AY82" s="386">
        <f t="shared" si="129"/>
        <v>0.62080000000000002</v>
      </c>
      <c r="AZ82" s="386">
        <f t="shared" si="130"/>
        <v>0.47314285714285709</v>
      </c>
      <c r="BA82" s="386">
        <f t="shared" si="152"/>
        <v>0.65920000000000001</v>
      </c>
      <c r="BB82" s="386" t="e">
        <f t="shared" si="153"/>
        <v>#VALUE!</v>
      </c>
      <c r="BC82">
        <f t="shared" si="131"/>
        <v>186.88</v>
      </c>
      <c r="BD82" s="604" t="e">
        <f t="shared" si="146"/>
        <v>#VALUE!</v>
      </c>
      <c r="BE82" s="614">
        <f t="shared" si="132"/>
        <v>70.077546392594712</v>
      </c>
      <c r="BF82" s="614">
        <f t="shared" si="133"/>
        <v>12.579510045611222</v>
      </c>
      <c r="BG82" s="9"/>
      <c r="BH82" s="4" t="e">
        <f t="shared" si="147"/>
        <v>#VALUE!</v>
      </c>
      <c r="BI82" s="386">
        <f t="shared" si="148"/>
        <v>1.1183942130785338</v>
      </c>
      <c r="BJ82" s="386">
        <f t="shared" si="149"/>
        <v>2.5455006012665069</v>
      </c>
      <c r="BK82" s="386">
        <f t="shared" si="134"/>
        <v>1.4015509278518943</v>
      </c>
      <c r="BL82" s="386">
        <f t="shared" si="135"/>
        <v>0.25159020091222445</v>
      </c>
      <c r="BM82" s="386">
        <f t="shared" si="150"/>
        <v>0.10687986317076117</v>
      </c>
      <c r="BS82" s="18"/>
      <c r="BT82" s="19"/>
    </row>
    <row r="83" spans="1:72" x14ac:dyDescent="0.2">
      <c r="A83" s="2"/>
      <c r="G83">
        <v>74</v>
      </c>
      <c r="H83" s="610">
        <f t="shared" si="97"/>
        <v>12</v>
      </c>
      <c r="I83" s="4" t="str">
        <f t="shared" si="98"/>
        <v>BUCK-BST</v>
      </c>
      <c r="J83">
        <f t="shared" si="136"/>
        <v>3</v>
      </c>
      <c r="K83" s="386">
        <f t="shared" si="137"/>
        <v>14.8</v>
      </c>
      <c r="L83" s="4">
        <f t="shared" si="99"/>
        <v>17.540740740740741</v>
      </c>
      <c r="M83" s="4">
        <f t="shared" si="151"/>
        <v>16.401731601731601</v>
      </c>
      <c r="N83" s="386">
        <f t="shared" si="100"/>
        <v>0.96250000000000002</v>
      </c>
      <c r="O83" s="386">
        <f t="shared" si="101"/>
        <v>9.765625E-2</v>
      </c>
      <c r="P83" s="4">
        <f t="shared" si="102"/>
        <v>4.6478277777777777</v>
      </c>
      <c r="Q83" s="4">
        <f t="shared" si="103"/>
        <v>16.456518205751522</v>
      </c>
      <c r="R83" s="386">
        <f t="shared" si="138"/>
        <v>0.65254612014947155</v>
      </c>
      <c r="S83" s="386">
        <f t="shared" si="139"/>
        <v>0.48400211345929794</v>
      </c>
      <c r="T83" s="386">
        <f t="shared" si="140"/>
        <v>1.1365482336087696</v>
      </c>
      <c r="U83" s="4">
        <f t="shared" si="104"/>
        <v>4.8888090237912589</v>
      </c>
      <c r="V83" s="386">
        <f t="shared" si="141"/>
        <v>4.7800907342205684E-2</v>
      </c>
      <c r="W83" s="386">
        <f t="shared" si="142"/>
        <v>4.7800907342205684E-2</v>
      </c>
      <c r="X83" s="4">
        <f t="shared" si="105"/>
        <v>1.3417123093235102</v>
      </c>
      <c r="Y83" s="386">
        <f t="shared" si="143"/>
        <v>3.6003838419804532E-3</v>
      </c>
      <c r="Z83" s="603">
        <f t="shared" si="144"/>
        <v>3.6003838419804532E-3</v>
      </c>
      <c r="AA83" s="386">
        <f t="shared" si="106"/>
        <v>16.145010197476577</v>
      </c>
      <c r="AB83" s="386">
        <f t="shared" si="107"/>
        <v>0.49525657312558308</v>
      </c>
      <c r="AC83" s="386">
        <f t="shared" si="108"/>
        <v>0.30784856204388578</v>
      </c>
      <c r="AD83" s="386">
        <f t="shared" si="109"/>
        <v>0</v>
      </c>
      <c r="AE83" s="386">
        <f t="shared" si="110"/>
        <v>0.89139941952997925</v>
      </c>
      <c r="AF83" s="386">
        <f t="shared" si="111"/>
        <v>3.1867910473717393</v>
      </c>
      <c r="AG83" s="386">
        <f t="shared" si="112"/>
        <v>1.9295710641256469E-2</v>
      </c>
      <c r="AH83" s="386">
        <f t="shared" si="113"/>
        <v>0</v>
      </c>
      <c r="AI83" s="386">
        <f t="shared" si="114"/>
        <v>1.9370464014980455E-2</v>
      </c>
      <c r="AJ83" s="386">
        <f t="shared" si="115"/>
        <v>5.1426619392973505</v>
      </c>
      <c r="AK83" s="386">
        <f t="shared" si="116"/>
        <v>1.3223485910948792E-2</v>
      </c>
      <c r="AL83" s="386">
        <f t="shared" si="117"/>
        <v>1.1262092029730675</v>
      </c>
      <c r="AM83" s="386">
        <f t="shared" si="118"/>
        <v>0</v>
      </c>
      <c r="AN83" s="386">
        <f t="shared" si="119"/>
        <v>1.1424541341132868</v>
      </c>
      <c r="AO83" s="386">
        <f t="shared" si="145"/>
        <v>15.632338904793924</v>
      </c>
      <c r="AP83" s="386">
        <f t="shared" si="120"/>
        <v>0.12218500981716686</v>
      </c>
      <c r="AQ83" s="386">
        <f t="shared" si="121"/>
        <v>0</v>
      </c>
      <c r="AR83" s="386">
        <f t="shared" si="122"/>
        <v>0.12524563771184261</v>
      </c>
      <c r="AS83" s="386">
        <f t="shared" si="123"/>
        <v>0</v>
      </c>
      <c r="AT83" s="386">
        <f t="shared" si="124"/>
        <v>0.1872611111111111</v>
      </c>
      <c r="AU83" s="386">
        <f t="shared" si="125"/>
        <v>0.3973346975</v>
      </c>
      <c r="AV83" s="386">
        <f t="shared" si="126"/>
        <v>0.10980782700451876</v>
      </c>
      <c r="AW83" s="386" t="e">
        <f t="shared" si="127"/>
        <v>#VALUE!</v>
      </c>
      <c r="AX83" s="386">
        <f t="shared" si="128"/>
        <v>3.8400000000000004E-2</v>
      </c>
      <c r="AY83" s="386">
        <f t="shared" si="129"/>
        <v>0.62080000000000002</v>
      </c>
      <c r="AZ83" s="386">
        <f t="shared" si="130"/>
        <v>0.47314285714285709</v>
      </c>
      <c r="BA83" s="386">
        <f t="shared" si="152"/>
        <v>0.65920000000000001</v>
      </c>
      <c r="BB83" s="386" t="e">
        <f t="shared" si="153"/>
        <v>#VALUE!</v>
      </c>
      <c r="BC83">
        <f t="shared" si="131"/>
        <v>189.44000000000003</v>
      </c>
      <c r="BD83" s="604" t="e">
        <f t="shared" si="146"/>
        <v>#VALUE!</v>
      </c>
      <c r="BE83" s="614">
        <f t="shared" si="132"/>
        <v>70.234751723164337</v>
      </c>
      <c r="BF83" s="614">
        <f t="shared" si="133"/>
        <v>12.818304394342132</v>
      </c>
      <c r="BG83" s="9"/>
      <c r="BH83" s="4" t="e">
        <f t="shared" si="147"/>
        <v>#VALUE!</v>
      </c>
      <c r="BI83" s="386">
        <f t="shared" si="148"/>
        <v>1.1365482336087696</v>
      </c>
      <c r="BJ83" s="386">
        <f t="shared" si="149"/>
        <v>2.5758043528700889</v>
      </c>
      <c r="BK83" s="386">
        <f t="shared" si="134"/>
        <v>1.4046950344632867</v>
      </c>
      <c r="BL83" s="386">
        <f t="shared" si="135"/>
        <v>0.25636608788684262</v>
      </c>
      <c r="BM83" s="386">
        <f t="shared" si="150"/>
        <v>0.10980782700451876</v>
      </c>
      <c r="BS83" s="18"/>
      <c r="BT83" s="19"/>
    </row>
    <row r="84" spans="1:72" x14ac:dyDescent="0.2">
      <c r="G84">
        <v>75</v>
      </c>
      <c r="H84" s="610">
        <f t="shared" si="97"/>
        <v>12</v>
      </c>
      <c r="I84" s="4" t="str">
        <f t="shared" si="98"/>
        <v>BUCK-BST</v>
      </c>
      <c r="J84">
        <f t="shared" si="136"/>
        <v>3</v>
      </c>
      <c r="K84" s="386">
        <f t="shared" si="137"/>
        <v>15</v>
      </c>
      <c r="L84" s="4">
        <f t="shared" si="99"/>
        <v>17.777777777777775</v>
      </c>
      <c r="M84" s="4">
        <f t="shared" si="151"/>
        <v>16.623376623376622</v>
      </c>
      <c r="N84" s="386">
        <f t="shared" si="100"/>
        <v>0.96250000000000002</v>
      </c>
      <c r="O84" s="386">
        <f t="shared" si="101"/>
        <v>9.765625E-2</v>
      </c>
      <c r="P84" s="4">
        <f t="shared" si="102"/>
        <v>4.6472916666666668</v>
      </c>
      <c r="Q84" s="4">
        <f t="shared" si="103"/>
        <v>16.677422673049538</v>
      </c>
      <c r="R84" s="386">
        <f t="shared" si="138"/>
        <v>0.67112955128993457</v>
      </c>
      <c r="S84" s="386">
        <f t="shared" si="139"/>
        <v>0.48387349542985453</v>
      </c>
      <c r="T84" s="386">
        <f t="shared" si="140"/>
        <v>1.1550030467197892</v>
      </c>
      <c r="U84" s="4">
        <f t="shared" si="104"/>
        <v>4.954334503613266</v>
      </c>
      <c r="V84" s="386">
        <f t="shared" si="141"/>
        <v>4.9090860747385813E-2</v>
      </c>
      <c r="W84" s="386">
        <f t="shared" si="142"/>
        <v>4.9090860747385813E-2</v>
      </c>
      <c r="X84" s="4">
        <f t="shared" si="105"/>
        <v>1.3415575473763524</v>
      </c>
      <c r="Y84" s="386">
        <f t="shared" si="143"/>
        <v>3.5995533058449081E-3</v>
      </c>
      <c r="Z84" s="603">
        <f t="shared" si="144"/>
        <v>3.5995533058449081E-3</v>
      </c>
      <c r="AA84" s="386">
        <f t="shared" si="106"/>
        <v>16.36173312954541</v>
      </c>
      <c r="AB84" s="386">
        <f t="shared" si="107"/>
        <v>0.50864199090468132</v>
      </c>
      <c r="AC84" s="386">
        <f t="shared" si="108"/>
        <v>0.3120086777471815</v>
      </c>
      <c r="AD84" s="386">
        <f t="shared" si="109"/>
        <v>0</v>
      </c>
      <c r="AE84" s="386">
        <f t="shared" si="110"/>
        <v>0.9135885705280975</v>
      </c>
      <c r="AF84" s="386">
        <f t="shared" si="111"/>
        <v>3.2295690135191415</v>
      </c>
      <c r="AG84" s="386">
        <f t="shared" si="112"/>
        <v>1.9817220424857701E-2</v>
      </c>
      <c r="AH84" s="386">
        <f t="shared" si="113"/>
        <v>0</v>
      </c>
      <c r="AI84" s="386">
        <f t="shared" si="114"/>
        <v>1.9896077415203123E-2</v>
      </c>
      <c r="AJ84" s="386">
        <f t="shared" si="115"/>
        <v>5.2116945853279804</v>
      </c>
      <c r="AK84" s="386">
        <f t="shared" si="116"/>
        <v>1.3580880225368495E-2</v>
      </c>
      <c r="AL84" s="386">
        <f t="shared" si="117"/>
        <v>1.1262092029730675</v>
      </c>
      <c r="AM84" s="386">
        <f t="shared" si="118"/>
        <v>0</v>
      </c>
      <c r="AN84" s="386">
        <f t="shared" si="119"/>
        <v>1.1428943855505176</v>
      </c>
      <c r="AO84" s="386">
        <f t="shared" si="145"/>
        <v>15.842179981454882</v>
      </c>
      <c r="AP84" s="386">
        <f t="shared" si="120"/>
        <v>0.12548733328240488</v>
      </c>
      <c r="AQ84" s="386">
        <f t="shared" si="121"/>
        <v>0</v>
      </c>
      <c r="AR84" s="386">
        <f t="shared" si="122"/>
        <v>0.1287178245932282</v>
      </c>
      <c r="AS84" s="386">
        <f t="shared" si="123"/>
        <v>0</v>
      </c>
      <c r="AT84" s="386">
        <f t="shared" si="124"/>
        <v>0.18979166666666664</v>
      </c>
      <c r="AU84" s="386">
        <f t="shared" si="125"/>
        <v>0.40144023437500004</v>
      </c>
      <c r="AV84" s="386">
        <f t="shared" si="126"/>
        <v>0.11277562939145996</v>
      </c>
      <c r="AW84" s="386" t="e">
        <f t="shared" si="127"/>
        <v>#VALUE!</v>
      </c>
      <c r="AX84" s="386">
        <f t="shared" si="128"/>
        <v>3.8400000000000004E-2</v>
      </c>
      <c r="AY84" s="386">
        <f t="shared" si="129"/>
        <v>0.62080000000000002</v>
      </c>
      <c r="AZ84" s="386">
        <f t="shared" si="130"/>
        <v>0.47314285714285709</v>
      </c>
      <c r="BA84" s="386">
        <f t="shared" si="152"/>
        <v>0.65920000000000001</v>
      </c>
      <c r="BB84" s="386" t="e">
        <f t="shared" si="153"/>
        <v>#VALUE!</v>
      </c>
      <c r="BC84">
        <f t="shared" si="131"/>
        <v>192</v>
      </c>
      <c r="BD84" s="604" t="e">
        <f t="shared" si="146"/>
        <v>#VALUE!</v>
      </c>
      <c r="BE84" s="614">
        <f t="shared" si="132"/>
        <v>70.392247011900878</v>
      </c>
      <c r="BF84" s="614">
        <f t="shared" si="133"/>
        <v>13.05965509684891</v>
      </c>
      <c r="BG84" s="9"/>
      <c r="BH84" s="4" t="e">
        <f t="shared" si="147"/>
        <v>#VALUE!</v>
      </c>
      <c r="BI84" s="386">
        <f t="shared" si="148"/>
        <v>1.1550030467197892</v>
      </c>
      <c r="BJ84" s="386">
        <f t="shared" si="149"/>
        <v>2.6065370924620463</v>
      </c>
      <c r="BK84" s="386">
        <f t="shared" si="134"/>
        <v>1.4078449402380175</v>
      </c>
      <c r="BL84" s="386">
        <f t="shared" si="135"/>
        <v>0.2611931019369782</v>
      </c>
      <c r="BM84" s="386">
        <f t="shared" si="150"/>
        <v>0.11277562939145996</v>
      </c>
      <c r="BS84" s="18"/>
      <c r="BT84" s="19"/>
    </row>
    <row r="85" spans="1:72" x14ac:dyDescent="0.2">
      <c r="G85">
        <v>76</v>
      </c>
      <c r="H85" s="610">
        <f t="shared" si="97"/>
        <v>12</v>
      </c>
      <c r="I85" s="4" t="str">
        <f t="shared" si="98"/>
        <v>BUCK-BST</v>
      </c>
      <c r="J85">
        <f t="shared" si="136"/>
        <v>3</v>
      </c>
      <c r="K85" s="386">
        <f t="shared" si="137"/>
        <v>15.2</v>
      </c>
      <c r="L85" s="4">
        <f t="shared" si="99"/>
        <v>18.014814814814812</v>
      </c>
      <c r="M85" s="4">
        <f t="shared" si="151"/>
        <v>16.845021645021646</v>
      </c>
      <c r="N85" s="386">
        <f t="shared" si="100"/>
        <v>0.96250000000000002</v>
      </c>
      <c r="O85" s="386">
        <f t="shared" si="101"/>
        <v>9.765625E-2</v>
      </c>
      <c r="P85" s="4">
        <f t="shared" si="102"/>
        <v>4.6467555555555551</v>
      </c>
      <c r="Q85" s="4">
        <f t="shared" si="103"/>
        <v>16.898346536096511</v>
      </c>
      <c r="R85" s="386">
        <f t="shared" si="138"/>
        <v>0.69001609129125296</v>
      </c>
      <c r="S85" s="386">
        <f t="shared" si="139"/>
        <v>0.48374489674687704</v>
      </c>
      <c r="T85" s="386">
        <f t="shared" si="140"/>
        <v>1.1737609880381301</v>
      </c>
      <c r="U85" s="4">
        <f t="shared" si="104"/>
        <v>5.0198670390883109</v>
      </c>
      <c r="V85" s="386">
        <f t="shared" si="141"/>
        <v>5.0398130180250494E-2</v>
      </c>
      <c r="W85" s="386">
        <f t="shared" si="142"/>
        <v>5.0398130180250494E-2</v>
      </c>
      <c r="X85" s="4">
        <f t="shared" si="105"/>
        <v>1.3414027854291946</v>
      </c>
      <c r="Y85" s="386">
        <f t="shared" si="143"/>
        <v>3.5987228655144036E-3</v>
      </c>
      <c r="Z85" s="603">
        <f t="shared" si="144"/>
        <v>3.5987228655144036E-3</v>
      </c>
      <c r="AA85" s="386">
        <f t="shared" si="106"/>
        <v>16.578475090218031</v>
      </c>
      <c r="AB85" s="386">
        <f t="shared" si="107"/>
        <v>0.52220708900226154</v>
      </c>
      <c r="AC85" s="386">
        <f t="shared" si="108"/>
        <v>0.31616879345047716</v>
      </c>
      <c r="AD85" s="386">
        <f t="shared" si="109"/>
        <v>0</v>
      </c>
      <c r="AE85" s="386">
        <f t="shared" si="110"/>
        <v>0.9361485659526988</v>
      </c>
      <c r="AF85" s="386">
        <f t="shared" si="111"/>
        <v>3.2723507356371782</v>
      </c>
      <c r="AG85" s="386">
        <f t="shared" si="112"/>
        <v>2.0345730740347841E-2</v>
      </c>
      <c r="AH85" s="386">
        <f t="shared" si="113"/>
        <v>0</v>
      </c>
      <c r="AI85" s="386">
        <f t="shared" si="114"/>
        <v>2.0428858752249011E-2</v>
      </c>
      <c r="AJ85" s="386">
        <f t="shared" si="115"/>
        <v>5.2807332925301598</v>
      </c>
      <c r="AK85" s="386">
        <f t="shared" si="116"/>
        <v>1.3943072053418212E-2</v>
      </c>
      <c r="AL85" s="386">
        <f t="shared" si="117"/>
        <v>1.1262092029730675</v>
      </c>
      <c r="AM85" s="386">
        <f t="shared" si="118"/>
        <v>0</v>
      </c>
      <c r="AN85" s="386">
        <f t="shared" si="119"/>
        <v>1.1433406111310054</v>
      </c>
      <c r="AO85" s="386">
        <f t="shared" si="145"/>
        <v>16.052039482482236</v>
      </c>
      <c r="AP85" s="386">
        <f t="shared" si="120"/>
        <v>0.12883398577358429</v>
      </c>
      <c r="AQ85" s="386">
        <f t="shared" si="121"/>
        <v>0</v>
      </c>
      <c r="AR85" s="386">
        <f t="shared" si="122"/>
        <v>0.13224142371387057</v>
      </c>
      <c r="AS85" s="386">
        <f t="shared" si="123"/>
        <v>0</v>
      </c>
      <c r="AT85" s="386">
        <f t="shared" si="124"/>
        <v>0.1923222222222222</v>
      </c>
      <c r="AU85" s="386">
        <f t="shared" si="125"/>
        <v>0.40554551</v>
      </c>
      <c r="AV85" s="386">
        <f t="shared" si="126"/>
        <v>0.11578327033158481</v>
      </c>
      <c r="AW85" s="386" t="e">
        <f t="shared" si="127"/>
        <v>#VALUE!</v>
      </c>
      <c r="AX85" s="386">
        <f t="shared" si="128"/>
        <v>3.8400000000000004E-2</v>
      </c>
      <c r="AY85" s="386">
        <f t="shared" si="129"/>
        <v>0.62080000000000002</v>
      </c>
      <c r="AZ85" s="386">
        <f t="shared" si="130"/>
        <v>0.47314285714285709</v>
      </c>
      <c r="BA85" s="386">
        <f t="shared" si="152"/>
        <v>0.65920000000000001</v>
      </c>
      <c r="BB85" s="386" t="e">
        <f t="shared" si="153"/>
        <v>#VALUE!</v>
      </c>
      <c r="BC85">
        <f t="shared" si="131"/>
        <v>194.56</v>
      </c>
      <c r="BD85" s="604" t="e">
        <f t="shared" si="146"/>
        <v>#VALUE!</v>
      </c>
      <c r="BE85" s="614">
        <f t="shared" si="132"/>
        <v>70.550032386550271</v>
      </c>
      <c r="BF85" s="614">
        <f t="shared" si="133"/>
        <v>13.303572100693529</v>
      </c>
      <c r="BG85" s="9"/>
      <c r="BH85" s="4" t="e">
        <f t="shared" si="147"/>
        <v>#VALUE!</v>
      </c>
      <c r="BI85" s="386">
        <f t="shared" si="148"/>
        <v>1.1737609880381301</v>
      </c>
      <c r="BJ85" s="386">
        <f t="shared" si="149"/>
        <v>2.6377049695498238</v>
      </c>
      <c r="BK85" s="386">
        <f t="shared" si="134"/>
        <v>1.4110006477310053</v>
      </c>
      <c r="BL85" s="386">
        <f t="shared" si="135"/>
        <v>0.26607144201387056</v>
      </c>
      <c r="BM85" s="386">
        <f t="shared" si="150"/>
        <v>0.11578327033158481</v>
      </c>
      <c r="BS85" s="18"/>
      <c r="BT85" s="19"/>
    </row>
    <row r="86" spans="1:72" x14ac:dyDescent="0.2">
      <c r="G86">
        <v>77</v>
      </c>
      <c r="H86" s="610">
        <f t="shared" si="97"/>
        <v>12</v>
      </c>
      <c r="I86" s="4" t="str">
        <f t="shared" si="98"/>
        <v>BUCK-BST</v>
      </c>
      <c r="J86">
        <f t="shared" si="136"/>
        <v>3</v>
      </c>
      <c r="K86" s="386">
        <f t="shared" si="137"/>
        <v>15.4</v>
      </c>
      <c r="L86" s="4">
        <f t="shared" si="99"/>
        <v>18.25185185185185</v>
      </c>
      <c r="M86" s="4">
        <f t="shared" si="151"/>
        <v>17.066666666666666</v>
      </c>
      <c r="N86" s="386">
        <f t="shared" si="100"/>
        <v>0.96250000000000002</v>
      </c>
      <c r="O86" s="386">
        <f t="shared" si="101"/>
        <v>9.765625E-2</v>
      </c>
      <c r="P86" s="4">
        <f t="shared" si="102"/>
        <v>4.6462194444444442</v>
      </c>
      <c r="Q86" s="4">
        <f t="shared" si="103"/>
        <v>17.119289043987941</v>
      </c>
      <c r="R86" s="386">
        <f t="shared" si="138"/>
        <v>0.70920812370083541</v>
      </c>
      <c r="S86" s="386">
        <f t="shared" si="139"/>
        <v>0.48361631740968797</v>
      </c>
      <c r="T86" s="386">
        <f t="shared" si="140"/>
        <v>1.1928244411105233</v>
      </c>
      <c r="U86" s="4">
        <f t="shared" si="104"/>
        <v>5.085406357450684</v>
      </c>
      <c r="V86" s="386">
        <f t="shared" si="141"/>
        <v>5.1722715640799673E-2</v>
      </c>
      <c r="W86" s="386">
        <f t="shared" si="142"/>
        <v>5.1722715640799673E-2</v>
      </c>
      <c r="X86" s="4">
        <f t="shared" si="105"/>
        <v>1.3412480234820368</v>
      </c>
      <c r="Y86" s="386">
        <f t="shared" si="143"/>
        <v>3.5978925209889405E-3</v>
      </c>
      <c r="Z86" s="603">
        <f t="shared" si="144"/>
        <v>3.5978925209889405E-3</v>
      </c>
      <c r="AA86" s="386">
        <f t="shared" si="106"/>
        <v>16.795235342803934</v>
      </c>
      <c r="AB86" s="386">
        <f t="shared" si="107"/>
        <v>0.53595186741832379</v>
      </c>
      <c r="AC86" s="386">
        <f t="shared" si="108"/>
        <v>0.32032890915377299</v>
      </c>
      <c r="AD86" s="386">
        <f t="shared" si="109"/>
        <v>0</v>
      </c>
      <c r="AE86" s="386">
        <f t="shared" si="110"/>
        <v>0.95908551066281533</v>
      </c>
      <c r="AF86" s="386">
        <f t="shared" si="111"/>
        <v>3.3151360683138185</v>
      </c>
      <c r="AG86" s="386">
        <f t="shared" si="112"/>
        <v>2.0881241587726886E-2</v>
      </c>
      <c r="AH86" s="386">
        <f t="shared" si="113"/>
        <v>0</v>
      </c>
      <c r="AI86" s="386">
        <f t="shared" si="114"/>
        <v>2.0968812555884321E-2</v>
      </c>
      <c r="AJ86" s="386">
        <f t="shared" si="115"/>
        <v>5.3497778262462319</v>
      </c>
      <c r="AK86" s="386">
        <f t="shared" si="116"/>
        <v>1.4310061395097929E-2</v>
      </c>
      <c r="AL86" s="386">
        <f t="shared" si="117"/>
        <v>1.1262092029730675</v>
      </c>
      <c r="AM86" s="386">
        <f t="shared" si="118"/>
        <v>0</v>
      </c>
      <c r="AN86" s="386">
        <f t="shared" si="119"/>
        <v>1.1437928134448991</v>
      </c>
      <c r="AO86" s="386">
        <f t="shared" si="145"/>
        <v>16.261916694578463</v>
      </c>
      <c r="AP86" s="386">
        <f t="shared" si="120"/>
        <v>0.13222496729070488</v>
      </c>
      <c r="AQ86" s="386">
        <f t="shared" si="121"/>
        <v>0</v>
      </c>
      <c r="AR86" s="386">
        <f t="shared" si="122"/>
        <v>0.13581663737766392</v>
      </c>
      <c r="AS86" s="386">
        <f t="shared" si="123"/>
        <v>0</v>
      </c>
      <c r="AT86" s="386">
        <f t="shared" si="124"/>
        <v>0.19485277777777776</v>
      </c>
      <c r="AU86" s="386">
        <f t="shared" si="125"/>
        <v>0.40965052437499999</v>
      </c>
      <c r="AV86" s="386">
        <f t="shared" si="126"/>
        <v>0.11883074982489318</v>
      </c>
      <c r="AW86" s="386" t="e">
        <f t="shared" si="127"/>
        <v>#VALUE!</v>
      </c>
      <c r="AX86" s="386">
        <f t="shared" si="128"/>
        <v>3.8400000000000004E-2</v>
      </c>
      <c r="AY86" s="386">
        <f t="shared" si="129"/>
        <v>0.62080000000000002</v>
      </c>
      <c r="AZ86" s="386">
        <f t="shared" si="130"/>
        <v>0.47314285714285709</v>
      </c>
      <c r="BA86" s="386">
        <f t="shared" si="152"/>
        <v>0.65920000000000001</v>
      </c>
      <c r="BB86" s="386" t="e">
        <f t="shared" si="153"/>
        <v>#VALUE!</v>
      </c>
      <c r="BC86">
        <f t="shared" si="131"/>
        <v>197.12</v>
      </c>
      <c r="BD86" s="604" t="e">
        <f t="shared" si="146"/>
        <v>#VALUE!</v>
      </c>
      <c r="BE86" s="614">
        <f t="shared" si="132"/>
        <v>70.708107976619957</v>
      </c>
      <c r="BF86" s="614">
        <f t="shared" si="133"/>
        <v>13.550065521070698</v>
      </c>
      <c r="BG86" s="9"/>
      <c r="BH86" s="4" t="e">
        <f t="shared" si="147"/>
        <v>#VALUE!</v>
      </c>
      <c r="BI86" s="386">
        <f t="shared" si="148"/>
        <v>1.1928244411105233</v>
      </c>
      <c r="BJ86" s="386">
        <f t="shared" si="149"/>
        <v>2.6693142984162628</v>
      </c>
      <c r="BK86" s="386">
        <f t="shared" si="134"/>
        <v>1.4141621595323992</v>
      </c>
      <c r="BL86" s="386">
        <f t="shared" si="135"/>
        <v>0.27100131042141395</v>
      </c>
      <c r="BM86" s="386">
        <f t="shared" si="150"/>
        <v>0.11883074982489318</v>
      </c>
      <c r="BS86" s="18"/>
      <c r="BT86" s="19"/>
    </row>
    <row r="87" spans="1:72" x14ac:dyDescent="0.2">
      <c r="G87">
        <v>78</v>
      </c>
      <c r="H87" s="610">
        <f t="shared" si="97"/>
        <v>12</v>
      </c>
      <c r="I87" s="4" t="str">
        <f t="shared" si="98"/>
        <v>BUCK-BST</v>
      </c>
      <c r="J87">
        <f t="shared" si="136"/>
        <v>3</v>
      </c>
      <c r="K87" s="386">
        <f t="shared" si="137"/>
        <v>15.6</v>
      </c>
      <c r="L87" s="4">
        <f t="shared" si="99"/>
        <v>18.488888888888887</v>
      </c>
      <c r="M87" s="4">
        <f t="shared" si="151"/>
        <v>17.288311688311687</v>
      </c>
      <c r="N87" s="386">
        <f t="shared" si="100"/>
        <v>0.96250000000000002</v>
      </c>
      <c r="O87" s="386">
        <f t="shared" si="101"/>
        <v>9.765625E-2</v>
      </c>
      <c r="P87" s="4">
        <f t="shared" si="102"/>
        <v>4.6456833333333334</v>
      </c>
      <c r="Q87" s="4">
        <f t="shared" si="103"/>
        <v>17.340249484028448</v>
      </c>
      <c r="R87" s="386">
        <f t="shared" si="138"/>
        <v>0.72870808078491445</v>
      </c>
      <c r="S87" s="386">
        <f t="shared" si="139"/>
        <v>0.48348775741760863</v>
      </c>
      <c r="T87" s="386">
        <f t="shared" si="140"/>
        <v>1.2121958382025231</v>
      </c>
      <c r="U87" s="4">
        <f t="shared" si="104"/>
        <v>5.1509521997895398</v>
      </c>
      <c r="V87" s="386">
        <f t="shared" si="141"/>
        <v>5.3064617129033403E-2</v>
      </c>
      <c r="W87" s="386">
        <f t="shared" si="142"/>
        <v>5.3064617129033403E-2</v>
      </c>
      <c r="X87" s="4">
        <f t="shared" si="105"/>
        <v>1.341093261534879</v>
      </c>
      <c r="Y87" s="386">
        <f t="shared" si="143"/>
        <v>3.5970622722685188E-3</v>
      </c>
      <c r="Z87" s="603">
        <f t="shared" si="144"/>
        <v>3.5970622722685188E-3</v>
      </c>
      <c r="AA87" s="386">
        <f t="shared" si="106"/>
        <v>17.012013188098457</v>
      </c>
      <c r="AB87" s="386">
        <f t="shared" si="107"/>
        <v>0.54987632615286808</v>
      </c>
      <c r="AC87" s="386">
        <f t="shared" si="108"/>
        <v>0.32448902485706876</v>
      </c>
      <c r="AD87" s="386">
        <f t="shared" si="109"/>
        <v>0</v>
      </c>
      <c r="AE87" s="386">
        <f t="shared" si="110"/>
        <v>0.98240567576636362</v>
      </c>
      <c r="AF87" s="386">
        <f t="shared" si="111"/>
        <v>3.3579248735361955</v>
      </c>
      <c r="AG87" s="386">
        <f t="shared" si="112"/>
        <v>2.1423752966994843E-2</v>
      </c>
      <c r="AH87" s="386">
        <f t="shared" si="113"/>
        <v>0</v>
      </c>
      <c r="AI87" s="386">
        <f t="shared" si="114"/>
        <v>2.1515943418324045E-2</v>
      </c>
      <c r="AJ87" s="386">
        <f t="shared" si="115"/>
        <v>5.4188279637588899</v>
      </c>
      <c r="AK87" s="386">
        <f t="shared" si="116"/>
        <v>1.4681848250407657E-2</v>
      </c>
      <c r="AL87" s="386">
        <f t="shared" si="117"/>
        <v>1.1262092029730675</v>
      </c>
      <c r="AM87" s="386">
        <f t="shared" si="118"/>
        <v>0</v>
      </c>
      <c r="AN87" s="386">
        <f t="shared" si="119"/>
        <v>1.1442509951176141</v>
      </c>
      <c r="AO87" s="386">
        <f t="shared" si="145"/>
        <v>16.471810940741566</v>
      </c>
      <c r="AP87" s="386">
        <f t="shared" si="120"/>
        <v>0.13566027783376677</v>
      </c>
      <c r="AQ87" s="386">
        <f t="shared" si="121"/>
        <v>0</v>
      </c>
      <c r="AR87" s="386">
        <f t="shared" si="122"/>
        <v>0.13944367127112708</v>
      </c>
      <c r="AS87" s="386">
        <f t="shared" si="123"/>
        <v>0</v>
      </c>
      <c r="AT87" s="386">
        <f t="shared" si="124"/>
        <v>0.19738333333333333</v>
      </c>
      <c r="AU87" s="386">
        <f t="shared" si="125"/>
        <v>0.41375527750000002</v>
      </c>
      <c r="AV87" s="386">
        <f t="shared" si="126"/>
        <v>0.12191806787138516</v>
      </c>
      <c r="AW87" s="386" t="e">
        <f t="shared" si="127"/>
        <v>#VALUE!</v>
      </c>
      <c r="AX87" s="386">
        <f t="shared" si="128"/>
        <v>3.8400000000000004E-2</v>
      </c>
      <c r="AY87" s="386">
        <f t="shared" si="129"/>
        <v>0.62080000000000002</v>
      </c>
      <c r="AZ87" s="386">
        <f t="shared" si="130"/>
        <v>0.47314285714285709</v>
      </c>
      <c r="BA87" s="386">
        <f t="shared" si="152"/>
        <v>0.65920000000000001</v>
      </c>
      <c r="BB87" s="386" t="e">
        <f t="shared" si="153"/>
        <v>#VALUE!</v>
      </c>
      <c r="BC87">
        <f t="shared" si="131"/>
        <v>199.68</v>
      </c>
      <c r="BD87" s="604" t="e">
        <f t="shared" si="146"/>
        <v>#VALUE!</v>
      </c>
      <c r="BE87" s="614">
        <f t="shared" si="132"/>
        <v>70.866473913380702</v>
      </c>
      <c r="BF87" s="614">
        <f t="shared" si="133"/>
        <v>13.799145642306353</v>
      </c>
      <c r="BG87" s="9"/>
      <c r="BH87" s="4" t="e">
        <f t="shared" si="147"/>
        <v>#VALUE!</v>
      </c>
      <c r="BI87" s="386">
        <f t="shared" si="148"/>
        <v>1.2121958382025231</v>
      </c>
      <c r="BJ87" s="386">
        <f t="shared" si="149"/>
        <v>2.7013715630734287</v>
      </c>
      <c r="BK87" s="386">
        <f t="shared" si="134"/>
        <v>1.417329478267614</v>
      </c>
      <c r="BL87" s="386">
        <f t="shared" si="135"/>
        <v>0.27598291284612708</v>
      </c>
      <c r="BM87" s="386">
        <f t="shared" si="150"/>
        <v>0.12191806787138516</v>
      </c>
      <c r="BS87" s="18"/>
      <c r="BT87" s="19"/>
    </row>
    <row r="88" spans="1:72" x14ac:dyDescent="0.2">
      <c r="G88">
        <v>79</v>
      </c>
      <c r="H88" s="610">
        <f t="shared" si="97"/>
        <v>12</v>
      </c>
      <c r="I88" s="4" t="str">
        <f t="shared" si="98"/>
        <v>BUCK-BST</v>
      </c>
      <c r="J88">
        <f t="shared" si="136"/>
        <v>3</v>
      </c>
      <c r="K88" s="386">
        <f t="shared" si="137"/>
        <v>15.8</v>
      </c>
      <c r="L88" s="4">
        <f t="shared" si="99"/>
        <v>18.725925925925925</v>
      </c>
      <c r="M88" s="4">
        <f t="shared" si="151"/>
        <v>17.509956709956711</v>
      </c>
      <c r="N88" s="386">
        <f t="shared" si="100"/>
        <v>0.96250000000000002</v>
      </c>
      <c r="O88" s="386">
        <f t="shared" si="101"/>
        <v>9.765625E-2</v>
      </c>
      <c r="P88" s="4">
        <f t="shared" si="102"/>
        <v>4.6451472222222217</v>
      </c>
      <c r="Q88" s="4">
        <f t="shared" si="103"/>
        <v>17.561227179335578</v>
      </c>
      <c r="R88" s="386">
        <f t="shared" si="138"/>
        <v>0.74851844434806014</v>
      </c>
      <c r="S88" s="386">
        <f t="shared" si="139"/>
        <v>0.48335921676995969</v>
      </c>
      <c r="T88" s="386">
        <f t="shared" si="140"/>
        <v>1.2318776611180198</v>
      </c>
      <c r="U88" s="4">
        <f t="shared" si="104"/>
        <v>5.2165043201818424</v>
      </c>
      <c r="V88" s="386">
        <f t="shared" si="141"/>
        <v>5.4423834644951652E-2</v>
      </c>
      <c r="W88" s="386">
        <f t="shared" si="142"/>
        <v>5.4423834644951652E-2</v>
      </c>
      <c r="X88" s="4">
        <f t="shared" si="105"/>
        <v>1.3409384995877212</v>
      </c>
      <c r="Y88" s="386">
        <f t="shared" si="143"/>
        <v>3.5962321193531376E-3</v>
      </c>
      <c r="Z88" s="603">
        <f t="shared" si="144"/>
        <v>3.5962321193531376E-3</v>
      </c>
      <c r="AA88" s="386">
        <f t="shared" si="106"/>
        <v>17.228807962031961</v>
      </c>
      <c r="AB88" s="386">
        <f t="shared" si="107"/>
        <v>0.56398046520589418</v>
      </c>
      <c r="AC88" s="386">
        <f t="shared" si="108"/>
        <v>0.32864914056036454</v>
      </c>
      <c r="AD88" s="386">
        <f t="shared" si="109"/>
        <v>0</v>
      </c>
      <c r="AE88" s="386">
        <f t="shared" si="110"/>
        <v>1.0061155037358165</v>
      </c>
      <c r="AF88" s="386">
        <f t="shared" si="111"/>
        <v>3.4007170202265864</v>
      </c>
      <c r="AG88" s="386">
        <f t="shared" si="112"/>
        <v>2.1973264878151707E-2</v>
      </c>
      <c r="AH88" s="386">
        <f t="shared" si="113"/>
        <v>0</v>
      </c>
      <c r="AI88" s="386">
        <f t="shared" si="114"/>
        <v>2.2070255994330112E-2</v>
      </c>
      <c r="AJ88" s="386">
        <f t="shared" si="115"/>
        <v>5.4878834935423679</v>
      </c>
      <c r="AK88" s="386">
        <f t="shared" si="116"/>
        <v>1.5058432619347393E-2</v>
      </c>
      <c r="AL88" s="386">
        <f t="shared" si="117"/>
        <v>1.1262092029730675</v>
      </c>
      <c r="AM88" s="386">
        <f t="shared" si="118"/>
        <v>0</v>
      </c>
      <c r="AN88" s="386">
        <f t="shared" si="119"/>
        <v>1.1447151588098718</v>
      </c>
      <c r="AO88" s="386">
        <f t="shared" si="145"/>
        <v>16.681721577988881</v>
      </c>
      <c r="AP88" s="386">
        <f t="shared" si="120"/>
        <v>0.13913991740276993</v>
      </c>
      <c r="AQ88" s="386">
        <f t="shared" si="121"/>
        <v>0</v>
      </c>
      <c r="AR88" s="386">
        <f t="shared" si="122"/>
        <v>0.14312273449395957</v>
      </c>
      <c r="AS88" s="386">
        <f t="shared" si="123"/>
        <v>0</v>
      </c>
      <c r="AT88" s="386">
        <f t="shared" si="124"/>
        <v>0.19991388888888889</v>
      </c>
      <c r="AU88" s="386">
        <f t="shared" si="125"/>
        <v>0.41785976937500008</v>
      </c>
      <c r="AV88" s="386">
        <f t="shared" si="126"/>
        <v>0.12504522447106076</v>
      </c>
      <c r="AW88" s="386" t="e">
        <f t="shared" si="127"/>
        <v>#VALUE!</v>
      </c>
      <c r="AX88" s="386">
        <f t="shared" si="128"/>
        <v>3.8400000000000004E-2</v>
      </c>
      <c r="AY88" s="386">
        <f t="shared" si="129"/>
        <v>0.62080000000000002</v>
      </c>
      <c r="AZ88" s="386">
        <f t="shared" si="130"/>
        <v>0.47314285714285709</v>
      </c>
      <c r="BA88" s="386">
        <f t="shared" si="152"/>
        <v>0.65920000000000001</v>
      </c>
      <c r="BB88" s="386" t="e">
        <f t="shared" si="153"/>
        <v>#VALUE!</v>
      </c>
      <c r="BC88">
        <f t="shared" si="131"/>
        <v>202.24</v>
      </c>
      <c r="BD88" s="604" t="e">
        <f t="shared" si="146"/>
        <v>#VALUE!</v>
      </c>
      <c r="BE88" s="614">
        <f t="shared" si="132"/>
        <v>71.025130329868588</v>
      </c>
      <c r="BF88" s="614">
        <f t="shared" si="133"/>
        <v>14.05082291938548</v>
      </c>
      <c r="BG88" s="9"/>
      <c r="BH88" s="4" t="e">
        <f t="shared" si="147"/>
        <v>#VALUE!</v>
      </c>
      <c r="BI88" s="386">
        <f t="shared" si="148"/>
        <v>1.2318776611180198</v>
      </c>
      <c r="BJ88" s="386">
        <f t="shared" si="149"/>
        <v>2.7338834224089781</v>
      </c>
      <c r="BK88" s="386">
        <f t="shared" si="134"/>
        <v>1.4205026065973718</v>
      </c>
      <c r="BL88" s="386">
        <f t="shared" si="135"/>
        <v>0.28101645838770961</v>
      </c>
      <c r="BM88" s="386">
        <f t="shared" si="150"/>
        <v>0.12504522447106076</v>
      </c>
      <c r="BS88" s="18"/>
      <c r="BT88" s="19"/>
    </row>
    <row r="89" spans="1:72" x14ac:dyDescent="0.2">
      <c r="G89">
        <v>80</v>
      </c>
      <c r="H89" s="610">
        <f t="shared" si="97"/>
        <v>12</v>
      </c>
      <c r="I89" s="4" t="str">
        <f t="shared" si="98"/>
        <v>BUCK-BST</v>
      </c>
      <c r="J89">
        <f t="shared" si="136"/>
        <v>3</v>
      </c>
      <c r="K89" s="386">
        <f t="shared" si="137"/>
        <v>16</v>
      </c>
      <c r="L89" s="4">
        <f t="shared" si="99"/>
        <v>18.962962962962962</v>
      </c>
      <c r="M89" s="4">
        <f t="shared" si="151"/>
        <v>17.731601731601732</v>
      </c>
      <c r="N89" s="386">
        <f t="shared" si="100"/>
        <v>0.96250000000000002</v>
      </c>
      <c r="O89" s="386">
        <f t="shared" si="101"/>
        <v>9.765625E-2</v>
      </c>
      <c r="P89" s="4">
        <f t="shared" si="102"/>
        <v>4.6446111111111108</v>
      </c>
      <c r="Q89" s="4">
        <f t="shared" si="103"/>
        <v>17.782221486621488</v>
      </c>
      <c r="R89" s="386">
        <f t="shared" si="138"/>
        <v>0.76864174657413331</v>
      </c>
      <c r="S89" s="386">
        <f t="shared" si="139"/>
        <v>0.48323069546606323</v>
      </c>
      <c r="T89" s="386">
        <f t="shared" si="140"/>
        <v>1.2518724420401965</v>
      </c>
      <c r="U89" s="4">
        <f t="shared" si="104"/>
        <v>5.2820624848895159</v>
      </c>
      <c r="V89" s="386">
        <f t="shared" si="141"/>
        <v>5.5800368188554418E-2</v>
      </c>
      <c r="W89" s="386">
        <f t="shared" si="142"/>
        <v>5.5800368188554418E-2</v>
      </c>
      <c r="X89" s="4">
        <f t="shared" si="105"/>
        <v>1.3407837376405634</v>
      </c>
      <c r="Y89" s="386">
        <f t="shared" si="143"/>
        <v>3.5954020622427983E-3</v>
      </c>
      <c r="Z89" s="603">
        <f t="shared" si="144"/>
        <v>3.5954020622427983E-3</v>
      </c>
      <c r="AA89" s="386">
        <f t="shared" si="106"/>
        <v>17.445619033493497</v>
      </c>
      <c r="AB89" s="386">
        <f t="shared" si="107"/>
        <v>0.57826428457740198</v>
      </c>
      <c r="AC89" s="386">
        <f t="shared" si="108"/>
        <v>0.33280925626366026</v>
      </c>
      <c r="AD89" s="386">
        <f t="shared" si="109"/>
        <v>0</v>
      </c>
      <c r="AE89" s="386">
        <f t="shared" si="110"/>
        <v>1.0302216137243612</v>
      </c>
      <c r="AF89" s="386">
        <f t="shared" si="111"/>
        <v>3.443512383812835</v>
      </c>
      <c r="AG89" s="386">
        <f t="shared" si="112"/>
        <v>2.2529777321197472E-2</v>
      </c>
      <c r="AH89" s="386">
        <f t="shared" si="113"/>
        <v>0</v>
      </c>
      <c r="AI89" s="386">
        <f t="shared" si="114"/>
        <v>2.2631755001310958E-2</v>
      </c>
      <c r="AJ89" s="386">
        <f t="shared" si="115"/>
        <v>5.5569442145692154</v>
      </c>
      <c r="AK89" s="386">
        <f t="shared" si="116"/>
        <v>1.5439814501917138E-2</v>
      </c>
      <c r="AL89" s="386">
        <f t="shared" si="117"/>
        <v>1.1262092029730675</v>
      </c>
      <c r="AM89" s="386">
        <f t="shared" si="118"/>
        <v>0</v>
      </c>
      <c r="AN89" s="386">
        <f t="shared" si="119"/>
        <v>1.1451853072177371</v>
      </c>
      <c r="AO89" s="386">
        <f t="shared" si="145"/>
        <v>16.891647995249862</v>
      </c>
      <c r="AP89" s="386">
        <f t="shared" si="120"/>
        <v>0.14266388599771435</v>
      </c>
      <c r="AQ89" s="386">
        <f t="shared" si="121"/>
        <v>0</v>
      </c>
      <c r="AR89" s="386">
        <f t="shared" si="122"/>
        <v>0.14685403959019419</v>
      </c>
      <c r="AS89" s="386">
        <f t="shared" si="123"/>
        <v>0</v>
      </c>
      <c r="AT89" s="386">
        <f t="shared" si="124"/>
        <v>0.20244444444444443</v>
      </c>
      <c r="AU89" s="386">
        <f t="shared" si="125"/>
        <v>0.42196400000000001</v>
      </c>
      <c r="AV89" s="386">
        <f t="shared" si="126"/>
        <v>0.12821221962391988</v>
      </c>
      <c r="AW89" s="386" t="e">
        <f t="shared" si="127"/>
        <v>#VALUE!</v>
      </c>
      <c r="AX89" s="386">
        <f t="shared" si="128"/>
        <v>3.8400000000000004E-2</v>
      </c>
      <c r="AY89" s="386">
        <f t="shared" si="129"/>
        <v>0.62080000000000002</v>
      </c>
      <c r="AZ89" s="386">
        <f t="shared" si="130"/>
        <v>0.47314285714285709</v>
      </c>
      <c r="BA89" s="386">
        <f t="shared" si="152"/>
        <v>0.65920000000000001</v>
      </c>
      <c r="BB89" s="386" t="e">
        <f t="shared" si="153"/>
        <v>#VALUE!</v>
      </c>
      <c r="BC89">
        <f t="shared" si="131"/>
        <v>204.8</v>
      </c>
      <c r="BD89" s="604" t="e">
        <f t="shared" si="146"/>
        <v>#VALUE!</v>
      </c>
      <c r="BE89" s="614">
        <f t="shared" si="132"/>
        <v>71.18407736088686</v>
      </c>
      <c r="BF89" s="614">
        <f t="shared" si="133"/>
        <v>14.30510797950971</v>
      </c>
      <c r="BG89" s="9"/>
      <c r="BH89" s="4" t="e">
        <f t="shared" si="147"/>
        <v>#VALUE!</v>
      </c>
      <c r="BI89" s="386">
        <f t="shared" si="148"/>
        <v>1.2518724420401965</v>
      </c>
      <c r="BJ89" s="386">
        <f t="shared" si="149"/>
        <v>2.7668567155336032</v>
      </c>
      <c r="BK89" s="386">
        <f t="shared" si="134"/>
        <v>1.4236815472177371</v>
      </c>
      <c r="BL89" s="386">
        <f t="shared" si="135"/>
        <v>0.28610215959019419</v>
      </c>
      <c r="BM89" s="386">
        <f t="shared" si="150"/>
        <v>0.12821221962391988</v>
      </c>
      <c r="BS89" s="18"/>
      <c r="BT89" s="19"/>
    </row>
    <row r="90" spans="1:72" x14ac:dyDescent="0.2">
      <c r="G90">
        <v>81</v>
      </c>
      <c r="H90" s="610">
        <f t="shared" si="97"/>
        <v>12</v>
      </c>
      <c r="I90" s="4" t="str">
        <f t="shared" si="98"/>
        <v>BUCK-BST</v>
      </c>
      <c r="J90">
        <f t="shared" si="136"/>
        <v>3</v>
      </c>
      <c r="K90" s="386">
        <f t="shared" si="137"/>
        <v>16.2</v>
      </c>
      <c r="L90" s="4">
        <f t="shared" si="99"/>
        <v>19.2</v>
      </c>
      <c r="M90" s="4">
        <f t="shared" si="151"/>
        <v>17.953246753246752</v>
      </c>
      <c r="N90" s="386">
        <f t="shared" si="100"/>
        <v>0.96250000000000002</v>
      </c>
      <c r="O90" s="386">
        <f t="shared" si="101"/>
        <v>9.765625E-2</v>
      </c>
      <c r="P90" s="4">
        <f t="shared" si="102"/>
        <v>4.644075</v>
      </c>
      <c r="Q90" s="4">
        <f t="shared" si="103"/>
        <v>18.003231794137236</v>
      </c>
      <c r="R90" s="386">
        <f t="shared" si="138"/>
        <v>0.78908057088922634</v>
      </c>
      <c r="S90" s="386">
        <f t="shared" si="139"/>
        <v>0.48310219350524042</v>
      </c>
      <c r="T90" s="386">
        <f t="shared" si="140"/>
        <v>1.2721827643944668</v>
      </c>
      <c r="U90" s="4">
        <f t="shared" si="104"/>
        <v>5.3476264716153148</v>
      </c>
      <c r="V90" s="386">
        <f t="shared" si="141"/>
        <v>5.7194217759841723E-2</v>
      </c>
      <c r="W90" s="386">
        <f t="shared" si="142"/>
        <v>5.7194217759841723E-2</v>
      </c>
      <c r="X90" s="4">
        <f t="shared" si="105"/>
        <v>1.3406289756934058</v>
      </c>
      <c r="Y90" s="386">
        <f t="shared" si="143"/>
        <v>3.5945721009375009E-3</v>
      </c>
      <c r="Z90" s="603">
        <f t="shared" si="144"/>
        <v>3.5945721009375009E-3</v>
      </c>
      <c r="AA90" s="386">
        <f t="shared" si="106"/>
        <v>17.662445802314018</v>
      </c>
      <c r="AB90" s="386">
        <f t="shared" si="107"/>
        <v>0.59272778426739203</v>
      </c>
      <c r="AC90" s="386">
        <f t="shared" si="108"/>
        <v>0.33696937196695598</v>
      </c>
      <c r="AD90" s="386">
        <f t="shared" si="109"/>
        <v>0</v>
      </c>
      <c r="AE90" s="386">
        <f t="shared" si="110"/>
        <v>1.0547308070915324</v>
      </c>
      <c r="AF90" s="386">
        <f t="shared" si="111"/>
        <v>3.4863108458302685</v>
      </c>
      <c r="AG90" s="386">
        <f t="shared" si="112"/>
        <v>2.3093290296132149E-2</v>
      </c>
      <c r="AH90" s="386">
        <f t="shared" si="113"/>
        <v>0</v>
      </c>
      <c r="AI90" s="386">
        <f t="shared" si="114"/>
        <v>2.3200445219422477E-2</v>
      </c>
      <c r="AJ90" s="386">
        <f t="shared" si="115"/>
        <v>5.6260099356678861</v>
      </c>
      <c r="AK90" s="386">
        <f t="shared" si="116"/>
        <v>1.5825993898116886E-2</v>
      </c>
      <c r="AL90" s="386">
        <f t="shared" si="117"/>
        <v>1.1262092029730675</v>
      </c>
      <c r="AM90" s="386">
        <f t="shared" si="118"/>
        <v>0</v>
      </c>
      <c r="AN90" s="386">
        <f t="shared" si="119"/>
        <v>1.1456614430726595</v>
      </c>
      <c r="AO90" s="386">
        <f t="shared" si="145"/>
        <v>17.101589611413321</v>
      </c>
      <c r="AP90" s="386">
        <f t="shared" si="120"/>
        <v>0.14623218361860002</v>
      </c>
      <c r="AQ90" s="386">
        <f t="shared" si="121"/>
        <v>0</v>
      </c>
      <c r="AR90" s="386">
        <f t="shared" si="122"/>
        <v>0.15063780257995488</v>
      </c>
      <c r="AS90" s="386">
        <f t="shared" si="123"/>
        <v>0</v>
      </c>
      <c r="AT90" s="386">
        <f t="shared" si="124"/>
        <v>0.20497500000000002</v>
      </c>
      <c r="AU90" s="386">
        <f t="shared" si="125"/>
        <v>0.42606796937499997</v>
      </c>
      <c r="AV90" s="386">
        <f t="shared" si="126"/>
        <v>0.13141905332996259</v>
      </c>
      <c r="AW90" s="386" t="e">
        <f t="shared" si="127"/>
        <v>#VALUE!</v>
      </c>
      <c r="AX90" s="386">
        <f t="shared" si="128"/>
        <v>3.8400000000000004E-2</v>
      </c>
      <c r="AY90" s="386">
        <f t="shared" si="129"/>
        <v>0.62080000000000002</v>
      </c>
      <c r="AZ90" s="386">
        <f t="shared" si="130"/>
        <v>0.47314285714285709</v>
      </c>
      <c r="BA90" s="386">
        <f t="shared" si="152"/>
        <v>0.65920000000000001</v>
      </c>
      <c r="BB90" s="386" t="e">
        <f t="shared" si="153"/>
        <v>#VALUE!</v>
      </c>
      <c r="BC90">
        <f t="shared" si="131"/>
        <v>207.36</v>
      </c>
      <c r="BD90" s="604" t="e">
        <f t="shared" si="146"/>
        <v>#VALUE!</v>
      </c>
      <c r="BE90" s="614">
        <f t="shared" si="132"/>
        <v>71.343315143007985</v>
      </c>
      <c r="BF90" s="614">
        <f t="shared" si="133"/>
        <v>14.562011623685244</v>
      </c>
      <c r="BG90" s="9"/>
      <c r="BH90" s="4" t="e">
        <f t="shared" si="147"/>
        <v>#VALUE!</v>
      </c>
      <c r="BI90" s="386">
        <f t="shared" si="148"/>
        <v>1.2721827643944668</v>
      </c>
      <c r="BJ90" s="386">
        <f t="shared" si="149"/>
        <v>2.8002984673385698</v>
      </c>
      <c r="BK90" s="386">
        <f t="shared" si="134"/>
        <v>1.4268663028601596</v>
      </c>
      <c r="BL90" s="386">
        <f t="shared" si="135"/>
        <v>0.2912402324737049</v>
      </c>
      <c r="BM90" s="386">
        <f t="shared" si="150"/>
        <v>0.13141905332996259</v>
      </c>
      <c r="BS90" s="18"/>
      <c r="BT90" s="19"/>
    </row>
    <row r="91" spans="1:72" x14ac:dyDescent="0.2">
      <c r="G91">
        <v>82</v>
      </c>
      <c r="H91" s="610">
        <f t="shared" si="97"/>
        <v>12</v>
      </c>
      <c r="I91" s="4" t="str">
        <f t="shared" si="98"/>
        <v>BUCK-BST</v>
      </c>
      <c r="J91">
        <f t="shared" si="136"/>
        <v>3</v>
      </c>
      <c r="K91" s="386">
        <f t="shared" si="137"/>
        <v>16.399999999999999</v>
      </c>
      <c r="L91" s="4">
        <f t="shared" si="99"/>
        <v>19.437037037037033</v>
      </c>
      <c r="M91" s="4">
        <f t="shared" si="151"/>
        <v>18.174891774891773</v>
      </c>
      <c r="N91" s="386">
        <f t="shared" si="100"/>
        <v>0.96250000000000002</v>
      </c>
      <c r="O91" s="386">
        <f t="shared" si="101"/>
        <v>9.765625E-2</v>
      </c>
      <c r="P91" s="4">
        <f t="shared" si="102"/>
        <v>4.6435388888888891</v>
      </c>
      <c r="Q91" s="4">
        <f t="shared" si="103"/>
        <v>18.224257519765992</v>
      </c>
      <c r="R91" s="386">
        <f t="shared" si="138"/>
        <v>0.80983755284717451</v>
      </c>
      <c r="S91" s="386">
        <f t="shared" si="139"/>
        <v>0.48297371088681207</v>
      </c>
      <c r="T91" s="386">
        <f t="shared" si="140"/>
        <v>1.2928112637339866</v>
      </c>
      <c r="U91" s="4">
        <f t="shared" si="104"/>
        <v>5.4131960688124705</v>
      </c>
      <c r="V91" s="386">
        <f t="shared" si="141"/>
        <v>5.8605383358813573E-2</v>
      </c>
      <c r="W91" s="386">
        <f t="shared" si="142"/>
        <v>5.8605383358813573E-2</v>
      </c>
      <c r="X91" s="4">
        <f t="shared" si="105"/>
        <v>1.340474213746248</v>
      </c>
      <c r="Y91" s="386">
        <f t="shared" si="143"/>
        <v>3.5937422354372435E-3</v>
      </c>
      <c r="Z91" s="603">
        <f t="shared" si="144"/>
        <v>3.5937422354372435E-3</v>
      </c>
      <c r="AA91" s="386">
        <f t="shared" si="106"/>
        <v>17.879287697395675</v>
      </c>
      <c r="AB91" s="386">
        <f t="shared" si="107"/>
        <v>0.60737096427586423</v>
      </c>
      <c r="AC91" s="386">
        <f t="shared" si="108"/>
        <v>0.3411294876702517</v>
      </c>
      <c r="AD91" s="386">
        <f t="shared" si="109"/>
        <v>0</v>
      </c>
      <c r="AE91" s="386">
        <f t="shared" si="110"/>
        <v>1.0796500731477696</v>
      </c>
      <c r="AF91" s="386">
        <f t="shared" si="111"/>
        <v>3.5291122935524477</v>
      </c>
      <c r="AG91" s="386">
        <f t="shared" si="112"/>
        <v>2.3663803802955734E-2</v>
      </c>
      <c r="AH91" s="386">
        <f t="shared" si="113"/>
        <v>0</v>
      </c>
      <c r="AI91" s="386">
        <f t="shared" si="114"/>
        <v>2.377633149167032E-2</v>
      </c>
      <c r="AJ91" s="386">
        <f t="shared" si="115"/>
        <v>5.695080474926872</v>
      </c>
      <c r="AK91" s="386">
        <f t="shared" si="116"/>
        <v>1.6216970807946644E-2</v>
      </c>
      <c r="AL91" s="386">
        <f t="shared" si="117"/>
        <v>1.1262092029730675</v>
      </c>
      <c r="AM91" s="386">
        <f t="shared" si="118"/>
        <v>0</v>
      </c>
      <c r="AN91" s="386">
        <f t="shared" si="119"/>
        <v>1.1461435691415109</v>
      </c>
      <c r="AO91" s="386">
        <f t="shared" si="145"/>
        <v>17.311545873516149</v>
      </c>
      <c r="AP91" s="386">
        <f t="shared" si="120"/>
        <v>0.14984481026542701</v>
      </c>
      <c r="AQ91" s="386">
        <f t="shared" si="121"/>
        <v>0</v>
      </c>
      <c r="AR91" s="386">
        <f t="shared" si="122"/>
        <v>0.15447424299182821</v>
      </c>
      <c r="AS91" s="386">
        <f t="shared" si="123"/>
        <v>0</v>
      </c>
      <c r="AT91" s="386">
        <f t="shared" si="124"/>
        <v>0.20750555555555553</v>
      </c>
      <c r="AU91" s="386">
        <f t="shared" si="125"/>
        <v>0.43017167750000002</v>
      </c>
      <c r="AV91" s="386">
        <f t="shared" si="126"/>
        <v>0.13466572558918891</v>
      </c>
      <c r="AW91" s="386" t="e">
        <f t="shared" si="127"/>
        <v>#VALUE!</v>
      </c>
      <c r="AX91" s="386">
        <f t="shared" si="128"/>
        <v>3.8400000000000004E-2</v>
      </c>
      <c r="AY91" s="386">
        <f t="shared" si="129"/>
        <v>0.62080000000000002</v>
      </c>
      <c r="AZ91" s="386">
        <f t="shared" si="130"/>
        <v>0.47314285714285709</v>
      </c>
      <c r="BA91" s="386">
        <f t="shared" si="152"/>
        <v>0.65920000000000001</v>
      </c>
      <c r="BB91" s="386" t="e">
        <f t="shared" si="153"/>
        <v>#VALUE!</v>
      </c>
      <c r="BC91">
        <f t="shared" si="131"/>
        <v>209.92</v>
      </c>
      <c r="BD91" s="604" t="e">
        <f t="shared" si="146"/>
        <v>#VALUE!</v>
      </c>
      <c r="BE91" s="614">
        <f t="shared" si="132"/>
        <v>71.502843814575542</v>
      </c>
      <c r="BF91" s="614">
        <f t="shared" si="133"/>
        <v>14.821544828341409</v>
      </c>
      <c r="BG91" s="9"/>
      <c r="BH91" s="4" t="e">
        <f t="shared" si="147"/>
        <v>#VALUE!</v>
      </c>
      <c r="BI91" s="386">
        <f t="shared" si="148"/>
        <v>1.2928112637339866</v>
      </c>
      <c r="BJ91" s="386">
        <f t="shared" si="149"/>
        <v>2.8342158942727793</v>
      </c>
      <c r="BK91" s="386">
        <f t="shared" si="134"/>
        <v>1.4300568762915109</v>
      </c>
      <c r="BL91" s="386">
        <f t="shared" si="135"/>
        <v>0.29643089656682819</v>
      </c>
      <c r="BM91" s="386">
        <f t="shared" si="150"/>
        <v>0.13466572558918891</v>
      </c>
      <c r="BS91" s="18"/>
      <c r="BT91" s="19"/>
    </row>
    <row r="92" spans="1:72" x14ac:dyDescent="0.2">
      <c r="G92">
        <v>83</v>
      </c>
      <c r="H92" s="610">
        <f t="shared" si="97"/>
        <v>12</v>
      </c>
      <c r="I92" s="4" t="str">
        <f t="shared" si="98"/>
        <v>BUCK-BST</v>
      </c>
      <c r="J92">
        <f t="shared" si="136"/>
        <v>3</v>
      </c>
      <c r="K92" s="386">
        <f t="shared" si="137"/>
        <v>16.600000000000001</v>
      </c>
      <c r="L92" s="4">
        <f t="shared" si="99"/>
        <v>19.674074074074074</v>
      </c>
      <c r="M92" s="4">
        <f t="shared" si="151"/>
        <v>18.396536796536797</v>
      </c>
      <c r="N92" s="386">
        <f t="shared" si="100"/>
        <v>0.96250000000000002</v>
      </c>
      <c r="O92" s="386">
        <f t="shared" si="101"/>
        <v>9.765625E-2</v>
      </c>
      <c r="P92" s="4">
        <f t="shared" si="102"/>
        <v>4.6430027777777783</v>
      </c>
      <c r="Q92" s="4">
        <f t="shared" si="103"/>
        <v>18.445298109252757</v>
      </c>
      <c r="R92" s="386">
        <f t="shared" si="138"/>
        <v>0.83091538103823936</v>
      </c>
      <c r="S92" s="386">
        <f t="shared" si="139"/>
        <v>0.48284524761010006</v>
      </c>
      <c r="T92" s="386">
        <f t="shared" si="140"/>
        <v>1.3137606286483394</v>
      </c>
      <c r="U92" s="4">
        <f t="shared" si="104"/>
        <v>5.4787710750436514</v>
      </c>
      <c r="V92" s="386">
        <f t="shared" si="141"/>
        <v>6.0033864985469934E-2</v>
      </c>
      <c r="W92" s="386">
        <f t="shared" si="142"/>
        <v>6.0033864985469934E-2</v>
      </c>
      <c r="X92" s="4">
        <f t="shared" si="105"/>
        <v>1.3403194517990904</v>
      </c>
      <c r="Y92" s="386">
        <f t="shared" si="143"/>
        <v>3.5929124657420285E-3</v>
      </c>
      <c r="Z92" s="603">
        <f t="shared" si="144"/>
        <v>3.5929124657420285E-3</v>
      </c>
      <c r="AA92" s="386">
        <f t="shared" si="106"/>
        <v>18.096144174975045</v>
      </c>
      <c r="AB92" s="386">
        <f t="shared" si="107"/>
        <v>0.62219382460281814</v>
      </c>
      <c r="AC92" s="386">
        <f t="shared" si="108"/>
        <v>0.34528960337354758</v>
      </c>
      <c r="AD92" s="386">
        <f t="shared" si="109"/>
        <v>0</v>
      </c>
      <c r="AE92" s="386">
        <f t="shared" si="110"/>
        <v>1.1049865951278548</v>
      </c>
      <c r="AF92" s="386">
        <f t="shared" si="111"/>
        <v>3.5719166196483534</v>
      </c>
      <c r="AG92" s="386">
        <f t="shared" si="112"/>
        <v>2.4241317841668227E-2</v>
      </c>
      <c r="AH92" s="386">
        <f t="shared" si="113"/>
        <v>0</v>
      </c>
      <c r="AI92" s="386">
        <f t="shared" si="114"/>
        <v>2.4359418724013648E-2</v>
      </c>
      <c r="AJ92" s="386">
        <f t="shared" si="115"/>
        <v>5.7641556591414869</v>
      </c>
      <c r="AK92" s="386">
        <f t="shared" si="116"/>
        <v>1.6612745231406413E-2</v>
      </c>
      <c r="AL92" s="386">
        <f t="shared" si="117"/>
        <v>1.1262092029730675</v>
      </c>
      <c r="AM92" s="386">
        <f t="shared" si="118"/>
        <v>0</v>
      </c>
      <c r="AN92" s="386">
        <f t="shared" si="119"/>
        <v>1.1466316882266272</v>
      </c>
      <c r="AO92" s="386">
        <f t="shared" si="145"/>
        <v>17.521516255061677</v>
      </c>
      <c r="AP92" s="386">
        <f t="shared" si="120"/>
        <v>0.15350176593819528</v>
      </c>
      <c r="AQ92" s="386">
        <f t="shared" si="121"/>
        <v>0</v>
      </c>
      <c r="AR92" s="386">
        <f t="shared" si="122"/>
        <v>0.15836358389585845</v>
      </c>
      <c r="AS92" s="386">
        <f t="shared" si="123"/>
        <v>0</v>
      </c>
      <c r="AT92" s="386">
        <f t="shared" si="124"/>
        <v>0.21003611111111112</v>
      </c>
      <c r="AU92" s="386">
        <f t="shared" si="125"/>
        <v>0.43427512437499999</v>
      </c>
      <c r="AV92" s="386">
        <f t="shared" si="126"/>
        <v>0.13795223640159884</v>
      </c>
      <c r="AW92" s="386" t="e">
        <f t="shared" si="127"/>
        <v>#VALUE!</v>
      </c>
      <c r="AX92" s="386">
        <f t="shared" si="128"/>
        <v>3.8400000000000004E-2</v>
      </c>
      <c r="AY92" s="386">
        <f t="shared" si="129"/>
        <v>0.62080000000000002</v>
      </c>
      <c r="AZ92" s="386">
        <f t="shared" si="130"/>
        <v>0.47314285714285709</v>
      </c>
      <c r="BA92" s="386">
        <f t="shared" si="152"/>
        <v>0.65920000000000001</v>
      </c>
      <c r="BB92" s="386" t="e">
        <f t="shared" si="153"/>
        <v>#VALUE!</v>
      </c>
      <c r="BC92">
        <f t="shared" si="131"/>
        <v>212.48000000000002</v>
      </c>
      <c r="BD92" s="604" t="e">
        <f t="shared" si="146"/>
        <v>#VALUE!</v>
      </c>
      <c r="BE92" s="614">
        <f t="shared" si="132"/>
        <v>71.662663515706356</v>
      </c>
      <c r="BF92" s="614">
        <f t="shared" si="133"/>
        <v>15.083718746980423</v>
      </c>
      <c r="BG92" s="9"/>
      <c r="BH92" s="4" t="e">
        <f t="shared" si="147"/>
        <v>#VALUE!</v>
      </c>
      <c r="BI92" s="386">
        <f t="shared" si="148"/>
        <v>1.3137606286483394</v>
      </c>
      <c r="BJ92" s="386">
        <f t="shared" si="149"/>
        <v>2.8686164103493543</v>
      </c>
      <c r="BK92" s="386">
        <f t="shared" si="134"/>
        <v>1.4332532703141272</v>
      </c>
      <c r="BL92" s="386">
        <f t="shared" si="135"/>
        <v>0.30167437493960847</v>
      </c>
      <c r="BM92" s="386">
        <f t="shared" si="150"/>
        <v>0.13795223640159884</v>
      </c>
      <c r="BS92" s="18"/>
      <c r="BT92" s="19"/>
    </row>
    <row r="93" spans="1:72" x14ac:dyDescent="0.2">
      <c r="G93">
        <v>84</v>
      </c>
      <c r="H93" s="610">
        <f t="shared" si="97"/>
        <v>12</v>
      </c>
      <c r="I93" s="4" t="str">
        <f t="shared" si="98"/>
        <v>BUCK-BST</v>
      </c>
      <c r="J93">
        <f t="shared" si="136"/>
        <v>3</v>
      </c>
      <c r="K93" s="386">
        <f t="shared" si="137"/>
        <v>16.8</v>
      </c>
      <c r="L93" s="4">
        <f t="shared" si="99"/>
        <v>19.911111111111111</v>
      </c>
      <c r="M93" s="4">
        <f t="shared" si="151"/>
        <v>18.618181818181817</v>
      </c>
      <c r="N93" s="386">
        <f t="shared" si="100"/>
        <v>0.96250000000000002</v>
      </c>
      <c r="O93" s="386">
        <f t="shared" si="101"/>
        <v>9.765625E-2</v>
      </c>
      <c r="P93" s="4">
        <f t="shared" si="102"/>
        <v>4.6424666666666674</v>
      </c>
      <c r="Q93" s="4">
        <f t="shared" si="103"/>
        <v>18.666353034559322</v>
      </c>
      <c r="R93" s="386">
        <f t="shared" si="138"/>
        <v>0.85231679802157545</v>
      </c>
      <c r="S93" s="386">
        <f t="shared" si="139"/>
        <v>0.48271680367442449</v>
      </c>
      <c r="T93" s="386">
        <f t="shared" si="140"/>
        <v>1.3350336016959998</v>
      </c>
      <c r="U93" s="4">
        <f t="shared" si="104"/>
        <v>5.5443512983851777</v>
      </c>
      <c r="V93" s="386">
        <f t="shared" si="141"/>
        <v>6.1479662639810813E-2</v>
      </c>
      <c r="W93" s="386">
        <f t="shared" si="142"/>
        <v>6.1479662639810813E-2</v>
      </c>
      <c r="X93" s="4">
        <f t="shared" si="105"/>
        <v>1.3401646898519326</v>
      </c>
      <c r="Y93" s="386">
        <f t="shared" si="143"/>
        <v>3.5920827918518535E-3</v>
      </c>
      <c r="Z93" s="603">
        <f t="shared" si="144"/>
        <v>3.5920827918518535E-3</v>
      </c>
      <c r="AA93" s="386">
        <f t="shared" si="106"/>
        <v>18.313014717009239</v>
      </c>
      <c r="AB93" s="386">
        <f t="shared" si="107"/>
        <v>0.63719636524825429</v>
      </c>
      <c r="AC93" s="386">
        <f t="shared" si="108"/>
        <v>0.3494497190768433</v>
      </c>
      <c r="AD93" s="386">
        <f t="shared" si="109"/>
        <v>0</v>
      </c>
      <c r="AE93" s="386">
        <f t="shared" si="110"/>
        <v>1.1307477564037101</v>
      </c>
      <c r="AF93" s="386">
        <f t="shared" si="111"/>
        <v>3.6147237218638257</v>
      </c>
      <c r="AG93" s="386">
        <f t="shared" si="112"/>
        <v>2.4825832412269631E-2</v>
      </c>
      <c r="AH93" s="386">
        <f t="shared" si="113"/>
        <v>0</v>
      </c>
      <c r="AI93" s="386">
        <f t="shared" si="114"/>
        <v>2.4949711885470249E-2</v>
      </c>
      <c r="AJ93" s="386">
        <f t="shared" si="115"/>
        <v>5.833235323299788</v>
      </c>
      <c r="AK93" s="386">
        <f t="shared" si="116"/>
        <v>1.7013317168496189E-2</v>
      </c>
      <c r="AL93" s="386">
        <f t="shared" si="117"/>
        <v>1.1262092029730675</v>
      </c>
      <c r="AM93" s="386">
        <f t="shared" si="118"/>
        <v>0</v>
      </c>
      <c r="AN93" s="386">
        <f t="shared" si="119"/>
        <v>1.1471258031658491</v>
      </c>
      <c r="AO93" s="386">
        <f t="shared" si="145"/>
        <v>17.731500254457028</v>
      </c>
      <c r="AP93" s="386">
        <f t="shared" si="120"/>
        <v>0.15720305063690485</v>
      </c>
      <c r="AQ93" s="386">
        <f t="shared" si="121"/>
        <v>0</v>
      </c>
      <c r="AR93" s="386">
        <f t="shared" si="122"/>
        <v>0.16230605193717604</v>
      </c>
      <c r="AS93" s="386">
        <f t="shared" si="123"/>
        <v>0</v>
      </c>
      <c r="AT93" s="386">
        <f t="shared" si="124"/>
        <v>0.21256666666666668</v>
      </c>
      <c r="AU93" s="386">
        <f t="shared" si="125"/>
        <v>0.43837831000000005</v>
      </c>
      <c r="AV93" s="386">
        <f t="shared" si="126"/>
        <v>0.14127858576719235</v>
      </c>
      <c r="AW93" s="386" t="e">
        <f t="shared" si="127"/>
        <v>#VALUE!</v>
      </c>
      <c r="AX93" s="386">
        <f t="shared" si="128"/>
        <v>3.8400000000000004E-2</v>
      </c>
      <c r="AY93" s="386">
        <f t="shared" si="129"/>
        <v>0.62080000000000002</v>
      </c>
      <c r="AZ93" s="386">
        <f t="shared" si="130"/>
        <v>0.47314285714285709</v>
      </c>
      <c r="BA93" s="386">
        <f t="shared" si="152"/>
        <v>0.65920000000000001</v>
      </c>
      <c r="BB93" s="386" t="e">
        <f t="shared" si="153"/>
        <v>#VALUE!</v>
      </c>
      <c r="BC93">
        <f t="shared" si="131"/>
        <v>215.04000000000002</v>
      </c>
      <c r="BD93" s="604" t="e">
        <f t="shared" si="146"/>
        <v>#VALUE!</v>
      </c>
      <c r="BE93" s="614">
        <f t="shared" si="132"/>
        <v>71.822774388292459</v>
      </c>
      <c r="BF93" s="614">
        <f t="shared" si="133"/>
        <v>15.348544711858803</v>
      </c>
      <c r="BG93" s="9"/>
      <c r="BH93" s="4" t="e">
        <f t="shared" si="147"/>
        <v>#VALUE!</v>
      </c>
      <c r="BI93" s="386">
        <f t="shared" si="148"/>
        <v>1.3350336016959998</v>
      </c>
      <c r="BJ93" s="386">
        <f t="shared" si="149"/>
        <v>2.9035076333922052</v>
      </c>
      <c r="BK93" s="386">
        <f t="shared" si="134"/>
        <v>1.4364554877658491</v>
      </c>
      <c r="BL93" s="386">
        <f t="shared" si="135"/>
        <v>0.30697089423717605</v>
      </c>
      <c r="BM93" s="386">
        <f t="shared" si="150"/>
        <v>0.14127858576719235</v>
      </c>
      <c r="BS93" s="18"/>
      <c r="BT93" s="19"/>
    </row>
    <row r="94" spans="1:72" x14ac:dyDescent="0.2">
      <c r="G94">
        <v>85</v>
      </c>
      <c r="H94" s="610">
        <f t="shared" si="97"/>
        <v>12</v>
      </c>
      <c r="I94" s="4" t="str">
        <f t="shared" si="98"/>
        <v>BUCK-BST</v>
      </c>
      <c r="J94">
        <f t="shared" si="136"/>
        <v>3</v>
      </c>
      <c r="K94" s="386">
        <f t="shared" si="137"/>
        <v>17</v>
      </c>
      <c r="L94" s="4">
        <f t="shared" si="99"/>
        <v>20.148148148148149</v>
      </c>
      <c r="M94" s="4">
        <f t="shared" si="151"/>
        <v>18.839826839826841</v>
      </c>
      <c r="N94" s="386">
        <f t="shared" si="100"/>
        <v>0.96250000000000002</v>
      </c>
      <c r="O94" s="386">
        <f t="shared" si="101"/>
        <v>9.765625E-2</v>
      </c>
      <c r="P94" s="4">
        <f t="shared" si="102"/>
        <v>4.6419305555555557</v>
      </c>
      <c r="Q94" s="4">
        <f t="shared" si="103"/>
        <v>18.887421792334262</v>
      </c>
      <c r="R94" s="386">
        <f t="shared" si="138"/>
        <v>0.87404460128212569</v>
      </c>
      <c r="S94" s="386">
        <f t="shared" si="139"/>
        <v>0.48258837907910734</v>
      </c>
      <c r="T94" s="386">
        <f t="shared" si="140"/>
        <v>1.3566329803612329</v>
      </c>
      <c r="U94" s="4">
        <f t="shared" si="104"/>
        <v>5.609936555872812</v>
      </c>
      <c r="V94" s="386">
        <f t="shared" si="141"/>
        <v>6.2942776321836216E-2</v>
      </c>
      <c r="W94" s="386">
        <f t="shared" si="142"/>
        <v>6.2942776321836216E-2</v>
      </c>
      <c r="X94" s="4">
        <f t="shared" si="105"/>
        <v>1.3400099279047746</v>
      </c>
      <c r="Y94" s="386">
        <f t="shared" si="143"/>
        <v>3.5912532137667183E-3</v>
      </c>
      <c r="Z94" s="603">
        <f t="shared" si="144"/>
        <v>3.5912532137667183E-3</v>
      </c>
      <c r="AA94" s="386">
        <f t="shared" si="106"/>
        <v>18.529898829674849</v>
      </c>
      <c r="AB94" s="386">
        <f t="shared" si="107"/>
        <v>0.65237858621217215</v>
      </c>
      <c r="AC94" s="386">
        <f t="shared" si="108"/>
        <v>0.35360983478013902</v>
      </c>
      <c r="AD94" s="386">
        <f t="shared" si="109"/>
        <v>0</v>
      </c>
      <c r="AE94" s="386">
        <f t="shared" si="110"/>
        <v>1.1569411469475817</v>
      </c>
      <c r="AF94" s="386">
        <f t="shared" si="111"/>
        <v>3.6575335027252809</v>
      </c>
      <c r="AG94" s="386">
        <f t="shared" si="112"/>
        <v>2.5417347514759936E-2</v>
      </c>
      <c r="AH94" s="386">
        <f t="shared" si="113"/>
        <v>0</v>
      </c>
      <c r="AI94" s="386">
        <f t="shared" si="114"/>
        <v>2.5547216008223066E-2</v>
      </c>
      <c r="AJ94" s="386">
        <f t="shared" si="115"/>
        <v>5.9023193101044571</v>
      </c>
      <c r="AK94" s="386">
        <f t="shared" si="116"/>
        <v>1.7418686619215976E-2</v>
      </c>
      <c r="AL94" s="386">
        <f t="shared" si="117"/>
        <v>1.1262092029730675</v>
      </c>
      <c r="AM94" s="386">
        <f t="shared" si="118"/>
        <v>0</v>
      </c>
      <c r="AN94" s="386">
        <f t="shared" si="119"/>
        <v>1.1476259168325629</v>
      </c>
      <c r="AO94" s="386">
        <f t="shared" si="145"/>
        <v>17.941497393559747</v>
      </c>
      <c r="AP94" s="386">
        <f t="shared" si="120"/>
        <v>0.16094866436155558</v>
      </c>
      <c r="AQ94" s="386">
        <f t="shared" si="121"/>
        <v>0</v>
      </c>
      <c r="AR94" s="386">
        <f t="shared" si="122"/>
        <v>0.16630187737026836</v>
      </c>
      <c r="AS94" s="386">
        <f t="shared" si="123"/>
        <v>0</v>
      </c>
      <c r="AT94" s="386">
        <f t="shared" si="124"/>
        <v>0.21509722222222222</v>
      </c>
      <c r="AU94" s="386">
        <f t="shared" si="125"/>
        <v>0.44248123437500003</v>
      </c>
      <c r="AV94" s="386">
        <f t="shared" si="126"/>
        <v>0.14464477368596942</v>
      </c>
      <c r="AW94" s="386" t="e">
        <f t="shared" si="127"/>
        <v>#VALUE!</v>
      </c>
      <c r="AX94" s="386">
        <f t="shared" si="128"/>
        <v>3.8400000000000004E-2</v>
      </c>
      <c r="AY94" s="386">
        <f t="shared" si="129"/>
        <v>0.62080000000000002</v>
      </c>
      <c r="AZ94" s="386">
        <f t="shared" si="130"/>
        <v>0.47314285714285709</v>
      </c>
      <c r="BA94" s="386">
        <f t="shared" si="152"/>
        <v>0.65920000000000001</v>
      </c>
      <c r="BB94" s="386" t="e">
        <f t="shared" si="153"/>
        <v>#VALUE!</v>
      </c>
      <c r="BC94">
        <f t="shared" si="131"/>
        <v>217.60000000000002</v>
      </c>
      <c r="BD94" s="604" t="e">
        <f t="shared" si="146"/>
        <v>#VALUE!</v>
      </c>
      <c r="BE94" s="614">
        <f t="shared" si="132"/>
        <v>71.983176576003146</v>
      </c>
      <c r="BF94" s="614">
        <f t="shared" si="133"/>
        <v>15.616034235700921</v>
      </c>
      <c r="BG94" s="9"/>
      <c r="BH94" s="4" t="e">
        <f t="shared" si="147"/>
        <v>#VALUE!</v>
      </c>
      <c r="BI94" s="386">
        <f t="shared" si="148"/>
        <v>1.3566329803612329</v>
      </c>
      <c r="BJ94" s="386">
        <f t="shared" si="149"/>
        <v>2.938897391533636</v>
      </c>
      <c r="BK94" s="386">
        <f t="shared" si="134"/>
        <v>1.439663531520063</v>
      </c>
      <c r="BL94" s="386">
        <f t="shared" si="135"/>
        <v>0.31232068471401842</v>
      </c>
      <c r="BM94" s="386">
        <f t="shared" si="150"/>
        <v>0.14464477368596942</v>
      </c>
      <c r="BS94" s="18"/>
      <c r="BT94" s="19"/>
    </row>
    <row r="95" spans="1:72" x14ac:dyDescent="0.2">
      <c r="G95">
        <v>86</v>
      </c>
      <c r="H95" s="610">
        <f t="shared" si="97"/>
        <v>12</v>
      </c>
      <c r="I95" s="4" t="str">
        <f t="shared" si="98"/>
        <v>BUCK-BST</v>
      </c>
      <c r="J95">
        <f t="shared" si="136"/>
        <v>3</v>
      </c>
      <c r="K95" s="386">
        <f t="shared" si="137"/>
        <v>17.2</v>
      </c>
      <c r="L95" s="4">
        <f t="shared" si="99"/>
        <v>20.385185185185183</v>
      </c>
      <c r="M95" s="4">
        <f t="shared" si="151"/>
        <v>19.061471861471862</v>
      </c>
      <c r="N95" s="386">
        <f t="shared" si="100"/>
        <v>0.96250000000000002</v>
      </c>
      <c r="O95" s="386">
        <f t="shared" si="101"/>
        <v>9.765625E-2</v>
      </c>
      <c r="P95" s="4">
        <f t="shared" si="102"/>
        <v>4.6413944444444448</v>
      </c>
      <c r="Q95" s="4">
        <f t="shared" si="103"/>
        <v>19.108503902488728</v>
      </c>
      <c r="R95" s="386">
        <f t="shared" si="138"/>
        <v>0.89610164421259941</v>
      </c>
      <c r="S95" s="386">
        <f t="shared" si="139"/>
        <v>0.48245997382346889</v>
      </c>
      <c r="T95" s="386">
        <f t="shared" si="140"/>
        <v>1.3785616180360682</v>
      </c>
      <c r="U95" s="4">
        <f t="shared" si="104"/>
        <v>5.6755266729857849</v>
      </c>
      <c r="V95" s="386">
        <f t="shared" si="141"/>
        <v>6.4423206031546193E-2</v>
      </c>
      <c r="W95" s="386">
        <f t="shared" si="142"/>
        <v>6.4423206031546193E-2</v>
      </c>
      <c r="X95" s="4">
        <f t="shared" si="105"/>
        <v>1.339855165957617</v>
      </c>
      <c r="Y95" s="386">
        <f t="shared" si="143"/>
        <v>3.5904237314866266E-3</v>
      </c>
      <c r="Z95" s="603">
        <f t="shared" si="144"/>
        <v>3.5904237314866266E-3</v>
      </c>
      <c r="AA95" s="386">
        <f t="shared" si="106"/>
        <v>18.746796041970704</v>
      </c>
      <c r="AB95" s="386">
        <f t="shared" si="107"/>
        <v>0.66774048749457204</v>
      </c>
      <c r="AC95" s="386">
        <f t="shared" si="108"/>
        <v>0.35776995048343474</v>
      </c>
      <c r="AD95" s="386">
        <f t="shared" si="109"/>
        <v>0</v>
      </c>
      <c r="AE95" s="386">
        <f t="shared" si="110"/>
        <v>1.183574570057248</v>
      </c>
      <c r="AF95" s="386">
        <f t="shared" si="111"/>
        <v>3.7003458692639128</v>
      </c>
      <c r="AG95" s="386">
        <f t="shared" si="112"/>
        <v>2.6015863149139156E-2</v>
      </c>
      <c r="AH95" s="386">
        <f t="shared" si="113"/>
        <v>0</v>
      </c>
      <c r="AI95" s="386">
        <f t="shared" si="114"/>
        <v>2.6151936187728146E-2</v>
      </c>
      <c r="AJ95" s="386">
        <f t="shared" si="115"/>
        <v>5.9714074695277279</v>
      </c>
      <c r="AK95" s="386">
        <f t="shared" si="116"/>
        <v>1.7828853583565771E-2</v>
      </c>
      <c r="AL95" s="386">
        <f t="shared" si="117"/>
        <v>1.1262092029730675</v>
      </c>
      <c r="AM95" s="386">
        <f t="shared" si="118"/>
        <v>0</v>
      </c>
      <c r="AN95" s="386">
        <f t="shared" si="119"/>
        <v>1.1481320321357433</v>
      </c>
      <c r="AO95" s="386">
        <f t="shared" si="145"/>
        <v>18.151507216324912</v>
      </c>
      <c r="AP95" s="386">
        <f t="shared" si="120"/>
        <v>0.16473860711214769</v>
      </c>
      <c r="AQ95" s="386">
        <f t="shared" si="121"/>
        <v>0</v>
      </c>
      <c r="AR95" s="386">
        <f t="shared" si="122"/>
        <v>0.17035129409390401</v>
      </c>
      <c r="AS95" s="386">
        <f t="shared" si="123"/>
        <v>0</v>
      </c>
      <c r="AT95" s="386">
        <f t="shared" si="124"/>
        <v>0.21762777777777775</v>
      </c>
      <c r="AU95" s="386">
        <f t="shared" si="125"/>
        <v>0.4465838975000001</v>
      </c>
      <c r="AV95" s="386">
        <f t="shared" si="126"/>
        <v>0.14805080015793012</v>
      </c>
      <c r="AW95" s="386" t="e">
        <f t="shared" si="127"/>
        <v>#VALUE!</v>
      </c>
      <c r="AX95" s="386">
        <f t="shared" si="128"/>
        <v>3.8400000000000004E-2</v>
      </c>
      <c r="AY95" s="386">
        <f t="shared" si="129"/>
        <v>0.62080000000000002</v>
      </c>
      <c r="AZ95" s="386">
        <f t="shared" si="130"/>
        <v>0.47314285714285709</v>
      </c>
      <c r="BA95" s="386">
        <f t="shared" si="152"/>
        <v>0.65920000000000001</v>
      </c>
      <c r="BB95" s="386" t="e">
        <f t="shared" si="153"/>
        <v>#VALUE!</v>
      </c>
      <c r="BC95">
        <f t="shared" si="131"/>
        <v>220.16</v>
      </c>
      <c r="BD95" s="604" t="e">
        <f t="shared" si="146"/>
        <v>#VALUE!</v>
      </c>
      <c r="BE95" s="614">
        <f t="shared" si="132"/>
        <v>72.14387022428717</v>
      </c>
      <c r="BF95" s="614">
        <f t="shared" si="133"/>
        <v>15.886199013445202</v>
      </c>
      <c r="BG95" s="9"/>
      <c r="BH95" s="4" t="e">
        <f t="shared" si="147"/>
        <v>#VALUE!</v>
      </c>
      <c r="BI95" s="386">
        <f t="shared" si="148"/>
        <v>1.3785616180360682</v>
      </c>
      <c r="BJ95" s="386">
        <f t="shared" si="149"/>
        <v>2.9747937299746234</v>
      </c>
      <c r="BK95" s="386">
        <f t="shared" si="134"/>
        <v>1.4428774044857433</v>
      </c>
      <c r="BL95" s="386">
        <f t="shared" si="135"/>
        <v>0.31772398026890403</v>
      </c>
      <c r="BM95" s="386">
        <f t="shared" si="150"/>
        <v>0.14805080015793012</v>
      </c>
      <c r="BS95" s="18"/>
      <c r="BT95" s="19"/>
    </row>
    <row r="96" spans="1:72" x14ac:dyDescent="0.2">
      <c r="G96">
        <v>87</v>
      </c>
      <c r="H96" s="610">
        <f t="shared" si="97"/>
        <v>12</v>
      </c>
      <c r="I96" s="4" t="str">
        <f t="shared" si="98"/>
        <v>BUCK-BST</v>
      </c>
      <c r="J96">
        <f t="shared" si="136"/>
        <v>3</v>
      </c>
      <c r="K96" s="386">
        <f t="shared" si="137"/>
        <v>17.399999999999999</v>
      </c>
      <c r="L96" s="4">
        <f t="shared" si="99"/>
        <v>20.62222222222222</v>
      </c>
      <c r="M96" s="4">
        <f t="shared" si="151"/>
        <v>19.283116883116882</v>
      </c>
      <c r="N96" s="386">
        <f t="shared" si="100"/>
        <v>0.96250000000000002</v>
      </c>
      <c r="O96" s="386">
        <f t="shared" si="101"/>
        <v>9.765625E-2</v>
      </c>
      <c r="P96" s="4">
        <f t="shared" si="102"/>
        <v>4.640858333333334</v>
      </c>
      <c r="Q96" s="4">
        <f t="shared" si="103"/>
        <v>19.329598906869567</v>
      </c>
      <c r="R96" s="386">
        <f t="shared" si="138"/>
        <v>0.91849083712121837</v>
      </c>
      <c r="S96" s="386">
        <f t="shared" si="139"/>
        <v>0.48233158790683134</v>
      </c>
      <c r="T96" s="386">
        <f t="shared" si="140"/>
        <v>1.4008224250280497</v>
      </c>
      <c r="U96" s="4">
        <f t="shared" si="104"/>
        <v>5.7411214831660136</v>
      </c>
      <c r="V96" s="386">
        <f t="shared" si="141"/>
        <v>6.5920951768940653E-2</v>
      </c>
      <c r="W96" s="386">
        <f t="shared" si="142"/>
        <v>6.5920951768940653E-2</v>
      </c>
      <c r="X96" s="4">
        <f t="shared" si="105"/>
        <v>1.3397004040104592</v>
      </c>
      <c r="Y96" s="386">
        <f t="shared" si="143"/>
        <v>3.5895943450115755E-3</v>
      </c>
      <c r="Z96" s="603">
        <f t="shared" si="144"/>
        <v>3.5895943450115755E-3</v>
      </c>
      <c r="AA96" s="386">
        <f t="shared" si="106"/>
        <v>18.963705904416106</v>
      </c>
      <c r="AB96" s="386">
        <f t="shared" si="107"/>
        <v>0.68328206909545397</v>
      </c>
      <c r="AC96" s="386">
        <f t="shared" si="108"/>
        <v>0.36193006618673046</v>
      </c>
      <c r="AD96" s="386">
        <f t="shared" si="109"/>
        <v>0</v>
      </c>
      <c r="AE96" s="386">
        <f t="shared" si="110"/>
        <v>1.2106560493554943</v>
      </c>
      <c r="AF96" s="386">
        <f t="shared" si="111"/>
        <v>3.7431607327587453</v>
      </c>
      <c r="AG96" s="386">
        <f t="shared" si="112"/>
        <v>2.6621379315407274E-2</v>
      </c>
      <c r="AH96" s="386">
        <f t="shared" si="113"/>
        <v>0</v>
      </c>
      <c r="AI96" s="386">
        <f t="shared" si="114"/>
        <v>2.6763877582823972E-2</v>
      </c>
      <c r="AJ96" s="386">
        <f t="shared" si="115"/>
        <v>6.0404996583967394</v>
      </c>
      <c r="AK96" s="386">
        <f t="shared" si="116"/>
        <v>1.8243818061545566E-2</v>
      </c>
      <c r="AL96" s="386">
        <f t="shared" si="117"/>
        <v>1.1262092029730675</v>
      </c>
      <c r="AM96" s="386">
        <f t="shared" si="118"/>
        <v>0</v>
      </c>
      <c r="AN96" s="386">
        <f t="shared" si="119"/>
        <v>1.1486441520199953</v>
      </c>
      <c r="AO96" s="386">
        <f t="shared" si="145"/>
        <v>18.361529287544705</v>
      </c>
      <c r="AP96" s="386">
        <f t="shared" si="120"/>
        <v>0.16857287888868097</v>
      </c>
      <c r="AQ96" s="386">
        <f t="shared" si="121"/>
        <v>0</v>
      </c>
      <c r="AR96" s="386">
        <f t="shared" si="122"/>
        <v>0.17445453968671895</v>
      </c>
      <c r="AS96" s="386">
        <f t="shared" si="123"/>
        <v>0</v>
      </c>
      <c r="AT96" s="386">
        <f t="shared" si="124"/>
        <v>0.22015833333333332</v>
      </c>
      <c r="AU96" s="386">
        <f t="shared" si="125"/>
        <v>0.45068629937499993</v>
      </c>
      <c r="AV96" s="386">
        <f t="shared" si="126"/>
        <v>0.15149666518307436</v>
      </c>
      <c r="AW96" s="386" t="e">
        <f t="shared" si="127"/>
        <v>#VALUE!</v>
      </c>
      <c r="AX96" s="386">
        <f t="shared" si="128"/>
        <v>3.8400000000000004E-2</v>
      </c>
      <c r="AY96" s="386">
        <f t="shared" si="129"/>
        <v>0.62080000000000002</v>
      </c>
      <c r="AZ96" s="386">
        <f t="shared" si="130"/>
        <v>0.47314285714285709</v>
      </c>
      <c r="BA96" s="386">
        <f t="shared" si="152"/>
        <v>0.65920000000000001</v>
      </c>
      <c r="BB96" s="386" t="e">
        <f t="shared" si="153"/>
        <v>#VALUE!</v>
      </c>
      <c r="BC96">
        <f t="shared" si="131"/>
        <v>222.72</v>
      </c>
      <c r="BD96" s="604" t="e">
        <f t="shared" si="146"/>
        <v>#VALUE!</v>
      </c>
      <c r="BE96" s="614">
        <f t="shared" si="132"/>
        <v>72.304855480374769</v>
      </c>
      <c r="BF96" s="614">
        <f t="shared" si="133"/>
        <v>16.159050924023447</v>
      </c>
      <c r="BG96" s="9"/>
      <c r="BH96" s="4" t="e">
        <f t="shared" si="147"/>
        <v>#VALUE!</v>
      </c>
      <c r="BI96" s="386">
        <f t="shared" si="148"/>
        <v>1.4008224250280497</v>
      </c>
      <c r="BJ96" s="386">
        <f t="shared" si="149"/>
        <v>3.0112049180200327</v>
      </c>
      <c r="BK96" s="386">
        <f t="shared" si="134"/>
        <v>1.4460971096074953</v>
      </c>
      <c r="BL96" s="386">
        <f t="shared" si="135"/>
        <v>0.32318101848046893</v>
      </c>
      <c r="BM96" s="386">
        <f t="shared" si="150"/>
        <v>0.15149666518307436</v>
      </c>
      <c r="BS96" s="18"/>
      <c r="BT96" s="19"/>
    </row>
    <row r="97" spans="7:72" x14ac:dyDescent="0.2">
      <c r="G97">
        <v>88</v>
      </c>
      <c r="H97" s="610">
        <f t="shared" si="97"/>
        <v>12</v>
      </c>
      <c r="I97" s="4" t="str">
        <f t="shared" si="98"/>
        <v>BUCK-BST</v>
      </c>
      <c r="J97">
        <f t="shared" si="136"/>
        <v>3</v>
      </c>
      <c r="K97" s="386">
        <f t="shared" si="137"/>
        <v>17.600000000000001</v>
      </c>
      <c r="L97" s="4">
        <f t="shared" si="99"/>
        <v>20.859259259259261</v>
      </c>
      <c r="M97" s="4">
        <f t="shared" si="151"/>
        <v>19.504761904761907</v>
      </c>
      <c r="N97" s="386">
        <f t="shared" si="100"/>
        <v>0.96250000000000002</v>
      </c>
      <c r="O97" s="386">
        <f t="shared" si="101"/>
        <v>9.765625E-2</v>
      </c>
      <c r="P97" s="4">
        <f t="shared" si="102"/>
        <v>4.6403222222222222</v>
      </c>
      <c r="Q97" s="4">
        <f t="shared" si="103"/>
        <v>19.550706368022155</v>
      </c>
      <c r="R97" s="386">
        <f t="shared" si="138"/>
        <v>0.94121514826593433</v>
      </c>
      <c r="S97" s="386">
        <f t="shared" si="139"/>
        <v>0.48220322132851451</v>
      </c>
      <c r="T97" s="386">
        <f t="shared" si="140"/>
        <v>1.4234183695944489</v>
      </c>
      <c r="U97" s="4">
        <f t="shared" si="104"/>
        <v>5.8067208273697677</v>
      </c>
      <c r="V97" s="386">
        <f t="shared" si="141"/>
        <v>6.7436013534019679E-2</v>
      </c>
      <c r="W97" s="386">
        <f t="shared" si="142"/>
        <v>6.7436013534019679E-2</v>
      </c>
      <c r="X97" s="4">
        <f t="shared" si="105"/>
        <v>1.3395456420633014</v>
      </c>
      <c r="Y97" s="386">
        <f t="shared" si="143"/>
        <v>3.5887650543415649E-3</v>
      </c>
      <c r="Z97" s="603">
        <f t="shared" si="144"/>
        <v>3.5887650543415649E-3</v>
      </c>
      <c r="AA97" s="386">
        <f t="shared" si="106"/>
        <v>19.18062798783707</v>
      </c>
      <c r="AB97" s="386">
        <f t="shared" si="107"/>
        <v>0.6990033310148176</v>
      </c>
      <c r="AC97" s="386">
        <f t="shared" si="108"/>
        <v>0.36609018189002634</v>
      </c>
      <c r="AD97" s="386">
        <f t="shared" si="109"/>
        <v>0</v>
      </c>
      <c r="AE97" s="386">
        <f t="shared" si="110"/>
        <v>1.238193836076781</v>
      </c>
      <c r="AF97" s="386">
        <f t="shared" si="111"/>
        <v>3.7859780084970542</v>
      </c>
      <c r="AG97" s="386">
        <f t="shared" si="112"/>
        <v>2.723389601356431E-2</v>
      </c>
      <c r="AH97" s="386">
        <f t="shared" si="113"/>
        <v>0</v>
      </c>
      <c r="AI97" s="386">
        <f t="shared" si="114"/>
        <v>2.7383045415842262E-2</v>
      </c>
      <c r="AJ97" s="386">
        <f t="shared" si="115"/>
        <v>6.1095957400069238</v>
      </c>
      <c r="AK97" s="386">
        <f t="shared" si="116"/>
        <v>1.8663580053155375E-2</v>
      </c>
      <c r="AL97" s="386">
        <f t="shared" si="117"/>
        <v>1.1262092029730675</v>
      </c>
      <c r="AM97" s="386">
        <f t="shared" si="118"/>
        <v>0</v>
      </c>
      <c r="AN97" s="386">
        <f t="shared" si="119"/>
        <v>1.1491622794655973</v>
      </c>
      <c r="AO97" s="386">
        <f t="shared" si="145"/>
        <v>18.571563191673214</v>
      </c>
      <c r="AP97" s="386">
        <f t="shared" si="120"/>
        <v>0.17245147969115568</v>
      </c>
      <c r="AQ97" s="386">
        <f t="shared" si="121"/>
        <v>0</v>
      </c>
      <c r="AR97" s="386">
        <f t="shared" si="122"/>
        <v>0.1786118554434778</v>
      </c>
      <c r="AS97" s="386">
        <f t="shared" si="123"/>
        <v>0</v>
      </c>
      <c r="AT97" s="386">
        <f t="shared" si="124"/>
        <v>0.22268888888888891</v>
      </c>
      <c r="AU97" s="386">
        <f t="shared" si="125"/>
        <v>0.45478844000000002</v>
      </c>
      <c r="AV97" s="386">
        <f t="shared" si="126"/>
        <v>0.1549823687614022</v>
      </c>
      <c r="AW97" s="386" t="e">
        <f t="shared" si="127"/>
        <v>#VALUE!</v>
      </c>
      <c r="AX97" s="386">
        <f t="shared" si="128"/>
        <v>3.8400000000000004E-2</v>
      </c>
      <c r="AY97" s="386">
        <f t="shared" si="129"/>
        <v>0.62080000000000002</v>
      </c>
      <c r="AZ97" s="386">
        <f t="shared" si="130"/>
        <v>0.47314285714285709</v>
      </c>
      <c r="BA97" s="386">
        <f t="shared" si="152"/>
        <v>0.65920000000000001</v>
      </c>
      <c r="BB97" s="386" t="e">
        <f t="shared" si="153"/>
        <v>#VALUE!</v>
      </c>
      <c r="BC97">
        <f t="shared" si="131"/>
        <v>225.28000000000003</v>
      </c>
      <c r="BD97" s="604" t="e">
        <f t="shared" si="146"/>
        <v>#VALUE!</v>
      </c>
      <c r="BE97" s="614">
        <f t="shared" si="132"/>
        <v>72.466132493279872</v>
      </c>
      <c r="BF97" s="614">
        <f t="shared" si="133"/>
        <v>16.434602032173888</v>
      </c>
      <c r="BG97" s="9"/>
      <c r="BH97" s="4" t="e">
        <f t="shared" si="147"/>
        <v>#VALUE!</v>
      </c>
      <c r="BI97" s="386">
        <f t="shared" si="148"/>
        <v>1.4234183695944489</v>
      </c>
      <c r="BJ97" s="386">
        <f t="shared" si="149"/>
        <v>3.048139456401699</v>
      </c>
      <c r="BK97" s="386">
        <f t="shared" si="134"/>
        <v>1.4493226498655973</v>
      </c>
      <c r="BL97" s="386">
        <f t="shared" si="135"/>
        <v>0.32869204064347779</v>
      </c>
      <c r="BM97" s="386">
        <f t="shared" si="150"/>
        <v>0.1549823687614022</v>
      </c>
      <c r="BS97" s="18"/>
      <c r="BT97" s="19"/>
    </row>
    <row r="98" spans="7:72" x14ac:dyDescent="0.2">
      <c r="G98">
        <v>89</v>
      </c>
      <c r="H98" s="610">
        <f t="shared" si="97"/>
        <v>12</v>
      </c>
      <c r="I98" s="4" t="str">
        <f t="shared" si="98"/>
        <v>BUCK-BST</v>
      </c>
      <c r="J98">
        <f t="shared" si="136"/>
        <v>3</v>
      </c>
      <c r="K98" s="386">
        <f t="shared" si="137"/>
        <v>17.8</v>
      </c>
      <c r="L98" s="4">
        <f t="shared" si="99"/>
        <v>21.096296296296298</v>
      </c>
      <c r="M98" s="4">
        <f t="shared" si="151"/>
        <v>19.726406926406927</v>
      </c>
      <c r="N98" s="386">
        <f t="shared" si="100"/>
        <v>0.96250000000000002</v>
      </c>
      <c r="O98" s="386">
        <f t="shared" si="101"/>
        <v>9.765625E-2</v>
      </c>
      <c r="P98" s="4">
        <f t="shared" si="102"/>
        <v>4.6397861111111114</v>
      </c>
      <c r="Q98" s="4">
        <f t="shared" si="103"/>
        <v>19.771825868035897</v>
      </c>
      <c r="R98" s="386">
        <f t="shared" si="138"/>
        <v>0.9642776049158448</v>
      </c>
      <c r="S98" s="386">
        <f t="shared" si="139"/>
        <v>0.48207487408783906</v>
      </c>
      <c r="T98" s="386">
        <f t="shared" si="140"/>
        <v>1.4463524790036839</v>
      </c>
      <c r="U98" s="4">
        <f t="shared" si="104"/>
        <v>5.8723245536492268</v>
      </c>
      <c r="V98" s="386">
        <f t="shared" si="141"/>
        <v>6.8968391326783174E-2</v>
      </c>
      <c r="W98" s="386">
        <f t="shared" si="142"/>
        <v>6.8968391326783174E-2</v>
      </c>
      <c r="X98" s="4">
        <f t="shared" si="105"/>
        <v>1.3393908801161436</v>
      </c>
      <c r="Y98" s="386">
        <f t="shared" si="143"/>
        <v>3.5879358594765958E-3</v>
      </c>
      <c r="Z98" s="603">
        <f t="shared" si="144"/>
        <v>3.5879358594765958E-3</v>
      </c>
      <c r="AA98" s="386">
        <f t="shared" si="106"/>
        <v>19.397561882233706</v>
      </c>
      <c r="AB98" s="386">
        <f t="shared" si="107"/>
        <v>0.71490427325266348</v>
      </c>
      <c r="AC98" s="386">
        <f t="shared" si="108"/>
        <v>0.37025029759332206</v>
      </c>
      <c r="AD98" s="386">
        <f t="shared" si="109"/>
        <v>0</v>
      </c>
      <c r="AE98" s="386">
        <f t="shared" si="110"/>
        <v>1.2661964166547193</v>
      </c>
      <c r="AF98" s="386">
        <f t="shared" si="111"/>
        <v>3.8287976155508008</v>
      </c>
      <c r="AG98" s="386">
        <f t="shared" si="112"/>
        <v>2.7853413243610244E-2</v>
      </c>
      <c r="AH98" s="386">
        <f t="shared" si="113"/>
        <v>0</v>
      </c>
      <c r="AI98" s="386">
        <f t="shared" si="114"/>
        <v>2.8009444972720111E-2</v>
      </c>
      <c r="AJ98" s="386">
        <f t="shared" si="115"/>
        <v>6.1786955837612183</v>
      </c>
      <c r="AK98" s="386">
        <f t="shared" si="116"/>
        <v>1.9088139558395192E-2</v>
      </c>
      <c r="AL98" s="386">
        <f t="shared" si="117"/>
        <v>1.1262092029730675</v>
      </c>
      <c r="AM98" s="386">
        <f t="shared" si="118"/>
        <v>0</v>
      </c>
      <c r="AN98" s="386">
        <f t="shared" si="119"/>
        <v>1.1496864174885453</v>
      </c>
      <c r="AO98" s="386">
        <f t="shared" si="145"/>
        <v>18.781608531729734</v>
      </c>
      <c r="AP98" s="386">
        <f t="shared" si="120"/>
        <v>0.17637440951957156</v>
      </c>
      <c r="AQ98" s="386">
        <f t="shared" si="121"/>
        <v>0</v>
      </c>
      <c r="AR98" s="386">
        <f t="shared" si="122"/>
        <v>0.18282348641201737</v>
      </c>
      <c r="AS98" s="386">
        <f t="shared" si="123"/>
        <v>0</v>
      </c>
      <c r="AT98" s="386">
        <f t="shared" si="124"/>
        <v>0.22521944444444447</v>
      </c>
      <c r="AU98" s="386">
        <f t="shared" si="125"/>
        <v>0.45889031937500002</v>
      </c>
      <c r="AV98" s="386">
        <f t="shared" si="126"/>
        <v>0.15850791089291363</v>
      </c>
      <c r="AW98" s="386" t="e">
        <f t="shared" si="127"/>
        <v>#VALUE!</v>
      </c>
      <c r="AX98" s="386">
        <f t="shared" si="128"/>
        <v>3.8400000000000004E-2</v>
      </c>
      <c r="AY98" s="386">
        <f t="shared" si="129"/>
        <v>0.62080000000000002</v>
      </c>
      <c r="AZ98" s="386">
        <f t="shared" si="130"/>
        <v>0.47314285714285709</v>
      </c>
      <c r="BA98" s="386">
        <f t="shared" si="152"/>
        <v>0.65920000000000001</v>
      </c>
      <c r="BB98" s="386" t="e">
        <f t="shared" si="153"/>
        <v>#VALUE!</v>
      </c>
      <c r="BC98">
        <f t="shared" si="131"/>
        <v>227.84000000000003</v>
      </c>
      <c r="BD98" s="604" t="e">
        <f t="shared" si="146"/>
        <v>#VALUE!</v>
      </c>
      <c r="BE98" s="614">
        <f t="shared" si="132"/>
        <v>72.627701413802257</v>
      </c>
      <c r="BF98" s="614">
        <f t="shared" si="133"/>
        <v>16.712864590288369</v>
      </c>
      <c r="BG98" s="9"/>
      <c r="BH98" s="4" t="e">
        <f t="shared" si="147"/>
        <v>#VALUE!</v>
      </c>
      <c r="BI98" s="386">
        <f t="shared" si="148"/>
        <v>1.4463524790036839</v>
      </c>
      <c r="BJ98" s="386">
        <f t="shared" si="149"/>
        <v>3.0856060849030018</v>
      </c>
      <c r="BK98" s="386">
        <f t="shared" si="134"/>
        <v>1.4525540282760452</v>
      </c>
      <c r="BL98" s="386">
        <f t="shared" si="135"/>
        <v>0.33425729180576735</v>
      </c>
      <c r="BM98" s="386">
        <f t="shared" si="150"/>
        <v>0.15850791089291363</v>
      </c>
      <c r="BS98" s="18"/>
      <c r="BT98" s="19"/>
    </row>
    <row r="99" spans="7:72" x14ac:dyDescent="0.2">
      <c r="G99">
        <v>90</v>
      </c>
      <c r="H99" s="610">
        <f t="shared" si="97"/>
        <v>12</v>
      </c>
      <c r="I99" s="4" t="str">
        <f t="shared" si="98"/>
        <v>BUCK-BST</v>
      </c>
      <c r="J99">
        <f t="shared" si="136"/>
        <v>3</v>
      </c>
      <c r="K99" s="386">
        <f t="shared" si="137"/>
        <v>18</v>
      </c>
      <c r="L99" s="4">
        <f t="shared" si="99"/>
        <v>21.333333333333332</v>
      </c>
      <c r="M99" s="4">
        <f t="shared" si="151"/>
        <v>19.948051948051948</v>
      </c>
      <c r="N99" s="386">
        <f t="shared" si="100"/>
        <v>0.96250000000000002</v>
      </c>
      <c r="O99" s="386">
        <f t="shared" si="101"/>
        <v>9.765625E-2</v>
      </c>
      <c r="P99" s="4">
        <f t="shared" si="102"/>
        <v>4.6392500000000005</v>
      </c>
      <c r="Q99" s="4">
        <f t="shared" si="103"/>
        <v>19.992957007466089</v>
      </c>
      <c r="R99" s="386">
        <f t="shared" si="138"/>
        <v>0.98768129444056363</v>
      </c>
      <c r="S99" s="386">
        <f t="shared" si="139"/>
        <v>0.48194654618412702</v>
      </c>
      <c r="T99" s="386">
        <f t="shared" si="140"/>
        <v>1.4696278406246908</v>
      </c>
      <c r="U99" s="4">
        <f t="shared" si="104"/>
        <v>5.9379325167616734</v>
      </c>
      <c r="V99" s="386">
        <f t="shared" si="141"/>
        <v>7.0518085147231249E-2</v>
      </c>
      <c r="W99" s="386">
        <f t="shared" si="142"/>
        <v>7.0518085147231249E-2</v>
      </c>
      <c r="X99" s="4">
        <f t="shared" si="105"/>
        <v>1.3392361181689858</v>
      </c>
      <c r="Y99" s="386">
        <f t="shared" si="143"/>
        <v>3.5871067604166672E-3</v>
      </c>
      <c r="Z99" s="603">
        <f t="shared" si="144"/>
        <v>3.5871067604166672E-3</v>
      </c>
      <c r="AA99" s="386">
        <f t="shared" si="106"/>
        <v>19.614507195722453</v>
      </c>
      <c r="AB99" s="386">
        <f t="shared" si="107"/>
        <v>0.73098489580899106</v>
      </c>
      <c r="AC99" s="386">
        <f t="shared" si="108"/>
        <v>0.37441041329661778</v>
      </c>
      <c r="AD99" s="386">
        <f t="shared" si="109"/>
        <v>0</v>
      </c>
      <c r="AE99" s="386">
        <f t="shared" si="110"/>
        <v>1.294672520624736</v>
      </c>
      <c r="AF99" s="386">
        <f t="shared" si="111"/>
        <v>3.8716194765678509</v>
      </c>
      <c r="AG99" s="386">
        <f t="shared" si="112"/>
        <v>2.8479931005545089E-2</v>
      </c>
      <c r="AH99" s="386">
        <f t="shared" si="113"/>
        <v>0</v>
      </c>
      <c r="AI99" s="386">
        <f t="shared" si="114"/>
        <v>2.8643081603113664E-2</v>
      </c>
      <c r="AJ99" s="386">
        <f t="shared" si="115"/>
        <v>6.2477990648331527</v>
      </c>
      <c r="AK99" s="386">
        <f t="shared" si="116"/>
        <v>1.9517496577265012E-2</v>
      </c>
      <c r="AL99" s="386">
        <f t="shared" si="117"/>
        <v>1.1262092029730675</v>
      </c>
      <c r="AM99" s="386">
        <f t="shared" si="118"/>
        <v>0</v>
      </c>
      <c r="AN99" s="386">
        <f t="shared" si="119"/>
        <v>1.1502165691405954</v>
      </c>
      <c r="AO99" s="386">
        <f t="shared" si="145"/>
        <v>18.991664928274652</v>
      </c>
      <c r="AP99" s="386">
        <f t="shared" si="120"/>
        <v>0.1803416683739287</v>
      </c>
      <c r="AQ99" s="386">
        <f t="shared" si="121"/>
        <v>0</v>
      </c>
      <c r="AR99" s="386">
        <f t="shared" si="122"/>
        <v>0.18708968143088733</v>
      </c>
      <c r="AS99" s="386">
        <f t="shared" si="123"/>
        <v>0</v>
      </c>
      <c r="AT99" s="386">
        <f t="shared" si="124"/>
        <v>0.22775000000000001</v>
      </c>
      <c r="AU99" s="386">
        <f t="shared" si="125"/>
        <v>0.46299193750000001</v>
      </c>
      <c r="AV99" s="386">
        <f t="shared" si="126"/>
        <v>0.16207329157760864</v>
      </c>
      <c r="AW99" s="386" t="e">
        <f t="shared" si="127"/>
        <v>#VALUE!</v>
      </c>
      <c r="AX99" s="386">
        <f t="shared" si="128"/>
        <v>3.8400000000000004E-2</v>
      </c>
      <c r="AY99" s="386">
        <f t="shared" si="129"/>
        <v>0.62080000000000002</v>
      </c>
      <c r="AZ99" s="386">
        <f t="shared" si="130"/>
        <v>0.47314285714285709</v>
      </c>
      <c r="BA99" s="386">
        <f t="shared" si="152"/>
        <v>0.65920000000000001</v>
      </c>
      <c r="BB99" s="386" t="e">
        <f t="shared" si="153"/>
        <v>#VALUE!</v>
      </c>
      <c r="BC99">
        <f t="shared" si="131"/>
        <v>230.4</v>
      </c>
      <c r="BD99" s="604" t="e">
        <f t="shared" si="146"/>
        <v>#VALUE!</v>
      </c>
      <c r="BE99" s="614">
        <f t="shared" si="132"/>
        <v>72.789562394529767</v>
      </c>
      <c r="BF99" s="614">
        <f t="shared" si="133"/>
        <v>16.993851040294366</v>
      </c>
      <c r="BG99" s="9"/>
      <c r="BH99" s="4" t="e">
        <f t="shared" si="147"/>
        <v>#VALUE!</v>
      </c>
      <c r="BI99" s="386">
        <f t="shared" si="148"/>
        <v>1.4696278406246908</v>
      </c>
      <c r="BJ99" s="386">
        <f t="shared" si="149"/>
        <v>3.1236137902993324</v>
      </c>
      <c r="BK99" s="386">
        <f t="shared" si="134"/>
        <v>1.4557912478905954</v>
      </c>
      <c r="BL99" s="386">
        <f t="shared" si="135"/>
        <v>0.33987702080588733</v>
      </c>
      <c r="BM99" s="386">
        <f t="shared" si="150"/>
        <v>0.16207329157760864</v>
      </c>
      <c r="BS99" s="18"/>
      <c r="BT99" s="19"/>
    </row>
    <row r="100" spans="7:72" x14ac:dyDescent="0.2">
      <c r="G100">
        <v>91</v>
      </c>
      <c r="H100" s="610">
        <f t="shared" si="97"/>
        <v>12</v>
      </c>
      <c r="I100" s="4" t="str">
        <f t="shared" si="98"/>
        <v>BUCK-BST</v>
      </c>
      <c r="J100">
        <f t="shared" si="136"/>
        <v>3</v>
      </c>
      <c r="K100" s="386">
        <f t="shared" si="137"/>
        <v>18.2</v>
      </c>
      <c r="L100" s="4">
        <f t="shared" si="99"/>
        <v>21.57037037037037</v>
      </c>
      <c r="M100" s="4">
        <f t="shared" si="151"/>
        <v>20.169696969696968</v>
      </c>
      <c r="N100" s="386">
        <f t="shared" si="100"/>
        <v>0.96250000000000002</v>
      </c>
      <c r="O100" s="386">
        <f t="shared" si="101"/>
        <v>9.765625E-2</v>
      </c>
      <c r="P100" s="4">
        <f t="shared" si="102"/>
        <v>4.6387138888888888</v>
      </c>
      <c r="Q100" s="4">
        <f t="shared" si="103"/>
        <v>20.214099404326276</v>
      </c>
      <c r="R100" s="386">
        <f t="shared" si="138"/>
        <v>1.0114293654283206</v>
      </c>
      <c r="S100" s="386">
        <f t="shared" si="139"/>
        <v>0.48181823761669751</v>
      </c>
      <c r="T100" s="386">
        <f t="shared" si="140"/>
        <v>1.4932476030450181</v>
      </c>
      <c r="U100" s="4">
        <f t="shared" si="104"/>
        <v>6.0035445778041749</v>
      </c>
      <c r="V100" s="386">
        <f t="shared" si="141"/>
        <v>7.2085094995363821E-2</v>
      </c>
      <c r="W100" s="386">
        <f t="shared" si="142"/>
        <v>7.2085094995363821E-2</v>
      </c>
      <c r="X100" s="4">
        <f t="shared" si="105"/>
        <v>1.339081356221828</v>
      </c>
      <c r="Y100" s="386">
        <f t="shared" si="143"/>
        <v>3.5862777571617805E-3</v>
      </c>
      <c r="Z100" s="603">
        <f t="shared" si="144"/>
        <v>3.5862777571617805E-3</v>
      </c>
      <c r="AA100" s="386">
        <f t="shared" si="106"/>
        <v>19.831463553547543</v>
      </c>
      <c r="AB100" s="386">
        <f t="shared" si="107"/>
        <v>0.74724519868380057</v>
      </c>
      <c r="AC100" s="386">
        <f t="shared" si="108"/>
        <v>0.3785705289999135</v>
      </c>
      <c r="AD100" s="386">
        <f t="shared" si="109"/>
        <v>0</v>
      </c>
      <c r="AE100" s="386">
        <f t="shared" si="110"/>
        <v>1.3236311288570897</v>
      </c>
      <c r="AF100" s="386">
        <f t="shared" si="111"/>
        <v>3.9144435175768457</v>
      </c>
      <c r="AG100" s="386">
        <f t="shared" si="112"/>
        <v>2.9113449299368838E-2</v>
      </c>
      <c r="AH100" s="386">
        <f t="shared" si="113"/>
        <v>0</v>
      </c>
      <c r="AI100" s="386">
        <f t="shared" si="114"/>
        <v>2.9283960720513112E-2</v>
      </c>
      <c r="AJ100" s="386">
        <f t="shared" si="115"/>
        <v>6.3169060638519614</v>
      </c>
      <c r="AK100" s="386">
        <f t="shared" si="116"/>
        <v>1.995165110976484E-2</v>
      </c>
      <c r="AL100" s="386">
        <f t="shared" si="117"/>
        <v>1.1262092029730675</v>
      </c>
      <c r="AM100" s="386">
        <f t="shared" si="118"/>
        <v>0</v>
      </c>
      <c r="AN100" s="386">
        <f t="shared" si="119"/>
        <v>1.1507527375093107</v>
      </c>
      <c r="AO100" s="386">
        <f t="shared" si="145"/>
        <v>19.201732018452248</v>
      </c>
      <c r="AP100" s="386">
        <f t="shared" si="120"/>
        <v>0.18435325625422713</v>
      </c>
      <c r="AQ100" s="386">
        <f t="shared" si="121"/>
        <v>0</v>
      </c>
      <c r="AR100" s="386">
        <f t="shared" si="122"/>
        <v>0.19141069316769582</v>
      </c>
      <c r="AS100" s="386">
        <f t="shared" si="123"/>
        <v>0</v>
      </c>
      <c r="AT100" s="386">
        <f t="shared" si="124"/>
        <v>0.23028055555555554</v>
      </c>
      <c r="AU100" s="386">
        <f t="shared" si="125"/>
        <v>0.46709329437500002</v>
      </c>
      <c r="AV100" s="386">
        <f t="shared" si="126"/>
        <v>0.16567851081548721</v>
      </c>
      <c r="AW100" s="386" t="e">
        <f t="shared" si="127"/>
        <v>#VALUE!</v>
      </c>
      <c r="AX100" s="386">
        <f t="shared" si="128"/>
        <v>3.8400000000000004E-2</v>
      </c>
      <c r="AY100" s="386">
        <f t="shared" si="129"/>
        <v>0.62080000000000002</v>
      </c>
      <c r="AZ100" s="386">
        <f t="shared" si="130"/>
        <v>0.47314285714285709</v>
      </c>
      <c r="BA100" s="386">
        <f t="shared" si="152"/>
        <v>0.65920000000000001</v>
      </c>
      <c r="BB100" s="386" t="e">
        <f t="shared" si="153"/>
        <v>#VALUE!</v>
      </c>
      <c r="BC100">
        <f t="shared" si="131"/>
        <v>232.96</v>
      </c>
      <c r="BD100" s="604" t="e">
        <f t="shared" si="146"/>
        <v>#VALUE!</v>
      </c>
      <c r="BE100" s="614">
        <f t="shared" si="132"/>
        <v>72.951715589840532</v>
      </c>
      <c r="BF100" s="614">
        <f t="shared" si="133"/>
        <v>17.277574015572291</v>
      </c>
      <c r="BG100" s="9"/>
      <c r="BH100" s="4" t="e">
        <f t="shared" si="147"/>
        <v>#VALUE!</v>
      </c>
      <c r="BI100" s="386">
        <f t="shared" si="148"/>
        <v>1.4932476030450181</v>
      </c>
      <c r="BJ100" s="386">
        <f t="shared" si="149"/>
        <v>3.1621718146296098</v>
      </c>
      <c r="BK100" s="386">
        <f t="shared" si="134"/>
        <v>1.4590343117968108</v>
      </c>
      <c r="BL100" s="386">
        <f t="shared" si="135"/>
        <v>0.34555148031144584</v>
      </c>
      <c r="BM100" s="386">
        <f t="shared" si="150"/>
        <v>0.16567851081548721</v>
      </c>
      <c r="BS100" s="18"/>
      <c r="BT100" s="19"/>
    </row>
    <row r="101" spans="7:72" x14ac:dyDescent="0.2">
      <c r="G101">
        <v>92</v>
      </c>
      <c r="H101" s="610">
        <f t="shared" si="97"/>
        <v>12</v>
      </c>
      <c r="I101" s="4" t="str">
        <f t="shared" si="98"/>
        <v>BUCK-BST</v>
      </c>
      <c r="J101">
        <f t="shared" si="136"/>
        <v>3</v>
      </c>
      <c r="K101" s="386">
        <f t="shared" si="137"/>
        <v>18.399999999999999</v>
      </c>
      <c r="L101" s="4">
        <f t="shared" si="99"/>
        <v>21.807407407407403</v>
      </c>
      <c r="M101" s="4">
        <f t="shared" si="151"/>
        <v>20.391341991341989</v>
      </c>
      <c r="N101" s="386">
        <f t="shared" si="100"/>
        <v>0.96250000000000002</v>
      </c>
      <c r="O101" s="386">
        <f t="shared" si="101"/>
        <v>9.765625E-2</v>
      </c>
      <c r="P101" s="4">
        <f t="shared" si="102"/>
        <v>4.638177777777778</v>
      </c>
      <c r="Q101" s="4">
        <f t="shared" si="103"/>
        <v>20.435252693145809</v>
      </c>
      <c r="R101" s="386">
        <f t="shared" si="138"/>
        <v>1.0355250288335962</v>
      </c>
      <c r="S101" s="386">
        <f t="shared" si="139"/>
        <v>0.48168994838487234</v>
      </c>
      <c r="T101" s="386">
        <f t="shared" si="140"/>
        <v>1.5172149772184684</v>
      </c>
      <c r="U101" s="4">
        <f t="shared" si="104"/>
        <v>6.0691606038718797</v>
      </c>
      <c r="V101" s="386">
        <f t="shared" si="141"/>
        <v>7.366942087118096E-2</v>
      </c>
      <c r="W101" s="386">
        <f t="shared" si="142"/>
        <v>7.366942087118096E-2</v>
      </c>
      <c r="X101" s="4">
        <f t="shared" si="105"/>
        <v>1.3389265942746702</v>
      </c>
      <c r="Y101" s="386">
        <f t="shared" si="143"/>
        <v>3.5854488497119347E-3</v>
      </c>
      <c r="Z101" s="603">
        <f t="shared" si="144"/>
        <v>3.5854488497119347E-3</v>
      </c>
      <c r="AA101" s="386">
        <f t="shared" si="106"/>
        <v>20.048430597156376</v>
      </c>
      <c r="AB101" s="386">
        <f t="shared" si="107"/>
        <v>0.76368518187709233</v>
      </c>
      <c r="AC101" s="386">
        <f t="shared" si="108"/>
        <v>0.38273064470320922</v>
      </c>
      <c r="AD101" s="386">
        <f t="shared" si="109"/>
        <v>0</v>
      </c>
      <c r="AE101" s="386">
        <f t="shared" si="110"/>
        <v>1.3530814821362513</v>
      </c>
      <c r="AF101" s="386">
        <f t="shared" si="111"/>
        <v>3.9572696678046984</v>
      </c>
      <c r="AG101" s="386">
        <f t="shared" si="112"/>
        <v>2.9753968125081506E-2</v>
      </c>
      <c r="AH101" s="386">
        <f t="shared" si="113"/>
        <v>0</v>
      </c>
      <c r="AI101" s="386">
        <f t="shared" si="114"/>
        <v>2.9932087802359213E-2</v>
      </c>
      <c r="AJ101" s="386">
        <f t="shared" si="115"/>
        <v>6.3860164666080657</v>
      </c>
      <c r="AK101" s="386">
        <f t="shared" si="116"/>
        <v>2.0390603155894683E-2</v>
      </c>
      <c r="AL101" s="386">
        <f t="shared" si="117"/>
        <v>1.1262092029730675</v>
      </c>
      <c r="AM101" s="386">
        <f t="shared" si="118"/>
        <v>0</v>
      </c>
      <c r="AN101" s="386">
        <f t="shared" si="119"/>
        <v>1.1512949257181049</v>
      </c>
      <c r="AO101" s="386">
        <f t="shared" si="145"/>
        <v>19.411809455095465</v>
      </c>
      <c r="AP101" s="386">
        <f t="shared" si="120"/>
        <v>0.18840917316046685</v>
      </c>
      <c r="AQ101" s="386">
        <f t="shared" si="121"/>
        <v>0</v>
      </c>
      <c r="AR101" s="386">
        <f t="shared" si="122"/>
        <v>0.1957867781581735</v>
      </c>
      <c r="AS101" s="386">
        <f t="shared" si="123"/>
        <v>0</v>
      </c>
      <c r="AT101" s="386">
        <f t="shared" si="124"/>
        <v>0.23281111111111108</v>
      </c>
      <c r="AU101" s="386">
        <f t="shared" si="125"/>
        <v>0.47119439000000002</v>
      </c>
      <c r="AV101" s="386">
        <f t="shared" si="126"/>
        <v>0.16932356860654943</v>
      </c>
      <c r="AW101" s="386" t="e">
        <f t="shared" si="127"/>
        <v>#VALUE!</v>
      </c>
      <c r="AX101" s="386">
        <f t="shared" si="128"/>
        <v>3.8400000000000004E-2</v>
      </c>
      <c r="AY101" s="386">
        <f t="shared" si="129"/>
        <v>0.62080000000000002</v>
      </c>
      <c r="AZ101" s="386">
        <f t="shared" si="130"/>
        <v>0.47314285714285709</v>
      </c>
      <c r="BA101" s="386">
        <f t="shared" si="152"/>
        <v>0.65920000000000001</v>
      </c>
      <c r="BB101" s="386" t="e">
        <f t="shared" si="153"/>
        <v>#VALUE!</v>
      </c>
      <c r="BC101">
        <f t="shared" si="131"/>
        <v>235.51999999999998</v>
      </c>
      <c r="BD101" s="604" t="e">
        <f t="shared" si="146"/>
        <v>#VALUE!</v>
      </c>
      <c r="BE101" s="614">
        <f t="shared" si="132"/>
        <v>73.114161155905251</v>
      </c>
      <c r="BF101" s="614">
        <f t="shared" si="133"/>
        <v>17.564046342908675</v>
      </c>
      <c r="BG101" s="9"/>
      <c r="BH101" s="4" t="e">
        <f t="shared" si="147"/>
        <v>#VALUE!</v>
      </c>
      <c r="BI101" s="386">
        <f t="shared" si="148"/>
        <v>1.5172149772184684</v>
      </c>
      <c r="BJ101" s="386">
        <f t="shared" si="149"/>
        <v>3.2012896638148889</v>
      </c>
      <c r="BK101" s="386">
        <f t="shared" si="134"/>
        <v>1.4622832231181049</v>
      </c>
      <c r="BL101" s="386">
        <f t="shared" si="135"/>
        <v>0.35128092685817347</v>
      </c>
      <c r="BM101" s="386">
        <f t="shared" si="150"/>
        <v>0.16932356860654943</v>
      </c>
      <c r="BS101" s="18"/>
      <c r="BT101" s="19"/>
    </row>
    <row r="102" spans="7:72" x14ac:dyDescent="0.2">
      <c r="G102">
        <v>93</v>
      </c>
      <c r="H102" s="610">
        <f t="shared" si="97"/>
        <v>12</v>
      </c>
      <c r="I102" s="4" t="str">
        <f t="shared" si="98"/>
        <v>BUCK-BST</v>
      </c>
      <c r="J102">
        <f t="shared" si="136"/>
        <v>3</v>
      </c>
      <c r="K102" s="386">
        <f t="shared" si="137"/>
        <v>18.600000000000001</v>
      </c>
      <c r="L102" s="4">
        <f t="shared" si="99"/>
        <v>22.044444444444448</v>
      </c>
      <c r="M102" s="4">
        <f t="shared" si="151"/>
        <v>20.612987012987016</v>
      </c>
      <c r="N102" s="386">
        <f t="shared" si="100"/>
        <v>0.96250000000000002</v>
      </c>
      <c r="O102" s="386">
        <f t="shared" si="101"/>
        <v>9.765625E-2</v>
      </c>
      <c r="P102" s="4">
        <f t="shared" si="102"/>
        <v>4.6376416666666671</v>
      </c>
      <c r="Q102" s="4">
        <f t="shared" si="103"/>
        <v>20.656416524087739</v>
      </c>
      <c r="R102" s="386">
        <f t="shared" si="138"/>
        <v>1.0599715591551246</v>
      </c>
      <c r="S102" s="386">
        <f t="shared" si="139"/>
        <v>0.48156167848797188</v>
      </c>
      <c r="T102" s="386">
        <f t="shared" si="140"/>
        <v>1.5415332376430966</v>
      </c>
      <c r="U102" s="4">
        <f t="shared" si="104"/>
        <v>6.1347804677381319</v>
      </c>
      <c r="V102" s="386">
        <f t="shared" si="141"/>
        <v>7.5271062774682596E-2</v>
      </c>
      <c r="W102" s="386">
        <f t="shared" si="142"/>
        <v>7.5271062774682596E-2</v>
      </c>
      <c r="X102" s="4">
        <f t="shared" si="105"/>
        <v>1.3387718323275126</v>
      </c>
      <c r="Y102" s="386">
        <f t="shared" si="143"/>
        <v>3.5846200380671316E-3</v>
      </c>
      <c r="Z102" s="603">
        <f t="shared" si="144"/>
        <v>3.5846200380671316E-3</v>
      </c>
      <c r="AA102" s="386">
        <f t="shared" si="106"/>
        <v>20.265407983334121</v>
      </c>
      <c r="AB102" s="386">
        <f t="shared" si="107"/>
        <v>0.78030484538886635</v>
      </c>
      <c r="AC102" s="386">
        <f t="shared" si="108"/>
        <v>0.38689076040650511</v>
      </c>
      <c r="AD102" s="386">
        <f t="shared" si="109"/>
        <v>0</v>
      </c>
      <c r="AE102" s="386">
        <f t="shared" si="110"/>
        <v>1.3830330901035603</v>
      </c>
      <c r="AF102" s="386">
        <f t="shared" si="111"/>
        <v>4.0000978595057743</v>
      </c>
      <c r="AG102" s="386">
        <f t="shared" si="112"/>
        <v>3.0401487482683086E-2</v>
      </c>
      <c r="AH102" s="386">
        <f t="shared" si="113"/>
        <v>0</v>
      </c>
      <c r="AI102" s="386">
        <f t="shared" si="114"/>
        <v>3.0587468390161174E-2</v>
      </c>
      <c r="AJ102" s="386">
        <f t="shared" si="115"/>
        <v>6.4551301637774188</v>
      </c>
      <c r="AK102" s="386">
        <f t="shared" si="116"/>
        <v>2.0834352715654543E-2</v>
      </c>
      <c r="AL102" s="386">
        <f t="shared" si="117"/>
        <v>1.1262092029730675</v>
      </c>
      <c r="AM102" s="386">
        <f t="shared" si="118"/>
        <v>0</v>
      </c>
      <c r="AN102" s="386">
        <f t="shared" si="119"/>
        <v>1.1518431369262876</v>
      </c>
      <c r="AO102" s="386">
        <f t="shared" si="145"/>
        <v>19.621896905887969</v>
      </c>
      <c r="AP102" s="386">
        <f t="shared" si="120"/>
        <v>0.19250941909264793</v>
      </c>
      <c r="AQ102" s="386">
        <f t="shared" si="121"/>
        <v>0</v>
      </c>
      <c r="AR102" s="386">
        <f t="shared" si="122"/>
        <v>0.20021819684596684</v>
      </c>
      <c r="AS102" s="386">
        <f t="shared" si="123"/>
        <v>0</v>
      </c>
      <c r="AT102" s="386">
        <f t="shared" si="124"/>
        <v>0.2353416666666667</v>
      </c>
      <c r="AU102" s="386">
        <f t="shared" si="125"/>
        <v>0.47529522437500005</v>
      </c>
      <c r="AV102" s="386">
        <f t="shared" si="126"/>
        <v>0.17300846495079528</v>
      </c>
      <c r="AW102" s="386" t="e">
        <f t="shared" si="127"/>
        <v>#VALUE!</v>
      </c>
      <c r="AX102" s="386">
        <f t="shared" si="128"/>
        <v>3.8400000000000004E-2</v>
      </c>
      <c r="AY102" s="386">
        <f t="shared" si="129"/>
        <v>0.62080000000000002</v>
      </c>
      <c r="AZ102" s="386">
        <f t="shared" si="130"/>
        <v>0.47314285714285709</v>
      </c>
      <c r="BA102" s="386">
        <f t="shared" si="152"/>
        <v>0.65920000000000001</v>
      </c>
      <c r="BB102" s="386" t="e">
        <f t="shared" si="153"/>
        <v>#VALUE!</v>
      </c>
      <c r="BC102">
        <f t="shared" si="131"/>
        <v>238.08000000000004</v>
      </c>
      <c r="BD102" s="604" t="e">
        <f t="shared" si="146"/>
        <v>#VALUE!</v>
      </c>
      <c r="BE102" s="614">
        <f t="shared" si="132"/>
        <v>73.276899250689382</v>
      </c>
      <c r="BF102" s="614">
        <f t="shared" si="133"/>
        <v>17.85328104448584</v>
      </c>
      <c r="BG102" s="9"/>
      <c r="BH102" s="4" t="e">
        <f t="shared" si="147"/>
        <v>#VALUE!</v>
      </c>
      <c r="BI102" s="386">
        <f t="shared" si="148"/>
        <v>1.5415332376430966</v>
      </c>
      <c r="BJ102" s="386">
        <f t="shared" si="149"/>
        <v>3.2409771166409755</v>
      </c>
      <c r="BK102" s="386">
        <f t="shared" si="134"/>
        <v>1.4655379850137877</v>
      </c>
      <c r="BL102" s="386">
        <f t="shared" si="135"/>
        <v>0.35706562088971683</v>
      </c>
      <c r="BM102" s="386">
        <f t="shared" si="150"/>
        <v>0.17300846495079528</v>
      </c>
      <c r="BS102" s="18"/>
      <c r="BT102" s="19"/>
    </row>
    <row r="103" spans="7:72" x14ac:dyDescent="0.2">
      <c r="G103">
        <v>94</v>
      </c>
      <c r="H103" s="610">
        <f t="shared" si="97"/>
        <v>12</v>
      </c>
      <c r="I103" s="4" t="str">
        <f t="shared" si="98"/>
        <v>BUCK-BST</v>
      </c>
      <c r="J103">
        <f t="shared" si="136"/>
        <v>3</v>
      </c>
      <c r="K103" s="386">
        <f t="shared" si="137"/>
        <v>18.8</v>
      </c>
      <c r="L103" s="4">
        <f t="shared" si="99"/>
        <v>22.281481481481482</v>
      </c>
      <c r="M103" s="4">
        <f t="shared" si="151"/>
        <v>20.834632034632037</v>
      </c>
      <c r="N103" s="386">
        <f t="shared" si="100"/>
        <v>0.96250000000000002</v>
      </c>
      <c r="O103" s="386">
        <f t="shared" si="101"/>
        <v>9.765625E-2</v>
      </c>
      <c r="P103" s="4">
        <f t="shared" si="102"/>
        <v>4.6371055555555554</v>
      </c>
      <c r="Q103" s="4">
        <f t="shared" si="103"/>
        <v>20.877590562122563</v>
      </c>
      <c r="R103" s="386">
        <f t="shared" si="138"/>
        <v>1.0847722956451213</v>
      </c>
      <c r="S103" s="386">
        <f t="shared" si="139"/>
        <v>0.48143342792531685</v>
      </c>
      <c r="T103" s="386">
        <f t="shared" si="140"/>
        <v>1.5662057235704383</v>
      </c>
      <c r="U103" s="4">
        <f t="shared" si="104"/>
        <v>6.2004040475548363</v>
      </c>
      <c r="V103" s="386">
        <f t="shared" si="141"/>
        <v>7.6890020705868797E-2</v>
      </c>
      <c r="W103" s="386">
        <f t="shared" si="142"/>
        <v>7.6890020705868797E-2</v>
      </c>
      <c r="X103" s="4">
        <f t="shared" si="105"/>
        <v>1.3386170703803546</v>
      </c>
      <c r="Y103" s="386">
        <f t="shared" si="143"/>
        <v>3.5837913222273666E-3</v>
      </c>
      <c r="Z103" s="603">
        <f t="shared" si="144"/>
        <v>3.5837913222273666E-3</v>
      </c>
      <c r="AA103" s="386">
        <f t="shared" si="106"/>
        <v>20.482395383393104</v>
      </c>
      <c r="AB103" s="386">
        <f t="shared" si="107"/>
        <v>0.79710418921912196</v>
      </c>
      <c r="AC103" s="386">
        <f t="shared" si="108"/>
        <v>0.39105087610980083</v>
      </c>
      <c r="AD103" s="386">
        <f t="shared" si="109"/>
        <v>0</v>
      </c>
      <c r="AE103" s="386">
        <f t="shared" si="110"/>
        <v>1.4134957405810273</v>
      </c>
      <c r="AF103" s="386">
        <f t="shared" si="111"/>
        <v>4.0429280278018904</v>
      </c>
      <c r="AG103" s="386">
        <f t="shared" si="112"/>
        <v>3.1056007372173559E-2</v>
      </c>
      <c r="AH103" s="386">
        <f t="shared" si="113"/>
        <v>0</v>
      </c>
      <c r="AI103" s="386">
        <f t="shared" si="114"/>
        <v>3.1250108089616022E-2</v>
      </c>
      <c r="AJ103" s="386">
        <f t="shared" si="115"/>
        <v>6.524247050663301</v>
      </c>
      <c r="AK103" s="386">
        <f t="shared" si="116"/>
        <v>2.128289978904439E-2</v>
      </c>
      <c r="AL103" s="386">
        <f t="shared" si="117"/>
        <v>1.1262092029730675</v>
      </c>
      <c r="AM103" s="386">
        <f t="shared" si="118"/>
        <v>0</v>
      </c>
      <c r="AN103" s="386">
        <f t="shared" si="119"/>
        <v>1.1523973743291127</v>
      </c>
      <c r="AO103" s="386">
        <f t="shared" si="145"/>
        <v>19.83199405257929</v>
      </c>
      <c r="AP103" s="386">
        <f t="shared" si="120"/>
        <v>0.19665399405077016</v>
      </c>
      <c r="AQ103" s="386">
        <f t="shared" si="121"/>
        <v>0</v>
      </c>
      <c r="AR103" s="386">
        <f t="shared" si="122"/>
        <v>0.20470521362317276</v>
      </c>
      <c r="AS103" s="386">
        <f t="shared" si="123"/>
        <v>0</v>
      </c>
      <c r="AT103" s="386">
        <f t="shared" si="124"/>
        <v>0.23787222222222221</v>
      </c>
      <c r="AU103" s="386">
        <f t="shared" si="125"/>
        <v>0.47939579750000011</v>
      </c>
      <c r="AV103" s="386">
        <f t="shared" si="126"/>
        <v>0.17673319984822458</v>
      </c>
      <c r="AW103" s="386" t="e">
        <f t="shared" si="127"/>
        <v>#VALUE!</v>
      </c>
      <c r="AX103" s="386">
        <f t="shared" si="128"/>
        <v>3.8400000000000004E-2</v>
      </c>
      <c r="AY103" s="386">
        <f t="shared" si="129"/>
        <v>0.62080000000000002</v>
      </c>
      <c r="AZ103" s="386">
        <f t="shared" si="130"/>
        <v>0.47314285714285709</v>
      </c>
      <c r="BA103" s="386">
        <f t="shared" si="152"/>
        <v>0.65920000000000001</v>
      </c>
      <c r="BB103" s="386" t="e">
        <f t="shared" si="153"/>
        <v>#VALUE!</v>
      </c>
      <c r="BC103">
        <f t="shared" si="131"/>
        <v>240.64000000000001</v>
      </c>
      <c r="BD103" s="604" t="e">
        <f t="shared" si="146"/>
        <v>#VALUE!</v>
      </c>
      <c r="BE103" s="614">
        <f t="shared" si="132"/>
        <v>73.439930033955633</v>
      </c>
      <c r="BF103" s="614">
        <f t="shared" si="133"/>
        <v>18.145291339908638</v>
      </c>
      <c r="BG103" s="9"/>
      <c r="BH103" s="4" t="e">
        <f t="shared" si="147"/>
        <v>#VALUE!</v>
      </c>
      <c r="BI103" s="386">
        <f t="shared" si="148"/>
        <v>1.5662057235704383</v>
      </c>
      <c r="BJ103" s="386">
        <f t="shared" si="149"/>
        <v>3.2812442341229286</v>
      </c>
      <c r="BK103" s="386">
        <f t="shared" si="134"/>
        <v>1.4687986006791127</v>
      </c>
      <c r="BL103" s="386">
        <f t="shared" si="135"/>
        <v>0.36290582679817279</v>
      </c>
      <c r="BM103" s="386">
        <f t="shared" si="150"/>
        <v>0.17673319984822458</v>
      </c>
      <c r="BS103" s="18"/>
      <c r="BT103" s="19"/>
    </row>
    <row r="104" spans="7:72" x14ac:dyDescent="0.2">
      <c r="G104">
        <v>95</v>
      </c>
      <c r="H104" s="610">
        <f t="shared" si="97"/>
        <v>12</v>
      </c>
      <c r="I104" s="4" t="str">
        <f t="shared" si="98"/>
        <v>BUCK-BST</v>
      </c>
      <c r="J104">
        <f t="shared" si="136"/>
        <v>3</v>
      </c>
      <c r="K104" s="386">
        <f t="shared" si="137"/>
        <v>19</v>
      </c>
      <c r="L104" s="4">
        <f t="shared" si="99"/>
        <v>22.518518518518519</v>
      </c>
      <c r="M104" s="4">
        <f t="shared" si="151"/>
        <v>21.056277056277057</v>
      </c>
      <c r="N104" s="386">
        <f t="shared" si="100"/>
        <v>0.96250000000000002</v>
      </c>
      <c r="O104" s="386">
        <f t="shared" si="101"/>
        <v>9.765625E-2</v>
      </c>
      <c r="P104" s="4">
        <f t="shared" si="102"/>
        <v>4.6365694444444445</v>
      </c>
      <c r="Q104" s="4">
        <f t="shared" si="103"/>
        <v>21.098774486253838</v>
      </c>
      <c r="R104" s="386">
        <f t="shared" si="138"/>
        <v>1.1099306435506333</v>
      </c>
      <c r="S104" s="386">
        <f t="shared" si="139"/>
        <v>0.4813051966962274</v>
      </c>
      <c r="T104" s="386">
        <f t="shared" si="140"/>
        <v>1.5912358402468607</v>
      </c>
      <c r="U104" s="4">
        <f t="shared" si="104"/>
        <v>6.2660312265715472</v>
      </c>
      <c r="V104" s="386">
        <f t="shared" si="141"/>
        <v>7.8526294664739454E-2</v>
      </c>
      <c r="W104" s="386">
        <f t="shared" si="142"/>
        <v>7.8526294664739454E-2</v>
      </c>
      <c r="X104" s="4">
        <f t="shared" si="105"/>
        <v>1.3384623084331968</v>
      </c>
      <c r="Y104" s="386">
        <f t="shared" si="143"/>
        <v>3.5829627021926442E-3</v>
      </c>
      <c r="Z104" s="603">
        <f t="shared" si="144"/>
        <v>3.5829627021926442E-3</v>
      </c>
      <c r="AA104" s="386">
        <f t="shared" si="106"/>
        <v>20.699392482413067</v>
      </c>
      <c r="AB104" s="386">
        <f t="shared" si="107"/>
        <v>0.81408321336785938</v>
      </c>
      <c r="AC104" s="386">
        <f t="shared" si="108"/>
        <v>0.39521099181309655</v>
      </c>
      <c r="AD104" s="386">
        <f t="shared" si="109"/>
        <v>0</v>
      </c>
      <c r="AE104" s="386">
        <f t="shared" si="110"/>
        <v>1.4444795092951628</v>
      </c>
      <c r="AF104" s="386">
        <f t="shared" si="111"/>
        <v>4.0857601105323518</v>
      </c>
      <c r="AG104" s="386">
        <f t="shared" si="112"/>
        <v>3.1717527793552934E-2</v>
      </c>
      <c r="AH104" s="386">
        <f t="shared" si="113"/>
        <v>0</v>
      </c>
      <c r="AI104" s="386">
        <f t="shared" si="114"/>
        <v>3.1920012570729468E-2</v>
      </c>
      <c r="AJ104" s="386">
        <f t="shared" si="115"/>
        <v>6.5933670269543239</v>
      </c>
      <c r="AK104" s="386">
        <f t="shared" si="116"/>
        <v>2.1736244376064251E-2</v>
      </c>
      <c r="AL104" s="386">
        <f t="shared" si="117"/>
        <v>1.1262092029730675</v>
      </c>
      <c r="AM104" s="386">
        <f t="shared" si="118"/>
        <v>0</v>
      </c>
      <c r="AN104" s="386">
        <f t="shared" si="119"/>
        <v>1.1529576411578231</v>
      </c>
      <c r="AO104" s="386">
        <f t="shared" si="145"/>
        <v>20.042100590249202</v>
      </c>
      <c r="AP104" s="386">
        <f t="shared" si="120"/>
        <v>0.20084289803483371</v>
      </c>
      <c r="AQ104" s="386">
        <f t="shared" si="121"/>
        <v>0</v>
      </c>
      <c r="AR104" s="386">
        <f t="shared" si="122"/>
        <v>0.20924809687162799</v>
      </c>
      <c r="AS104" s="386">
        <f t="shared" si="123"/>
        <v>0</v>
      </c>
      <c r="AT104" s="386">
        <f t="shared" si="124"/>
        <v>0.24040277777777777</v>
      </c>
      <c r="AU104" s="386">
        <f t="shared" si="125"/>
        <v>0.48349610937499998</v>
      </c>
      <c r="AV104" s="386">
        <f t="shared" si="126"/>
        <v>0.18049777329883748</v>
      </c>
      <c r="AW104" s="386" t="e">
        <f t="shared" si="127"/>
        <v>#VALUE!</v>
      </c>
      <c r="AX104" s="386">
        <f t="shared" si="128"/>
        <v>3.8400000000000004E-2</v>
      </c>
      <c r="AY104" s="386">
        <f t="shared" si="129"/>
        <v>0.62080000000000002</v>
      </c>
      <c r="AZ104" s="386">
        <f t="shared" si="130"/>
        <v>0.47314285714285709</v>
      </c>
      <c r="BA104" s="386">
        <f t="shared" si="152"/>
        <v>0.65920000000000001</v>
      </c>
      <c r="BB104" s="386" t="e">
        <f t="shared" si="153"/>
        <v>#VALUE!</v>
      </c>
      <c r="BC104">
        <f t="shared" si="131"/>
        <v>243.20000000000002</v>
      </c>
      <c r="BD104" s="604" t="e">
        <f t="shared" si="146"/>
        <v>#VALUE!</v>
      </c>
      <c r="BE104" s="614">
        <f t="shared" si="132"/>
        <v>73.603253667266159</v>
      </c>
      <c r="BF104" s="614">
        <f t="shared" si="133"/>
        <v>18.440090648268896</v>
      </c>
      <c r="BG104" s="9"/>
      <c r="BH104" s="4" t="e">
        <f t="shared" si="147"/>
        <v>#VALUE!</v>
      </c>
      <c r="BI104" s="386">
        <f t="shared" si="148"/>
        <v>1.5912358402468607</v>
      </c>
      <c r="BJ104" s="386">
        <f t="shared" si="149"/>
        <v>3.3221013692703432</v>
      </c>
      <c r="BK104" s="386">
        <f t="shared" si="134"/>
        <v>1.4720650733453231</v>
      </c>
      <c r="BL104" s="386">
        <f t="shared" si="135"/>
        <v>0.36880181296537795</v>
      </c>
      <c r="BM104" s="386">
        <f t="shared" si="150"/>
        <v>0.18049777329883748</v>
      </c>
      <c r="BS104" s="18"/>
      <c r="BT104" s="19"/>
    </row>
    <row r="105" spans="7:72" x14ac:dyDescent="0.2">
      <c r="G105">
        <v>96</v>
      </c>
      <c r="H105" s="610">
        <f t="shared" si="97"/>
        <v>12</v>
      </c>
      <c r="I105" s="4" t="str">
        <f t="shared" ref="I105:I109" si="154">IF(H105&gt;VIN_BB_to_buck, "BUCK", IF(H105&lt;VIN_boost_to_BB,"BOOST","BUCK-BST"))</f>
        <v>BUCK-BST</v>
      </c>
      <c r="J105">
        <f t="shared" si="136"/>
        <v>3</v>
      </c>
      <c r="K105" s="386">
        <f t="shared" si="137"/>
        <v>19.2</v>
      </c>
      <c r="L105" s="4">
        <f t="shared" ref="L105:L109" si="155">Vout*K105/(Vin*Efficiency)</f>
        <v>22.755555555555553</v>
      </c>
      <c r="M105" s="4">
        <f t="shared" si="151"/>
        <v>21.277922077922078</v>
      </c>
      <c r="N105" s="386">
        <f t="shared" si="100"/>
        <v>0.96250000000000002</v>
      </c>
      <c r="O105" s="386">
        <f t="shared" si="101"/>
        <v>9.765625E-2</v>
      </c>
      <c r="P105" s="4">
        <f t="shared" ref="P105:P109" si="156">MAX(0, CHOOSE(J105, (Vin-(Rdson1+Rdcr)*K105-Vout)*N105/(Fsw*Lf), (Vin-(Rdson4+Rdcr+Rs)*L105)*O105/(Fsw*Lf), IF(Vin&lt;Vout, (Vin-(Rdson4+Rdcr+Rs)*L105)*O105/(0.5*Fsw*Lf),(Vin-(Rdson1+Rdcr)*K105-Vout)*N105/(0.5*Fsw*Lf))))</f>
        <v>4.6360333333333337</v>
      </c>
      <c r="Q105" s="4">
        <f t="shared" ref="Q105:Q109" si="157">CHOOSE(J105, SQRT(K105^2+(P105^2)/12), SQRT(L105^2+(P105^2)/12), SQRT(M105^2+(P105^2)/12))</f>
        <v>21.31996798879176</v>
      </c>
      <c r="R105" s="386">
        <f t="shared" si="138"/>
        <v>1.13545007538792</v>
      </c>
      <c r="S105" s="386">
        <f t="shared" si="139"/>
        <v>0.4811769848000243</v>
      </c>
      <c r="T105" s="386">
        <f t="shared" si="140"/>
        <v>1.6166270601879442</v>
      </c>
      <c r="U105" s="4">
        <f t="shared" si="104"/>
        <v>6.3316618928719937</v>
      </c>
      <c r="V105" s="386">
        <f t="shared" si="141"/>
        <v>8.0179884651294719E-2</v>
      </c>
      <c r="W105" s="386">
        <f t="shared" si="142"/>
        <v>8.0179884651294719E-2</v>
      </c>
      <c r="X105" s="4">
        <f t="shared" si="105"/>
        <v>1.3383075464860392</v>
      </c>
      <c r="Y105" s="386">
        <f t="shared" si="143"/>
        <v>3.5821341779629645E-3</v>
      </c>
      <c r="Z105" s="603">
        <f t="shared" si="144"/>
        <v>3.5821341779629645E-3</v>
      </c>
      <c r="AA105" s="386">
        <f t="shared" si="106"/>
        <v>20.91639897852852</v>
      </c>
      <c r="AB105" s="386">
        <f t="shared" ref="AB105:AB109" si="158">Rdson1*AA105^2</f>
        <v>0.83124191783507884</v>
      </c>
      <c r="AC105" s="386">
        <f t="shared" si="108"/>
        <v>0.39937110751639227</v>
      </c>
      <c r="AD105" s="386">
        <f t="shared" si="109"/>
        <v>0</v>
      </c>
      <c r="AE105" s="386">
        <f t="shared" ref="AE105:AE109" si="159">(AD105+AC105+AB105*(1+RdsonTopTc*Ta-RdsonTopTc*25))/(1-AB105*RdsonTopTc*ThetaJA_Q1)</f>
        <v>1.475994770020798</v>
      </c>
      <c r="AF105" s="386">
        <f t="shared" si="111"/>
        <v>4.1285940481132855</v>
      </c>
      <c r="AG105" s="386">
        <f t="shared" ref="AG105:AG109" si="160">Rdson2*AF105^2</f>
        <v>3.2386048746821251E-2</v>
      </c>
      <c r="AH105" s="386">
        <f t="shared" si="113"/>
        <v>0</v>
      </c>
      <c r="AI105" s="386">
        <f t="shared" ref="AI105:AI109" si="161">(AH105+AG105*(1+RdsonBotTc*Ta-RdsonBotTc*25))/(1-AG105*RdsonBotTc*ThetaJA_Q2)</f>
        <v>3.2597187567938155E-2</v>
      </c>
      <c r="AJ105" s="386">
        <f t="shared" si="115"/>
        <v>6.6624899964974249</v>
      </c>
      <c r="AK105" s="386">
        <f t="shared" ref="AK105:AK109" si="162">Rdson4*AJ105^2</f>
        <v>2.219438647671413E-2</v>
      </c>
      <c r="AL105" s="386">
        <f t="shared" si="117"/>
        <v>1.1262092029730675</v>
      </c>
      <c r="AM105" s="386">
        <f t="shared" si="118"/>
        <v>0</v>
      </c>
      <c r="AN105" s="386">
        <f t="shared" ref="AN105:AN109" si="163">(AM105+AL105+AK105*(1+RdsonTopTc*Ta-RdsonTopTc*25))/(1-AK105*RdsonTopTc*ThetaJA_Q4)</f>
        <v>1.1535239406796993</v>
      </c>
      <c r="AO105" s="386">
        <f t="shared" si="145"/>
        <v>20.252216226617694</v>
      </c>
      <c r="AP105" s="386">
        <f t="shared" ref="AP105:AP109" si="164">Rdson3*AO105^2</f>
        <v>0.20507613104483852</v>
      </c>
      <c r="AQ105" s="386">
        <f t="shared" si="121"/>
        <v>0</v>
      </c>
      <c r="AR105" s="386">
        <f t="shared" ref="AR105:AR109" si="165">(AQ105+AP105*(1+RdsonBotTc*Ta-RdsonBotTc*25))/(1-AP105*RdsonBotTc*ThetaJA_Q3)</f>
        <v>0.21384711900496312</v>
      </c>
      <c r="AS105" s="386">
        <f t="shared" si="123"/>
        <v>0</v>
      </c>
      <c r="AT105" s="386">
        <f t="shared" si="124"/>
        <v>0.24293333333333333</v>
      </c>
      <c r="AU105" s="386">
        <f t="shared" si="125"/>
        <v>0.48759616000000006</v>
      </c>
      <c r="AV105" s="386">
        <f t="shared" si="126"/>
        <v>0.18430218530263412</v>
      </c>
      <c r="AW105" s="386" t="e">
        <f t="shared" si="127"/>
        <v>#VALUE!</v>
      </c>
      <c r="AX105" s="386">
        <f t="shared" si="128"/>
        <v>3.8400000000000004E-2</v>
      </c>
      <c r="AY105" s="386">
        <f t="shared" si="129"/>
        <v>0.62080000000000002</v>
      </c>
      <c r="AZ105" s="386">
        <f t="shared" si="130"/>
        <v>0.47314285714285709</v>
      </c>
      <c r="BA105" s="386">
        <f t="shared" si="152"/>
        <v>0.65920000000000001</v>
      </c>
      <c r="BB105" s="386" t="e">
        <f t="shared" si="153"/>
        <v>#VALUE!</v>
      </c>
      <c r="BC105">
        <f t="shared" si="131"/>
        <v>245.76</v>
      </c>
      <c r="BD105" s="604" t="e">
        <f t="shared" si="146"/>
        <v>#VALUE!</v>
      </c>
      <c r="BE105" s="614">
        <f t="shared" si="132"/>
        <v>73.766870313984967</v>
      </c>
      <c r="BF105" s="614">
        <f t="shared" si="133"/>
        <v>18.737692590248155</v>
      </c>
      <c r="BG105" s="9"/>
      <c r="BH105" s="4" t="e">
        <f t="shared" si="147"/>
        <v>#VALUE!</v>
      </c>
      <c r="BI105" s="386">
        <f t="shared" si="148"/>
        <v>1.6166270601879442</v>
      </c>
      <c r="BJ105" s="386">
        <f t="shared" si="149"/>
        <v>3.363559177273399</v>
      </c>
      <c r="BK105" s="386">
        <f t="shared" si="134"/>
        <v>1.4753374062796993</v>
      </c>
      <c r="BL105" s="386">
        <f t="shared" si="135"/>
        <v>0.37475385180496312</v>
      </c>
      <c r="BM105" s="386">
        <f t="shared" si="150"/>
        <v>0.18430218530263412</v>
      </c>
      <c r="BS105" s="18"/>
      <c r="BT105" s="19"/>
    </row>
    <row r="106" spans="7:72" x14ac:dyDescent="0.2">
      <c r="G106">
        <v>97</v>
      </c>
      <c r="H106" s="610">
        <f t="shared" si="97"/>
        <v>12</v>
      </c>
      <c r="I106" s="4" t="str">
        <f t="shared" si="154"/>
        <v>BUCK-BST</v>
      </c>
      <c r="J106">
        <f t="shared" si="136"/>
        <v>3</v>
      </c>
      <c r="K106" s="386">
        <f t="shared" si="137"/>
        <v>19.399999999999999</v>
      </c>
      <c r="L106" s="4">
        <f t="shared" si="155"/>
        <v>22.99259259259259</v>
      </c>
      <c r="M106" s="4">
        <f t="shared" si="151"/>
        <v>21.499567099567098</v>
      </c>
      <c r="N106" s="386">
        <f t="shared" si="100"/>
        <v>0.96250000000000002</v>
      </c>
      <c r="O106" s="386">
        <f t="shared" si="101"/>
        <v>9.765625E-2</v>
      </c>
      <c r="P106" s="4">
        <f t="shared" si="156"/>
        <v>4.6354972222222219</v>
      </c>
      <c r="Q106" s="4">
        <f t="shared" si="157"/>
        <v>21.541170774671397</v>
      </c>
      <c r="R106" s="386">
        <f t="shared" si="138"/>
        <v>1.1613341322508248</v>
      </c>
      <c r="S106" s="386">
        <f t="shared" si="139"/>
        <v>0.48104879223602781</v>
      </c>
      <c r="T106" s="386">
        <f t="shared" si="140"/>
        <v>1.6423829244868526</v>
      </c>
      <c r="U106" s="4">
        <f t="shared" si="104"/>
        <v>6.3972959391267192</v>
      </c>
      <c r="V106" s="386">
        <f t="shared" si="141"/>
        <v>8.1850790665534426E-2</v>
      </c>
      <c r="W106" s="386">
        <f t="shared" si="142"/>
        <v>8.1850790665534426E-2</v>
      </c>
      <c r="X106" s="4">
        <f t="shared" si="105"/>
        <v>1.3381527845388812</v>
      </c>
      <c r="Y106" s="386">
        <f t="shared" si="143"/>
        <v>3.5813057495383228E-3</v>
      </c>
      <c r="Z106" s="603">
        <f t="shared" si="144"/>
        <v>3.5813057495383228E-3</v>
      </c>
      <c r="AA106" s="386">
        <f t="shared" si="106"/>
        <v>21.13341458225986</v>
      </c>
      <c r="AB106" s="386">
        <f t="shared" si="158"/>
        <v>0.84858030262077999</v>
      </c>
      <c r="AC106" s="386">
        <f t="shared" si="108"/>
        <v>0.40353122321968798</v>
      </c>
      <c r="AD106" s="386">
        <f t="shared" si="109"/>
        <v>0</v>
      </c>
      <c r="AE106" s="386">
        <f t="shared" si="159"/>
        <v>1.5080522051660095</v>
      </c>
      <c r="AF106" s="386">
        <f t="shared" si="111"/>
        <v>4.1714297834056113</v>
      </c>
      <c r="AG106" s="386">
        <f t="shared" si="160"/>
        <v>3.3061570231978435E-2</v>
      </c>
      <c r="AH106" s="386">
        <f t="shared" si="113"/>
        <v>0</v>
      </c>
      <c r="AI106" s="386">
        <f t="shared" si="161"/>
        <v>3.328163888023327E-2</v>
      </c>
      <c r="AJ106" s="386">
        <f t="shared" si="115"/>
        <v>6.7316158670848116</v>
      </c>
      <c r="AK106" s="386">
        <f t="shared" si="162"/>
        <v>2.2657326090994002E-2</v>
      </c>
      <c r="AL106" s="386">
        <f t="shared" si="117"/>
        <v>1.1262092029730675</v>
      </c>
      <c r="AM106" s="386">
        <f t="shared" si="118"/>
        <v>0</v>
      </c>
      <c r="AN106" s="386">
        <f t="shared" si="163"/>
        <v>1.154096276198106</v>
      </c>
      <c r="AO106" s="386">
        <f t="shared" si="145"/>
        <v>20.462340681397354</v>
      </c>
      <c r="AP106" s="386">
        <f t="shared" si="164"/>
        <v>0.20935369308078455</v>
      </c>
      <c r="AQ106" s="386">
        <f t="shared" si="121"/>
        <v>0</v>
      </c>
      <c r="AR106" s="386">
        <f t="shared" si="165"/>
        <v>0.21850255651143696</v>
      </c>
      <c r="AS106" s="386">
        <f t="shared" si="123"/>
        <v>0</v>
      </c>
      <c r="AT106" s="386">
        <f t="shared" si="124"/>
        <v>0.24546388888888887</v>
      </c>
      <c r="AU106" s="386">
        <f t="shared" si="125"/>
        <v>0.49169594937499994</v>
      </c>
      <c r="AV106" s="386">
        <f t="shared" si="126"/>
        <v>0.18814643585961419</v>
      </c>
      <c r="AW106" s="386" t="e">
        <f t="shared" si="127"/>
        <v>#VALUE!</v>
      </c>
      <c r="AX106" s="386">
        <f t="shared" si="128"/>
        <v>3.8400000000000004E-2</v>
      </c>
      <c r="AY106" s="386">
        <f t="shared" si="129"/>
        <v>0.62080000000000002</v>
      </c>
      <c r="AZ106" s="386">
        <f t="shared" si="130"/>
        <v>0.47314285714285709</v>
      </c>
      <c r="BA106" s="386">
        <f t="shared" si="152"/>
        <v>0.65920000000000001</v>
      </c>
      <c r="BB106" s="386" t="e">
        <f t="shared" si="153"/>
        <v>#VALUE!</v>
      </c>
      <c r="BC106">
        <f t="shared" si="131"/>
        <v>248.32</v>
      </c>
      <c r="BD106" s="604" t="e">
        <f t="shared" si="146"/>
        <v>#VALUE!</v>
      </c>
      <c r="BE106" s="614">
        <f t="shared" si="132"/>
        <v>73.930780139280301</v>
      </c>
      <c r="BF106" s="614">
        <f t="shared" si="133"/>
        <v>19.038110990259348</v>
      </c>
      <c r="BG106" s="9"/>
      <c r="BH106" s="4" t="e">
        <f t="shared" si="147"/>
        <v>#VALUE!</v>
      </c>
      <c r="BI106" s="386">
        <f t="shared" si="148"/>
        <v>1.6423829244868526</v>
      </c>
      <c r="BJ106" s="386">
        <f t="shared" si="149"/>
        <v>3.4056286261307855</v>
      </c>
      <c r="BK106" s="386">
        <f t="shared" si="134"/>
        <v>1.4786156027856059</v>
      </c>
      <c r="BL106" s="386">
        <f t="shared" si="135"/>
        <v>0.38076221980518699</v>
      </c>
      <c r="BM106" s="386">
        <f t="shared" si="150"/>
        <v>0.18814643585961419</v>
      </c>
      <c r="BS106" s="18"/>
      <c r="BT106" s="19"/>
    </row>
    <row r="107" spans="7:72" x14ac:dyDescent="0.2">
      <c r="G107">
        <v>98</v>
      </c>
      <c r="H107" s="610">
        <f t="shared" si="97"/>
        <v>12</v>
      </c>
      <c r="I107" s="4" t="str">
        <f t="shared" si="154"/>
        <v>BUCK-BST</v>
      </c>
      <c r="J107">
        <f t="shared" si="136"/>
        <v>3</v>
      </c>
      <c r="K107" s="386">
        <f t="shared" si="137"/>
        <v>19.600000000000001</v>
      </c>
      <c r="L107" s="4">
        <f t="shared" si="155"/>
        <v>23.229629629629631</v>
      </c>
      <c r="M107" s="4">
        <f t="shared" si="151"/>
        <v>21.721212121212123</v>
      </c>
      <c r="N107" s="386">
        <f t="shared" si="100"/>
        <v>0.96250000000000002</v>
      </c>
      <c r="O107" s="386">
        <f t="shared" si="101"/>
        <v>9.765625E-2</v>
      </c>
      <c r="P107" s="4">
        <f t="shared" si="156"/>
        <v>4.6349611111111111</v>
      </c>
      <c r="Q107" s="4">
        <f t="shared" si="157"/>
        <v>21.762382560812402</v>
      </c>
      <c r="R107" s="386">
        <f t="shared" si="138"/>
        <v>1.1875864251541273</v>
      </c>
      <c r="S107" s="386">
        <f t="shared" si="139"/>
        <v>0.48092061900355848</v>
      </c>
      <c r="T107" s="386">
        <f t="shared" si="140"/>
        <v>1.6685070441576857</v>
      </c>
      <c r="U107" s="4">
        <f t="shared" si="104"/>
        <v>6.4629332623607816</v>
      </c>
      <c r="V107" s="386">
        <f t="shared" si="141"/>
        <v>8.3539012707458754E-2</v>
      </c>
      <c r="W107" s="386">
        <f t="shared" si="142"/>
        <v>8.3539012707458754E-2</v>
      </c>
      <c r="X107" s="4">
        <f t="shared" si="105"/>
        <v>1.3379980225917236</v>
      </c>
      <c r="Y107" s="386">
        <f t="shared" si="143"/>
        <v>3.5804774169187251E-3</v>
      </c>
      <c r="Z107" s="603">
        <f t="shared" si="144"/>
        <v>3.5804774169187251E-3</v>
      </c>
      <c r="AA107" s="386">
        <f t="shared" si="106"/>
        <v>21.350439015885215</v>
      </c>
      <c r="AB107" s="386">
        <f t="shared" si="158"/>
        <v>0.86609836772496385</v>
      </c>
      <c r="AC107" s="386">
        <f t="shared" si="108"/>
        <v>0.40769133892298387</v>
      </c>
      <c r="AD107" s="386">
        <f t="shared" si="109"/>
        <v>0</v>
      </c>
      <c r="AE107" s="386">
        <f t="shared" si="159"/>
        <v>1.5406628168205045</v>
      </c>
      <c r="AF107" s="386">
        <f t="shared" si="111"/>
        <v>4.2142672615910568</v>
      </c>
      <c r="AG107" s="386">
        <f t="shared" si="160"/>
        <v>3.3744092249024554E-2</v>
      </c>
      <c r="AH107" s="386">
        <f t="shared" si="113"/>
        <v>0</v>
      </c>
      <c r="AI107" s="386">
        <f t="shared" si="161"/>
        <v>3.3973372371285983E-2</v>
      </c>
      <c r="AJ107" s="386">
        <f t="shared" si="115"/>
        <v>6.8007445502538753</v>
      </c>
      <c r="AK107" s="386">
        <f t="shared" si="162"/>
        <v>2.3125063218903893E-2</v>
      </c>
      <c r="AL107" s="386">
        <f t="shared" si="117"/>
        <v>1.1262092029730675</v>
      </c>
      <c r="AM107" s="386">
        <f t="shared" si="118"/>
        <v>0</v>
      </c>
      <c r="AN107" s="386">
        <f t="shared" si="163"/>
        <v>1.1546746510525425</v>
      </c>
      <c r="AO107" s="386">
        <f t="shared" si="145"/>
        <v>20.672473685685127</v>
      </c>
      <c r="AP107" s="386">
        <f t="shared" si="164"/>
        <v>0.21367558414267199</v>
      </c>
      <c r="AQ107" s="386">
        <f t="shared" si="121"/>
        <v>0</v>
      </c>
      <c r="AR107" s="386">
        <f t="shared" si="165"/>
        <v>0.22321468999756292</v>
      </c>
      <c r="AS107" s="386">
        <f t="shared" si="123"/>
        <v>0</v>
      </c>
      <c r="AT107" s="386">
        <f t="shared" si="124"/>
        <v>0.24799444444444446</v>
      </c>
      <c r="AU107" s="386">
        <f t="shared" si="125"/>
        <v>0.49579547750000003</v>
      </c>
      <c r="AV107" s="386">
        <f t="shared" si="126"/>
        <v>0.1920305249697779</v>
      </c>
      <c r="AW107" s="386" t="e">
        <f t="shared" si="127"/>
        <v>#VALUE!</v>
      </c>
      <c r="AX107" s="386">
        <f t="shared" si="128"/>
        <v>3.8400000000000004E-2</v>
      </c>
      <c r="AY107" s="386">
        <f t="shared" si="129"/>
        <v>0.62080000000000002</v>
      </c>
      <c r="AZ107" s="386">
        <f t="shared" si="130"/>
        <v>0.47314285714285709</v>
      </c>
      <c r="BA107" s="386">
        <f t="shared" si="152"/>
        <v>0.65920000000000001</v>
      </c>
      <c r="BB107" s="386" t="e">
        <f t="shared" si="153"/>
        <v>#VALUE!</v>
      </c>
      <c r="BC107">
        <f t="shared" si="131"/>
        <v>250.88000000000002</v>
      </c>
      <c r="BD107" s="604" t="e">
        <f t="shared" si="146"/>
        <v>#VALUE!</v>
      </c>
      <c r="BE107" s="614">
        <f t="shared" si="132"/>
        <v>74.094983310127134</v>
      </c>
      <c r="BF107" s="614">
        <f t="shared" si="133"/>
        <v>19.341359878628143</v>
      </c>
      <c r="BG107" s="9"/>
      <c r="BH107" s="4" t="e">
        <f t="shared" si="147"/>
        <v>#VALUE!</v>
      </c>
      <c r="BI107" s="386">
        <f t="shared" si="148"/>
        <v>1.6685070441576857</v>
      </c>
      <c r="BJ107" s="386">
        <f t="shared" si="149"/>
        <v>3.4483210077418964</v>
      </c>
      <c r="BK107" s="386">
        <f t="shared" si="134"/>
        <v>1.4818996662025425</v>
      </c>
      <c r="BL107" s="386">
        <f t="shared" si="135"/>
        <v>0.3868271975725629</v>
      </c>
      <c r="BM107" s="386">
        <f t="shared" si="150"/>
        <v>0.1920305249697779</v>
      </c>
      <c r="BS107" s="18"/>
      <c r="BT107" s="19"/>
    </row>
    <row r="108" spans="7:72" x14ac:dyDescent="0.2">
      <c r="G108">
        <v>99</v>
      </c>
      <c r="H108" s="610">
        <f t="shared" si="97"/>
        <v>12</v>
      </c>
      <c r="I108" s="4" t="str">
        <f t="shared" si="154"/>
        <v>BUCK-BST</v>
      </c>
      <c r="J108">
        <f t="shared" si="136"/>
        <v>3</v>
      </c>
      <c r="K108" s="386">
        <f t="shared" si="137"/>
        <v>19.8</v>
      </c>
      <c r="L108" s="4">
        <f t="shared" si="155"/>
        <v>23.466666666666669</v>
      </c>
      <c r="M108" s="4">
        <f t="shared" si="151"/>
        <v>21.942857142857143</v>
      </c>
      <c r="N108" s="386">
        <f t="shared" si="100"/>
        <v>0.96250000000000002</v>
      </c>
      <c r="O108" s="386">
        <f t="shared" si="101"/>
        <v>9.765625E-2</v>
      </c>
      <c r="P108" s="4">
        <f t="shared" si="156"/>
        <v>4.6344249999999994</v>
      </c>
      <c r="Q108" s="4">
        <f t="shared" si="157"/>
        <v>21.983603075517191</v>
      </c>
      <c r="R108" s="386">
        <f t="shared" si="138"/>
        <v>1.2142106364128733</v>
      </c>
      <c r="S108" s="386">
        <f t="shared" si="139"/>
        <v>0.48079246510193668</v>
      </c>
      <c r="T108" s="386">
        <f t="shared" si="140"/>
        <v>1.6950031015148099</v>
      </c>
      <c r="U108" s="4">
        <f t="shared" si="104"/>
        <v>6.5285737637353671</v>
      </c>
      <c r="V108" s="386">
        <f t="shared" si="141"/>
        <v>8.5244550777067565E-2</v>
      </c>
      <c r="W108" s="386">
        <f t="shared" si="142"/>
        <v>8.5244550777067565E-2</v>
      </c>
      <c r="X108" s="4">
        <f t="shared" si="105"/>
        <v>1.3378432606445656</v>
      </c>
      <c r="Y108" s="386">
        <f t="shared" si="143"/>
        <v>3.5796491801041662E-3</v>
      </c>
      <c r="Z108" s="603">
        <f t="shared" si="144"/>
        <v>3.5796491801041662E-3</v>
      </c>
      <c r="AA108" s="386">
        <f t="shared" si="106"/>
        <v>21.567472012850001</v>
      </c>
      <c r="AB108" s="386">
        <f t="shared" si="158"/>
        <v>0.88379611314762929</v>
      </c>
      <c r="AC108" s="386">
        <f t="shared" si="108"/>
        <v>0.41185145462627959</v>
      </c>
      <c r="AD108" s="386">
        <f t="shared" si="109"/>
        <v>0</v>
      </c>
      <c r="AE108" s="386">
        <f t="shared" si="159"/>
        <v>1.5738379382910994</v>
      </c>
      <c r="AF108" s="386">
        <f t="shared" si="111"/>
        <v>4.257106430055611</v>
      </c>
      <c r="AG108" s="386">
        <f t="shared" si="160"/>
        <v>3.4433614797959575E-2</v>
      </c>
      <c r="AH108" s="386">
        <f t="shared" si="113"/>
        <v>0</v>
      </c>
      <c r="AI108" s="386">
        <f t="shared" si="161"/>
        <v>3.4672393969573854E-2</v>
      </c>
      <c r="AJ108" s="386">
        <f t="shared" si="115"/>
        <v>6.8698759610991225</v>
      </c>
      <c r="AK108" s="386">
        <f t="shared" si="162"/>
        <v>2.3597597860443794E-2</v>
      </c>
      <c r="AL108" s="386">
        <f t="shared" si="117"/>
        <v>1.1262092029730675</v>
      </c>
      <c r="AM108" s="386">
        <f t="shared" si="118"/>
        <v>0</v>
      </c>
      <c r="AN108" s="386">
        <f t="shared" si="163"/>
        <v>1.1552590686186901</v>
      </c>
      <c r="AO108" s="386">
        <f t="shared" si="145"/>
        <v>20.882614981390653</v>
      </c>
      <c r="AP108" s="386">
        <f t="shared" si="164"/>
        <v>0.21804180423050068</v>
      </c>
      <c r="AQ108" s="386">
        <f t="shared" si="121"/>
        <v>0</v>
      </c>
      <c r="AR108" s="386">
        <f t="shared" si="165"/>
        <v>0.22798380423253992</v>
      </c>
      <c r="AS108" s="386">
        <f t="shared" si="123"/>
        <v>0</v>
      </c>
      <c r="AT108" s="386">
        <f t="shared" si="124"/>
        <v>0.250525</v>
      </c>
      <c r="AU108" s="386">
        <f t="shared" si="125"/>
        <v>0.49989474437499998</v>
      </c>
      <c r="AV108" s="386">
        <f t="shared" si="126"/>
        <v>0.19595445263312525</v>
      </c>
      <c r="AW108" s="386" t="e">
        <f t="shared" si="127"/>
        <v>#VALUE!</v>
      </c>
      <c r="AX108" s="386">
        <f t="shared" si="128"/>
        <v>3.8400000000000004E-2</v>
      </c>
      <c r="AY108" s="386">
        <f t="shared" si="129"/>
        <v>0.62080000000000002</v>
      </c>
      <c r="AZ108" s="386">
        <f t="shared" si="130"/>
        <v>0.47314285714285709</v>
      </c>
      <c r="BA108" s="386">
        <f t="shared" si="152"/>
        <v>0.65920000000000001</v>
      </c>
      <c r="BB108" s="386" t="e">
        <f t="shared" si="153"/>
        <v>#VALUE!</v>
      </c>
      <c r="BC108">
        <f t="shared" si="131"/>
        <v>253.44000000000003</v>
      </c>
      <c r="BD108" s="604" t="e">
        <f t="shared" si="146"/>
        <v>#VALUE!</v>
      </c>
      <c r="BE108" s="614">
        <f t="shared" si="132"/>
        <v>74.259479995309505</v>
      </c>
      <c r="BF108" s="614">
        <f t="shared" si="133"/>
        <v>19.647453493814496</v>
      </c>
      <c r="BG108" s="9"/>
      <c r="BH108" s="4" t="e">
        <f t="shared" si="147"/>
        <v>#VALUE!</v>
      </c>
      <c r="BI108" s="386">
        <f t="shared" si="148"/>
        <v>1.6950031015148099</v>
      </c>
      <c r="BJ108" s="386">
        <f t="shared" si="149"/>
        <v>3.4916479494869033</v>
      </c>
      <c r="BK108" s="386">
        <f t="shared" si="134"/>
        <v>1.4851895999061901</v>
      </c>
      <c r="BL108" s="386">
        <f t="shared" si="135"/>
        <v>0.39294906987628991</v>
      </c>
      <c r="BM108" s="386">
        <f t="shared" si="150"/>
        <v>0.19595445263312525</v>
      </c>
      <c r="BS108" s="18"/>
      <c r="BT108" s="19"/>
    </row>
    <row r="109" spans="7:72" x14ac:dyDescent="0.2">
      <c r="G109">
        <v>100</v>
      </c>
      <c r="H109" s="610">
        <f t="shared" si="97"/>
        <v>12</v>
      </c>
      <c r="I109" s="4" t="str">
        <f t="shared" si="154"/>
        <v>BUCK-BST</v>
      </c>
      <c r="J109">
        <f t="shared" si="136"/>
        <v>3</v>
      </c>
      <c r="K109" s="386">
        <f t="shared" si="137"/>
        <v>20</v>
      </c>
      <c r="L109" s="4">
        <f t="shared" si="155"/>
        <v>23.703703703703702</v>
      </c>
      <c r="M109" s="4">
        <f>K109/(1-O109)</f>
        <v>22.164502164502164</v>
      </c>
      <c r="N109" s="386">
        <f t="shared" si="100"/>
        <v>0.96250000000000002</v>
      </c>
      <c r="O109" s="386">
        <f t="shared" si="101"/>
        <v>9.765625E-2</v>
      </c>
      <c r="P109" s="4">
        <f t="shared" si="156"/>
        <v>4.6338888888888885</v>
      </c>
      <c r="Q109" s="4">
        <f t="shared" si="157"/>
        <v>22.204832057905065</v>
      </c>
      <c r="R109" s="386">
        <f t="shared" si="138"/>
        <v>1.2412105210587661</v>
      </c>
      <c r="S109" s="386">
        <f t="shared" si="139"/>
        <v>0.4806643305304818</v>
      </c>
      <c r="T109" s="386">
        <f t="shared" si="140"/>
        <v>1.7218748515892479</v>
      </c>
      <c r="U109" s="4">
        <f t="shared" si="104"/>
        <v>6.5942173483424442</v>
      </c>
      <c r="V109" s="386">
        <f t="shared" si="141"/>
        <v>8.6967404874360915E-2</v>
      </c>
      <c r="W109" s="386">
        <f t="shared" si="142"/>
        <v>8.6967404874360915E-2</v>
      </c>
      <c r="X109" s="4">
        <f t="shared" si="105"/>
        <v>1.3376884986974078</v>
      </c>
      <c r="Y109" s="386">
        <f t="shared" si="143"/>
        <v>3.5788210390946497E-3</v>
      </c>
      <c r="Z109" s="603">
        <f t="shared" si="144"/>
        <v>3.5788210390946497E-3</v>
      </c>
      <c r="AA109" s="386">
        <f t="shared" si="106"/>
        <v>21.784513317211776</v>
      </c>
      <c r="AB109" s="386">
        <f t="shared" si="158"/>
        <v>0.90167353888877666</v>
      </c>
      <c r="AC109" s="386">
        <f t="shared" si="108"/>
        <v>0.41601157032957531</v>
      </c>
      <c r="AD109" s="386">
        <f t="shared" si="109"/>
        <v>0</v>
      </c>
      <c r="AE109" s="386">
        <f t="shared" si="159"/>
        <v>1.6075892461493584</v>
      </c>
      <c r="AF109" s="386">
        <f t="shared" si="111"/>
        <v>4.2999472382799429</v>
      </c>
      <c r="AG109" s="386">
        <f t="shared" si="160"/>
        <v>3.5130137878783482E-2</v>
      </c>
      <c r="AH109" s="386">
        <f t="shared" si="113"/>
        <v>0</v>
      </c>
      <c r="AI109" s="386">
        <f t="shared" si="161"/>
        <v>3.5378709668509117E-2</v>
      </c>
      <c r="AJ109" s="386">
        <f t="shared" si="115"/>
        <v>6.9390100180953329</v>
      </c>
      <c r="AK109" s="386">
        <f t="shared" si="162"/>
        <v>2.4074930015613696E-2</v>
      </c>
      <c r="AL109" s="386">
        <f t="shared" si="117"/>
        <v>1.1262092029730675</v>
      </c>
      <c r="AM109" s="386">
        <f t="shared" si="118"/>
        <v>0</v>
      </c>
      <c r="AN109" s="386">
        <f t="shared" si="163"/>
        <v>1.1558495323084623</v>
      </c>
      <c r="AO109" s="386">
        <f t="shared" si="145"/>
        <v>21.092764320698723</v>
      </c>
      <c r="AP109" s="386">
        <f t="shared" si="164"/>
        <v>0.22245235334427055</v>
      </c>
      <c r="AQ109" s="386">
        <f t="shared" si="121"/>
        <v>0</v>
      </c>
      <c r="AR109" s="386">
        <f t="shared" si="165"/>
        <v>0.23281018819350405</v>
      </c>
      <c r="AS109" s="386">
        <f t="shared" si="123"/>
        <v>0</v>
      </c>
      <c r="AT109" s="386">
        <f t="shared" si="124"/>
        <v>0.25305555555555559</v>
      </c>
      <c r="AU109" s="386">
        <f t="shared" si="125"/>
        <v>0.50399375000000002</v>
      </c>
      <c r="AV109" s="386">
        <f t="shared" si="126"/>
        <v>0.19991821884965613</v>
      </c>
      <c r="AW109" s="386" t="e">
        <f t="shared" si="127"/>
        <v>#VALUE!</v>
      </c>
      <c r="AX109" s="386">
        <f t="shared" si="128"/>
        <v>3.8400000000000004E-2</v>
      </c>
      <c r="AY109" s="386">
        <f t="shared" si="129"/>
        <v>0.62080000000000002</v>
      </c>
      <c r="AZ109" s="386">
        <f t="shared" si="130"/>
        <v>0.47314285714285709</v>
      </c>
      <c r="BA109" s="386">
        <f t="shared" si="152"/>
        <v>0.65920000000000001</v>
      </c>
      <c r="BB109" s="386" t="e">
        <f t="shared" si="153"/>
        <v>#VALUE!</v>
      </c>
      <c r="BC109">
        <f t="shared" si="131"/>
        <v>256</v>
      </c>
      <c r="BD109" s="604" t="e">
        <f t="shared" si="146"/>
        <v>#VALUE!</v>
      </c>
      <c r="BE109" s="614">
        <f t="shared" si="132"/>
        <v>74.424270365423112</v>
      </c>
      <c r="BF109" s="614">
        <f t="shared" si="133"/>
        <v>19.956406284675204</v>
      </c>
      <c r="BG109" s="9"/>
      <c r="BH109" s="4" t="e">
        <f t="shared" si="147"/>
        <v>#VALUE!</v>
      </c>
      <c r="BI109" s="386">
        <f t="shared" si="148"/>
        <v>1.7218748515892479</v>
      </c>
      <c r="BJ109" s="386">
        <f t="shared" si="149"/>
        <v>3.5356214263198344</v>
      </c>
      <c r="BK109" s="386">
        <f t="shared" si="134"/>
        <v>1.4884854073084623</v>
      </c>
      <c r="BL109" s="386">
        <f t="shared" si="135"/>
        <v>0.39912812569350409</v>
      </c>
      <c r="BM109" s="386">
        <f t="shared" si="150"/>
        <v>0.19991821884965613</v>
      </c>
      <c r="BS109" s="18"/>
      <c r="BT109" s="19"/>
    </row>
    <row r="110" spans="7:72" x14ac:dyDescent="0.2">
      <c r="H110" s="610"/>
      <c r="I110" s="4"/>
      <c r="L110" s="4"/>
      <c r="M110" s="4"/>
      <c r="Q110" s="386"/>
      <c r="R110" s="386"/>
      <c r="S110" s="386"/>
      <c r="T110" s="386"/>
      <c r="V110" s="386"/>
      <c r="W110" s="386"/>
      <c r="X110" s="386"/>
      <c r="Y110" s="386"/>
      <c r="Z110" s="603"/>
      <c r="AA110" s="386"/>
      <c r="AB110" s="386"/>
      <c r="AC110" s="386"/>
      <c r="AE110" s="386"/>
      <c r="AF110" s="386"/>
      <c r="AG110" s="386"/>
      <c r="AH110" s="386"/>
      <c r="AI110" s="386"/>
      <c r="AJ110" s="386"/>
      <c r="AK110" s="386"/>
      <c r="AL110" s="386"/>
      <c r="AN110" s="386"/>
      <c r="AO110" s="386"/>
      <c r="AP110" s="386"/>
      <c r="AQ110" s="386"/>
      <c r="AR110" s="386"/>
      <c r="AS110" s="386"/>
      <c r="AT110" s="386"/>
      <c r="AU110" s="386"/>
      <c r="AV110" s="386"/>
      <c r="AW110" s="386"/>
      <c r="AX110" s="386"/>
      <c r="AY110" s="386"/>
      <c r="AZ110" s="386"/>
      <c r="BA110" s="386"/>
      <c r="BB110" s="386"/>
      <c r="BD110" s="604"/>
      <c r="BE110" s="614"/>
      <c r="BF110" s="614"/>
      <c r="BG110" s="9"/>
      <c r="BH110" s="48"/>
      <c r="BI110" s="386"/>
      <c r="BJ110" s="386"/>
      <c r="BK110" s="386"/>
      <c r="BL110" s="386"/>
      <c r="BM110" s="386"/>
    </row>
    <row r="111" spans="7:72" x14ac:dyDescent="0.2">
      <c r="H111" s="610"/>
      <c r="I111" s="4"/>
      <c r="L111" s="4"/>
      <c r="M111" s="4"/>
      <c r="Q111" s="386"/>
      <c r="R111" s="386"/>
      <c r="S111" s="386"/>
      <c r="T111" s="386"/>
      <c r="V111" s="386"/>
      <c r="W111" s="386"/>
      <c r="X111" s="386"/>
      <c r="Y111" s="386"/>
      <c r="Z111" s="603"/>
      <c r="AA111" s="386"/>
      <c r="AB111" s="386"/>
      <c r="AC111" s="386"/>
      <c r="AE111" s="386"/>
      <c r="AF111" s="386"/>
      <c r="AG111" s="386"/>
      <c r="AH111" s="386"/>
      <c r="AI111" s="386"/>
      <c r="AJ111" s="386"/>
      <c r="AK111" s="386"/>
      <c r="AL111" s="386"/>
      <c r="AN111" s="386"/>
      <c r="AO111" s="386"/>
      <c r="AP111" s="386"/>
      <c r="AQ111" s="386"/>
      <c r="AR111" s="386"/>
      <c r="AS111" s="386"/>
      <c r="AT111" s="386"/>
      <c r="AU111" s="386"/>
      <c r="AV111" s="386"/>
      <c r="AW111" s="386"/>
      <c r="AX111" s="386"/>
      <c r="AY111" s="386"/>
      <c r="AZ111" s="386"/>
      <c r="BA111" s="386"/>
      <c r="BB111" s="386"/>
      <c r="BD111" s="604"/>
      <c r="BE111" s="614"/>
      <c r="BF111" s="614"/>
      <c r="BG111" s="9"/>
      <c r="BH111" s="48"/>
      <c r="BI111" s="386"/>
      <c r="BJ111" s="386"/>
      <c r="BK111" s="386"/>
      <c r="BL111" s="386"/>
      <c r="BM111" s="386"/>
    </row>
    <row r="112" spans="7:72" x14ac:dyDescent="0.2">
      <c r="H112" s="610"/>
      <c r="I112" s="4"/>
      <c r="L112" s="4"/>
      <c r="M112" s="4"/>
      <c r="Q112" s="386"/>
      <c r="R112" s="386"/>
      <c r="S112" s="386"/>
      <c r="T112" s="386"/>
      <c r="V112" s="386"/>
      <c r="W112" s="386"/>
      <c r="X112" s="386"/>
      <c r="Y112" s="386"/>
      <c r="Z112" s="603"/>
      <c r="AA112" s="386"/>
      <c r="AB112" s="386"/>
      <c r="AC112" s="386"/>
      <c r="AE112" s="386"/>
      <c r="AF112" s="386"/>
      <c r="AG112" s="386"/>
      <c r="AH112" s="386"/>
      <c r="AI112" s="386"/>
      <c r="AJ112" s="386"/>
      <c r="AK112" s="386"/>
      <c r="AL112" s="386"/>
      <c r="AN112" s="386"/>
      <c r="AO112" s="386"/>
      <c r="AP112" s="386"/>
      <c r="AQ112" s="386"/>
      <c r="AR112" s="386"/>
      <c r="AS112" s="386"/>
      <c r="AT112" s="386"/>
      <c r="AU112" s="386"/>
      <c r="AV112" s="386"/>
      <c r="AW112" s="386"/>
      <c r="AX112" s="386"/>
      <c r="AY112" s="386"/>
      <c r="AZ112" s="386"/>
      <c r="BA112" s="386"/>
      <c r="BB112" s="386"/>
      <c r="BD112" s="604"/>
      <c r="BE112" s="614"/>
      <c r="BF112" s="614"/>
      <c r="BG112" s="9"/>
      <c r="BH112" s="48"/>
      <c r="BI112" s="386"/>
      <c r="BJ112" s="386"/>
      <c r="BK112" s="386"/>
      <c r="BL112" s="386"/>
      <c r="BM112" s="386"/>
    </row>
    <row r="113" spans="8:65" x14ac:dyDescent="0.2">
      <c r="H113" s="610"/>
      <c r="I113" s="4"/>
      <c r="L113" s="4"/>
      <c r="M113" s="4"/>
      <c r="Q113" s="386"/>
      <c r="R113" s="386"/>
      <c r="S113" s="386"/>
      <c r="T113" s="386"/>
      <c r="V113" s="386"/>
      <c r="W113" s="386"/>
      <c r="X113" s="386"/>
      <c r="Y113" s="386"/>
      <c r="Z113" s="603"/>
      <c r="AA113" s="386"/>
      <c r="AB113" s="386"/>
      <c r="AC113" s="386"/>
      <c r="AE113" s="386"/>
      <c r="AF113" s="386"/>
      <c r="AG113" s="386"/>
      <c r="AH113" s="386"/>
      <c r="AI113" s="386"/>
      <c r="AJ113" s="386"/>
      <c r="AK113" s="386"/>
      <c r="AL113" s="386"/>
      <c r="AN113" s="386"/>
      <c r="AO113" s="386"/>
      <c r="AP113" s="386"/>
      <c r="AQ113" s="386"/>
      <c r="AR113" s="386"/>
      <c r="AS113" s="386"/>
      <c r="AT113" s="386"/>
      <c r="AU113" s="386"/>
      <c r="AV113" s="386"/>
      <c r="AW113" s="386"/>
      <c r="AX113" s="386"/>
      <c r="AY113" s="386"/>
      <c r="AZ113" s="386"/>
      <c r="BA113" s="386"/>
      <c r="BB113" s="386"/>
      <c r="BD113" s="604"/>
      <c r="BE113" s="614"/>
      <c r="BF113" s="614"/>
      <c r="BG113" s="9"/>
      <c r="BH113" s="48"/>
      <c r="BI113" s="386"/>
      <c r="BJ113" s="386"/>
      <c r="BK113" s="386"/>
      <c r="BL113" s="386"/>
      <c r="BM113" s="386"/>
    </row>
    <row r="114" spans="8:65" x14ac:dyDescent="0.2">
      <c r="H114" s="610"/>
      <c r="I114" s="4"/>
      <c r="L114" s="4"/>
      <c r="M114" s="4"/>
      <c r="Q114" s="386"/>
      <c r="R114" s="386"/>
      <c r="S114" s="386"/>
      <c r="T114" s="386"/>
      <c r="V114" s="386"/>
      <c r="W114" s="386"/>
      <c r="X114" s="386"/>
      <c r="Y114" s="386"/>
      <c r="Z114" s="603"/>
      <c r="AA114" s="386"/>
      <c r="AB114" s="386"/>
      <c r="AC114" s="386"/>
      <c r="AE114" s="386"/>
      <c r="AF114" s="386"/>
      <c r="AG114" s="386"/>
      <c r="AH114" s="386"/>
      <c r="AI114" s="386"/>
      <c r="AJ114" s="386"/>
      <c r="AK114" s="386"/>
      <c r="AL114" s="386"/>
      <c r="AN114" s="386"/>
      <c r="AO114" s="386"/>
      <c r="AP114" s="386"/>
      <c r="AQ114" s="386"/>
      <c r="AR114" s="386"/>
      <c r="AS114" s="386"/>
      <c r="AT114" s="386"/>
      <c r="AU114" s="386"/>
      <c r="AV114" s="386"/>
      <c r="AW114" s="386"/>
      <c r="AX114" s="386"/>
      <c r="AY114" s="386"/>
      <c r="AZ114" s="386"/>
      <c r="BA114" s="386"/>
      <c r="BB114" s="386"/>
      <c r="BD114" s="604"/>
      <c r="BE114" s="614"/>
      <c r="BF114" s="614"/>
      <c r="BG114" s="9"/>
      <c r="BH114" s="48"/>
      <c r="BI114" s="386"/>
      <c r="BJ114" s="386"/>
      <c r="BK114" s="386"/>
      <c r="BL114" s="386"/>
      <c r="BM114" s="386"/>
    </row>
    <row r="115" spans="8:65" x14ac:dyDescent="0.2">
      <c r="H115" s="610"/>
      <c r="I115" s="4"/>
      <c r="L115" s="4"/>
      <c r="M115" s="4"/>
      <c r="Q115" s="386"/>
      <c r="R115" s="386"/>
      <c r="S115" s="386"/>
      <c r="T115" s="386"/>
      <c r="V115" s="386"/>
      <c r="W115" s="386"/>
      <c r="X115" s="386"/>
      <c r="Y115" s="386"/>
      <c r="Z115" s="603"/>
      <c r="AA115" s="386"/>
      <c r="AB115" s="386"/>
      <c r="AC115" s="386"/>
      <c r="AE115" s="386"/>
      <c r="AF115" s="386"/>
      <c r="AG115" s="386"/>
      <c r="AH115" s="386"/>
      <c r="AI115" s="386"/>
      <c r="AJ115" s="386"/>
      <c r="AK115" s="386"/>
      <c r="AL115" s="386"/>
      <c r="AN115" s="386"/>
      <c r="AO115" s="386"/>
      <c r="AP115" s="386"/>
      <c r="AQ115" s="386"/>
      <c r="AR115" s="386"/>
      <c r="AS115" s="386"/>
      <c r="AT115" s="386"/>
      <c r="AU115" s="386"/>
      <c r="AV115" s="386"/>
      <c r="AW115" s="386"/>
      <c r="AX115" s="386"/>
      <c r="AY115" s="386"/>
      <c r="AZ115" s="386"/>
      <c r="BA115" s="386"/>
      <c r="BB115" s="386"/>
      <c r="BD115" s="604"/>
      <c r="BE115" s="614"/>
      <c r="BF115" s="614"/>
      <c r="BG115" s="9"/>
      <c r="BH115" s="48"/>
      <c r="BI115" s="386"/>
      <c r="BJ115" s="386"/>
      <c r="BK115" s="386"/>
      <c r="BL115" s="386"/>
      <c r="BM115" s="386"/>
    </row>
    <row r="116" spans="8:65" x14ac:dyDescent="0.2">
      <c r="H116" s="610"/>
      <c r="I116" s="4"/>
      <c r="L116" s="4"/>
      <c r="M116" s="4"/>
      <c r="Q116" s="386"/>
      <c r="R116" s="386"/>
      <c r="S116" s="386"/>
      <c r="T116" s="386"/>
      <c r="V116" s="386"/>
      <c r="W116" s="386"/>
      <c r="X116" s="386"/>
      <c r="Y116" s="386"/>
      <c r="Z116" s="603"/>
      <c r="AA116" s="386"/>
      <c r="AB116" s="386"/>
      <c r="AC116" s="386"/>
      <c r="AE116" s="386"/>
      <c r="AF116" s="386"/>
      <c r="AG116" s="386"/>
      <c r="AH116" s="386"/>
      <c r="AI116" s="386"/>
      <c r="AJ116" s="386"/>
      <c r="AK116" s="386"/>
      <c r="AL116" s="386"/>
      <c r="AN116" s="386"/>
      <c r="AO116" s="386"/>
      <c r="AP116" s="386"/>
      <c r="AQ116" s="386"/>
      <c r="AR116" s="386"/>
      <c r="AS116" s="386"/>
      <c r="AT116" s="386"/>
      <c r="AU116" s="386"/>
      <c r="AV116" s="386"/>
      <c r="AW116" s="386"/>
      <c r="AX116" s="386"/>
      <c r="AY116" s="386"/>
      <c r="AZ116" s="386"/>
      <c r="BA116" s="386"/>
      <c r="BB116" s="386"/>
      <c r="BD116" s="604"/>
      <c r="BE116" s="614"/>
      <c r="BF116" s="614"/>
      <c r="BG116" s="9"/>
      <c r="BH116" s="48"/>
      <c r="BI116" s="386"/>
      <c r="BJ116" s="386"/>
      <c r="BK116" s="386"/>
      <c r="BL116" s="386"/>
      <c r="BM116" s="386"/>
    </row>
    <row r="117" spans="8:65" x14ac:dyDescent="0.2">
      <c r="H117" s="610"/>
      <c r="I117" s="4"/>
      <c r="L117" s="4"/>
      <c r="M117" s="4"/>
      <c r="Q117" s="386"/>
      <c r="R117" s="386"/>
      <c r="S117" s="386"/>
      <c r="T117" s="386"/>
      <c r="V117" s="386"/>
      <c r="W117" s="386"/>
      <c r="X117" s="386"/>
      <c r="Y117" s="386"/>
      <c r="Z117" s="603"/>
      <c r="AA117" s="386"/>
      <c r="AB117" s="386"/>
      <c r="AC117" s="386"/>
      <c r="AE117" s="386"/>
      <c r="AF117" s="386"/>
      <c r="AG117" s="386"/>
      <c r="AH117" s="386"/>
      <c r="AI117" s="386"/>
      <c r="AJ117" s="386"/>
      <c r="AK117" s="386"/>
      <c r="AL117" s="386"/>
      <c r="AN117" s="386"/>
      <c r="AO117" s="386"/>
      <c r="AP117" s="386"/>
      <c r="AQ117" s="386"/>
      <c r="AR117" s="386"/>
      <c r="AS117" s="386"/>
      <c r="AT117" s="386"/>
      <c r="AU117" s="386"/>
      <c r="AV117" s="386"/>
      <c r="AW117" s="386"/>
      <c r="AX117" s="386"/>
      <c r="AY117" s="386"/>
      <c r="AZ117" s="386"/>
      <c r="BA117" s="386"/>
      <c r="BB117" s="386"/>
      <c r="BD117" s="604"/>
      <c r="BE117" s="614"/>
      <c r="BF117" s="614"/>
      <c r="BG117" s="9"/>
      <c r="BH117" s="48"/>
      <c r="BI117" s="386"/>
      <c r="BJ117" s="386"/>
      <c r="BK117" s="386"/>
      <c r="BL117" s="386"/>
      <c r="BM117" s="386"/>
    </row>
    <row r="118" spans="8:65" x14ac:dyDescent="0.2">
      <c r="H118" s="610"/>
      <c r="I118" s="4"/>
      <c r="L118" s="4"/>
      <c r="M118" s="4"/>
      <c r="Q118" s="386"/>
      <c r="R118" s="386"/>
      <c r="S118" s="386"/>
      <c r="T118" s="386"/>
      <c r="V118" s="386"/>
      <c r="W118" s="386"/>
      <c r="X118" s="386"/>
      <c r="Y118" s="386"/>
      <c r="Z118" s="603"/>
      <c r="AA118" s="386"/>
      <c r="AB118" s="386"/>
      <c r="AC118" s="386"/>
      <c r="AE118" s="386"/>
      <c r="AF118" s="386"/>
      <c r="AG118" s="386"/>
      <c r="AH118" s="386"/>
      <c r="AI118" s="386"/>
      <c r="AJ118" s="386"/>
      <c r="AK118" s="386"/>
      <c r="AL118" s="386"/>
      <c r="AN118" s="386"/>
      <c r="AO118" s="386"/>
      <c r="AP118" s="386"/>
      <c r="AQ118" s="386"/>
      <c r="AR118" s="386"/>
      <c r="AS118" s="386"/>
      <c r="AT118" s="386"/>
      <c r="AU118" s="386"/>
      <c r="AV118" s="386"/>
      <c r="AW118" s="386"/>
      <c r="AX118" s="386"/>
      <c r="AY118" s="386"/>
      <c r="AZ118" s="386"/>
      <c r="BA118" s="386"/>
      <c r="BB118" s="386"/>
      <c r="BD118" s="604"/>
      <c r="BE118" s="614"/>
      <c r="BF118" s="614"/>
      <c r="BG118" s="9"/>
      <c r="BH118" s="48"/>
      <c r="BI118" s="386"/>
      <c r="BJ118" s="386"/>
      <c r="BK118" s="386"/>
      <c r="BL118" s="386"/>
      <c r="BM118" s="386"/>
    </row>
    <row r="119" spans="8:65" x14ac:dyDescent="0.2">
      <c r="H119" s="610"/>
      <c r="I119" s="4"/>
      <c r="L119" s="4"/>
      <c r="M119" s="4"/>
      <c r="Q119" s="386"/>
      <c r="R119" s="386"/>
      <c r="S119" s="386"/>
      <c r="T119" s="386"/>
      <c r="V119" s="386"/>
      <c r="W119" s="386"/>
      <c r="X119" s="386"/>
      <c r="Y119" s="386"/>
      <c r="Z119" s="603"/>
      <c r="AA119" s="386"/>
      <c r="AB119" s="386"/>
      <c r="AC119" s="386"/>
      <c r="AE119" s="386"/>
      <c r="AF119" s="386"/>
      <c r="AG119" s="386"/>
      <c r="AH119" s="386"/>
      <c r="AI119" s="386"/>
      <c r="AJ119" s="386"/>
      <c r="AK119" s="386"/>
      <c r="AL119" s="386"/>
      <c r="AN119" s="386"/>
      <c r="AO119" s="386"/>
      <c r="AP119" s="386"/>
      <c r="AQ119" s="386"/>
      <c r="AR119" s="386"/>
      <c r="AS119" s="386"/>
      <c r="AT119" s="386"/>
      <c r="AU119" s="386"/>
      <c r="AV119" s="386"/>
      <c r="AW119" s="386"/>
      <c r="AX119" s="386"/>
      <c r="AY119" s="386"/>
      <c r="AZ119" s="386"/>
      <c r="BA119" s="386"/>
      <c r="BB119" s="386"/>
      <c r="BD119" s="604"/>
      <c r="BE119" s="614"/>
      <c r="BF119" s="614"/>
      <c r="BG119" s="9"/>
      <c r="BH119" s="48"/>
      <c r="BI119" s="386"/>
      <c r="BJ119" s="386"/>
      <c r="BK119" s="386"/>
      <c r="BL119" s="386"/>
      <c r="BM119" s="386"/>
    </row>
    <row r="120" spans="8:65" x14ac:dyDescent="0.2">
      <c r="H120" s="610"/>
      <c r="I120" s="4"/>
      <c r="L120" s="4"/>
      <c r="M120" s="4"/>
      <c r="Q120" s="386"/>
      <c r="R120" s="386"/>
      <c r="S120" s="386"/>
      <c r="T120" s="386"/>
      <c r="V120" s="386"/>
      <c r="W120" s="386"/>
      <c r="X120" s="386"/>
      <c r="Y120" s="386"/>
      <c r="Z120" s="603"/>
      <c r="AA120" s="386"/>
      <c r="AB120" s="386"/>
      <c r="AC120" s="386"/>
      <c r="AE120" s="386"/>
      <c r="AF120" s="386"/>
      <c r="AG120" s="386"/>
      <c r="AH120" s="386"/>
      <c r="AI120" s="386"/>
      <c r="AJ120" s="386"/>
      <c r="AK120" s="386"/>
      <c r="AL120" s="386"/>
      <c r="AN120" s="386"/>
      <c r="AO120" s="386"/>
      <c r="AP120" s="386"/>
      <c r="AQ120" s="386"/>
      <c r="AR120" s="386"/>
      <c r="AS120" s="386"/>
      <c r="AT120" s="386"/>
      <c r="AU120" s="386"/>
      <c r="AV120" s="386"/>
      <c r="AW120" s="386"/>
      <c r="AX120" s="386"/>
      <c r="AY120" s="386"/>
      <c r="AZ120" s="386"/>
      <c r="BA120" s="386"/>
      <c r="BB120" s="386"/>
      <c r="BD120" s="604"/>
      <c r="BE120" s="614"/>
      <c r="BF120" s="614"/>
      <c r="BG120" s="9"/>
      <c r="BH120" s="48"/>
      <c r="BI120" s="386"/>
      <c r="BJ120" s="386"/>
      <c r="BK120" s="386"/>
      <c r="BL120" s="386"/>
      <c r="BM120" s="386"/>
    </row>
    <row r="121" spans="8:65" x14ac:dyDescent="0.2">
      <c r="H121" s="610"/>
      <c r="I121" s="4"/>
      <c r="L121" s="4"/>
      <c r="M121" s="4"/>
      <c r="Q121" s="386"/>
      <c r="R121" s="386"/>
      <c r="S121" s="386"/>
      <c r="T121" s="386"/>
      <c r="V121" s="386"/>
      <c r="W121" s="386"/>
      <c r="X121" s="386"/>
      <c r="Y121" s="386"/>
      <c r="Z121" s="603"/>
      <c r="AA121" s="386"/>
      <c r="AB121" s="386"/>
      <c r="AC121" s="386"/>
      <c r="AE121" s="386"/>
      <c r="AF121" s="386"/>
      <c r="AG121" s="386"/>
      <c r="AH121" s="386"/>
      <c r="AI121" s="386"/>
      <c r="AJ121" s="386"/>
      <c r="AK121" s="386"/>
      <c r="AL121" s="386"/>
      <c r="AN121" s="386"/>
      <c r="AO121" s="386"/>
      <c r="AP121" s="386"/>
      <c r="AQ121" s="386"/>
      <c r="AR121" s="386"/>
      <c r="AS121" s="386"/>
      <c r="AT121" s="386"/>
      <c r="AU121" s="386"/>
      <c r="AV121" s="386"/>
      <c r="AW121" s="386"/>
      <c r="AX121" s="386"/>
      <c r="AY121" s="386"/>
      <c r="AZ121" s="386"/>
      <c r="BA121" s="386"/>
      <c r="BB121" s="386"/>
      <c r="BD121" s="604"/>
      <c r="BE121" s="614"/>
      <c r="BF121" s="614"/>
      <c r="BG121" s="9"/>
      <c r="BH121" s="48"/>
      <c r="BI121" s="386"/>
      <c r="BJ121" s="386"/>
      <c r="BK121" s="386"/>
      <c r="BL121" s="386"/>
      <c r="BM121" s="386"/>
    </row>
    <row r="122" spans="8:65" x14ac:dyDescent="0.2">
      <c r="H122" s="610"/>
      <c r="I122" s="4"/>
      <c r="L122" s="4"/>
      <c r="M122" s="4"/>
      <c r="Q122" s="386"/>
      <c r="R122" s="386"/>
      <c r="S122" s="386"/>
      <c r="T122" s="386"/>
      <c r="V122" s="386"/>
      <c r="W122" s="386"/>
      <c r="X122" s="386"/>
      <c r="Y122" s="386"/>
      <c r="Z122" s="603"/>
      <c r="AA122" s="386"/>
      <c r="AB122" s="386"/>
      <c r="AC122" s="386"/>
      <c r="AE122" s="386"/>
      <c r="AF122" s="386"/>
      <c r="AG122" s="386"/>
      <c r="AH122" s="386"/>
      <c r="AI122" s="386"/>
      <c r="AJ122" s="386"/>
      <c r="AK122" s="386"/>
      <c r="AL122" s="386"/>
      <c r="AN122" s="386"/>
      <c r="AO122" s="386"/>
      <c r="AP122" s="386"/>
      <c r="AQ122" s="386"/>
      <c r="AR122" s="386"/>
      <c r="AS122" s="386"/>
      <c r="AT122" s="386"/>
      <c r="AU122" s="386"/>
      <c r="AV122" s="386"/>
      <c r="AW122" s="386"/>
      <c r="AX122" s="386"/>
      <c r="AY122" s="386"/>
      <c r="AZ122" s="386"/>
      <c r="BA122" s="386"/>
      <c r="BB122" s="386"/>
      <c r="BD122" s="604"/>
      <c r="BE122" s="614"/>
      <c r="BF122" s="614"/>
      <c r="BG122" s="9"/>
      <c r="BH122" s="48"/>
      <c r="BI122" s="386"/>
      <c r="BJ122" s="386"/>
      <c r="BK122" s="386"/>
      <c r="BL122" s="386"/>
      <c r="BM122" s="386"/>
    </row>
    <row r="123" spans="8:65" x14ac:dyDescent="0.2">
      <c r="H123" s="610"/>
      <c r="I123" s="4"/>
      <c r="L123" s="4"/>
      <c r="M123" s="4"/>
      <c r="Q123" s="386"/>
      <c r="R123" s="386"/>
      <c r="S123" s="386"/>
      <c r="T123" s="386"/>
      <c r="V123" s="386"/>
      <c r="W123" s="386"/>
      <c r="X123" s="386"/>
      <c r="Y123" s="386"/>
      <c r="Z123" s="603"/>
      <c r="AA123" s="386"/>
      <c r="AB123" s="386"/>
      <c r="AC123" s="386"/>
      <c r="AE123" s="386"/>
      <c r="AF123" s="386"/>
      <c r="AG123" s="386"/>
      <c r="AH123" s="386"/>
      <c r="AI123" s="386"/>
      <c r="AJ123" s="386"/>
      <c r="AK123" s="386"/>
      <c r="AL123" s="386"/>
      <c r="AN123" s="386"/>
      <c r="AO123" s="386"/>
      <c r="AP123" s="386"/>
      <c r="AQ123" s="386"/>
      <c r="AR123" s="386"/>
      <c r="AS123" s="386"/>
      <c r="AT123" s="386"/>
      <c r="AU123" s="386"/>
      <c r="AV123" s="386"/>
      <c r="AW123" s="386"/>
      <c r="AX123" s="386"/>
      <c r="AY123" s="386"/>
      <c r="AZ123" s="386"/>
      <c r="BA123" s="386"/>
      <c r="BB123" s="386"/>
      <c r="BD123" s="604"/>
      <c r="BE123" s="614"/>
      <c r="BF123" s="614"/>
      <c r="BG123" s="9"/>
      <c r="BH123" s="48"/>
      <c r="BI123" s="386"/>
      <c r="BJ123" s="386"/>
      <c r="BK123" s="386"/>
      <c r="BL123" s="386"/>
      <c r="BM123" s="386"/>
    </row>
    <row r="124" spans="8:65" x14ac:dyDescent="0.2">
      <c r="H124" s="610"/>
      <c r="I124" s="4"/>
      <c r="L124" s="4"/>
      <c r="M124" s="4"/>
      <c r="Q124" s="386"/>
      <c r="R124" s="386"/>
      <c r="S124" s="386"/>
      <c r="T124" s="386"/>
      <c r="V124" s="386"/>
      <c r="W124" s="386"/>
      <c r="X124" s="386"/>
      <c r="Y124" s="386"/>
      <c r="Z124" s="603"/>
      <c r="AA124" s="386"/>
      <c r="AB124" s="386"/>
      <c r="AC124" s="386"/>
      <c r="AE124" s="386"/>
      <c r="AF124" s="386"/>
      <c r="AG124" s="386"/>
      <c r="AH124" s="386"/>
      <c r="AI124" s="386"/>
      <c r="AJ124" s="386"/>
      <c r="AK124" s="386"/>
      <c r="AL124" s="386"/>
      <c r="AN124" s="386"/>
      <c r="AO124" s="386"/>
      <c r="AP124" s="386"/>
      <c r="AQ124" s="386"/>
      <c r="AR124" s="386"/>
      <c r="AS124" s="386"/>
      <c r="AT124" s="386"/>
      <c r="AU124" s="386"/>
      <c r="AV124" s="386"/>
      <c r="AW124" s="386"/>
      <c r="AX124" s="386"/>
      <c r="AY124" s="386"/>
      <c r="AZ124" s="386"/>
      <c r="BA124" s="386"/>
      <c r="BB124" s="386"/>
      <c r="BD124" s="604"/>
      <c r="BE124" s="614"/>
      <c r="BF124" s="614"/>
      <c r="BG124" s="9"/>
      <c r="BH124" s="48"/>
      <c r="BI124" s="386"/>
      <c r="BJ124" s="386"/>
      <c r="BK124" s="386"/>
      <c r="BL124" s="386"/>
      <c r="BM124" s="386"/>
    </row>
    <row r="125" spans="8:65" x14ac:dyDescent="0.2">
      <c r="H125" s="610"/>
      <c r="I125" s="4"/>
      <c r="L125" s="4"/>
      <c r="M125" s="4"/>
      <c r="Q125" s="386"/>
      <c r="R125" s="386"/>
      <c r="S125" s="386"/>
      <c r="T125" s="386"/>
      <c r="V125" s="386"/>
      <c r="W125" s="386"/>
      <c r="X125" s="386"/>
      <c r="Y125" s="386"/>
      <c r="Z125" s="603"/>
      <c r="AA125" s="386"/>
      <c r="AB125" s="386"/>
      <c r="AC125" s="386"/>
      <c r="AE125" s="386"/>
      <c r="AF125" s="386"/>
      <c r="AG125" s="386"/>
      <c r="AH125" s="386"/>
      <c r="AI125" s="386"/>
      <c r="AJ125" s="386"/>
      <c r="AK125" s="386"/>
      <c r="AL125" s="386"/>
      <c r="AN125" s="386"/>
      <c r="AO125" s="386"/>
      <c r="AP125" s="386"/>
      <c r="AQ125" s="386"/>
      <c r="AR125" s="386"/>
      <c r="AS125" s="386"/>
      <c r="AT125" s="386"/>
      <c r="AU125" s="386"/>
      <c r="AV125" s="386"/>
      <c r="AW125" s="386"/>
      <c r="AX125" s="386"/>
      <c r="AY125" s="386"/>
      <c r="AZ125" s="386"/>
      <c r="BA125" s="386"/>
      <c r="BB125" s="386"/>
      <c r="BD125" s="604"/>
      <c r="BE125" s="614"/>
      <c r="BF125" s="614"/>
      <c r="BG125" s="9"/>
      <c r="BH125" s="48"/>
      <c r="BI125" s="386"/>
      <c r="BJ125" s="386"/>
      <c r="BK125" s="386"/>
      <c r="BL125" s="386"/>
      <c r="BM125" s="386"/>
    </row>
    <row r="126" spans="8:65" x14ac:dyDescent="0.2">
      <c r="H126" s="610"/>
      <c r="I126" s="4"/>
      <c r="L126" s="4"/>
      <c r="M126" s="4"/>
      <c r="Q126" s="386"/>
      <c r="R126" s="386"/>
      <c r="S126" s="386"/>
      <c r="T126" s="386"/>
      <c r="V126" s="386"/>
      <c r="W126" s="386"/>
      <c r="X126" s="386"/>
      <c r="Y126" s="386"/>
      <c r="Z126" s="603"/>
      <c r="AA126" s="386"/>
      <c r="AB126" s="386"/>
      <c r="AC126" s="386"/>
      <c r="AE126" s="386"/>
      <c r="AF126" s="386"/>
      <c r="AG126" s="386"/>
      <c r="AH126" s="386"/>
      <c r="AI126" s="386"/>
      <c r="AJ126" s="386"/>
      <c r="AK126" s="386"/>
      <c r="AL126" s="386"/>
      <c r="AN126" s="386"/>
      <c r="AO126" s="386"/>
      <c r="AP126" s="386"/>
      <c r="AQ126" s="386"/>
      <c r="AR126" s="386"/>
      <c r="AS126" s="386"/>
      <c r="AT126" s="386"/>
      <c r="AU126" s="386"/>
      <c r="AV126" s="386"/>
      <c r="AW126" s="386"/>
      <c r="AX126" s="386"/>
      <c r="AY126" s="386"/>
      <c r="AZ126" s="386"/>
      <c r="BA126" s="386"/>
      <c r="BB126" s="386"/>
      <c r="BD126" s="604"/>
      <c r="BE126" s="614"/>
      <c r="BF126" s="614"/>
      <c r="BG126" s="9"/>
      <c r="BH126" s="48"/>
      <c r="BI126" s="386"/>
      <c r="BJ126" s="386"/>
      <c r="BK126" s="386"/>
      <c r="BL126" s="386"/>
      <c r="BM126" s="386"/>
    </row>
    <row r="127" spans="8:65" x14ac:dyDescent="0.2">
      <c r="H127" s="610"/>
      <c r="I127" s="4"/>
      <c r="L127" s="4"/>
      <c r="M127" s="4"/>
      <c r="Q127" s="386"/>
      <c r="R127" s="386"/>
      <c r="S127" s="386"/>
      <c r="T127" s="386"/>
      <c r="V127" s="386"/>
      <c r="W127" s="386"/>
      <c r="X127" s="386"/>
      <c r="Y127" s="386"/>
      <c r="Z127" s="603"/>
      <c r="AA127" s="386"/>
      <c r="AB127" s="386"/>
      <c r="AC127" s="386"/>
      <c r="AE127" s="386"/>
      <c r="AF127" s="386"/>
      <c r="AG127" s="386"/>
      <c r="AH127" s="386"/>
      <c r="AI127" s="386"/>
      <c r="AJ127" s="386"/>
      <c r="AK127" s="386"/>
      <c r="AL127" s="386"/>
      <c r="AN127" s="386"/>
      <c r="AO127" s="386"/>
      <c r="AP127" s="386"/>
      <c r="AQ127" s="386"/>
      <c r="AR127" s="386"/>
      <c r="AS127" s="386"/>
      <c r="AT127" s="386"/>
      <c r="AU127" s="386"/>
      <c r="AV127" s="386"/>
      <c r="AW127" s="386"/>
      <c r="AX127" s="386"/>
      <c r="AY127" s="386"/>
      <c r="AZ127" s="386"/>
      <c r="BA127" s="386"/>
      <c r="BB127" s="386"/>
      <c r="BD127" s="604"/>
      <c r="BE127" s="614"/>
      <c r="BF127" s="614"/>
      <c r="BG127" s="9"/>
      <c r="BH127" s="48"/>
      <c r="BI127" s="386"/>
      <c r="BJ127" s="386"/>
      <c r="BK127" s="386"/>
      <c r="BL127" s="386"/>
      <c r="BM127" s="386"/>
    </row>
    <row r="128" spans="8:65" x14ac:dyDescent="0.2">
      <c r="H128" s="610"/>
      <c r="I128" s="4"/>
      <c r="L128" s="4"/>
      <c r="M128" s="4"/>
      <c r="Q128" s="386"/>
      <c r="R128" s="386"/>
      <c r="S128" s="386"/>
      <c r="T128" s="386"/>
      <c r="V128" s="386"/>
      <c r="W128" s="386"/>
      <c r="X128" s="386"/>
      <c r="Y128" s="386"/>
      <c r="Z128" s="603"/>
      <c r="AA128" s="386"/>
      <c r="AB128" s="386"/>
      <c r="AC128" s="386"/>
      <c r="AE128" s="386"/>
      <c r="AF128" s="386"/>
      <c r="AG128" s="386"/>
      <c r="AH128" s="386"/>
      <c r="AI128" s="386"/>
      <c r="AJ128" s="386"/>
      <c r="AK128" s="386"/>
      <c r="AL128" s="386"/>
      <c r="AN128" s="386"/>
      <c r="AO128" s="386"/>
      <c r="AP128" s="386"/>
      <c r="AQ128" s="386"/>
      <c r="AR128" s="386"/>
      <c r="AS128" s="386"/>
      <c r="AT128" s="386"/>
      <c r="AU128" s="386"/>
      <c r="AV128" s="386"/>
      <c r="AW128" s="386"/>
      <c r="AX128" s="386"/>
      <c r="AY128" s="386"/>
      <c r="AZ128" s="386"/>
      <c r="BA128" s="386"/>
      <c r="BB128" s="386"/>
      <c r="BD128" s="604"/>
      <c r="BE128" s="614"/>
      <c r="BF128" s="614"/>
      <c r="BG128" s="9"/>
      <c r="BH128" s="48"/>
      <c r="BI128" s="386"/>
      <c r="BJ128" s="386"/>
      <c r="BK128" s="386"/>
      <c r="BL128" s="386"/>
      <c r="BM128" s="386"/>
    </row>
    <row r="129" spans="8:65" x14ac:dyDescent="0.2">
      <c r="H129" s="610"/>
      <c r="I129" s="4"/>
      <c r="L129" s="4"/>
      <c r="M129" s="4"/>
      <c r="Q129" s="386"/>
      <c r="R129" s="386"/>
      <c r="S129" s="386"/>
      <c r="T129" s="386"/>
      <c r="V129" s="386"/>
      <c r="W129" s="386"/>
      <c r="X129" s="386"/>
      <c r="Y129" s="386"/>
      <c r="Z129" s="603"/>
      <c r="AA129" s="386"/>
      <c r="AB129" s="386"/>
      <c r="AC129" s="386"/>
      <c r="AE129" s="386"/>
      <c r="AF129" s="386"/>
      <c r="AG129" s="386"/>
      <c r="AH129" s="386"/>
      <c r="AI129" s="386"/>
      <c r="AJ129" s="386"/>
      <c r="AK129" s="386"/>
      <c r="AL129" s="386"/>
      <c r="AN129" s="386"/>
      <c r="AO129" s="386"/>
      <c r="AP129" s="386"/>
      <c r="AQ129" s="386"/>
      <c r="AR129" s="386"/>
      <c r="AS129" s="386"/>
      <c r="AT129" s="386"/>
      <c r="AU129" s="386"/>
      <c r="AV129" s="386"/>
      <c r="AW129" s="386"/>
      <c r="AX129" s="386"/>
      <c r="AY129" s="386"/>
      <c r="AZ129" s="386"/>
      <c r="BA129" s="386"/>
      <c r="BB129" s="386"/>
      <c r="BD129" s="604"/>
      <c r="BE129" s="614"/>
      <c r="BF129" s="614"/>
      <c r="BG129" s="9"/>
      <c r="BH129" s="48"/>
      <c r="BI129" s="386"/>
      <c r="BJ129" s="386"/>
      <c r="BK129" s="386"/>
      <c r="BL129" s="386"/>
      <c r="BM129" s="386"/>
    </row>
    <row r="130" spans="8:65" x14ac:dyDescent="0.2">
      <c r="H130" s="610"/>
      <c r="I130" s="4"/>
      <c r="L130" s="4"/>
      <c r="M130" s="4"/>
      <c r="Q130" s="386"/>
      <c r="R130" s="386"/>
      <c r="S130" s="386"/>
      <c r="T130" s="386"/>
      <c r="V130" s="386"/>
      <c r="W130" s="386"/>
      <c r="X130" s="386"/>
      <c r="Y130" s="386"/>
      <c r="Z130" s="603"/>
      <c r="AA130" s="386"/>
      <c r="AB130" s="386"/>
      <c r="AC130" s="386"/>
      <c r="AE130" s="386"/>
      <c r="AF130" s="386"/>
      <c r="AG130" s="386"/>
      <c r="AH130" s="386"/>
      <c r="AI130" s="386"/>
      <c r="AJ130" s="386"/>
      <c r="AK130" s="386"/>
      <c r="AL130" s="386"/>
      <c r="AN130" s="386"/>
      <c r="AO130" s="386"/>
      <c r="AP130" s="386"/>
      <c r="AQ130" s="386"/>
      <c r="AR130" s="386"/>
      <c r="AS130" s="386"/>
      <c r="AT130" s="386"/>
      <c r="AU130" s="386"/>
      <c r="AV130" s="386"/>
      <c r="AW130" s="386"/>
      <c r="AX130" s="386"/>
      <c r="AY130" s="386"/>
      <c r="AZ130" s="386"/>
      <c r="BA130" s="386"/>
      <c r="BB130" s="386"/>
      <c r="BD130" s="604"/>
      <c r="BE130" s="614"/>
      <c r="BF130" s="614"/>
      <c r="BG130" s="9"/>
      <c r="BH130" s="48"/>
      <c r="BI130" s="386"/>
      <c r="BJ130" s="386"/>
      <c r="BK130" s="386"/>
      <c r="BL130" s="386"/>
      <c r="BM130" s="386"/>
    </row>
    <row r="131" spans="8:65" x14ac:dyDescent="0.2">
      <c r="H131" s="610"/>
      <c r="I131" s="4"/>
      <c r="L131" s="4"/>
      <c r="M131" s="4"/>
      <c r="Q131" s="386"/>
      <c r="R131" s="386"/>
      <c r="S131" s="386"/>
      <c r="T131" s="386"/>
      <c r="V131" s="386"/>
      <c r="W131" s="386"/>
      <c r="X131" s="386"/>
      <c r="Y131" s="386"/>
      <c r="Z131" s="603"/>
      <c r="AA131" s="386"/>
      <c r="AB131" s="386"/>
      <c r="AC131" s="386"/>
      <c r="AE131" s="386"/>
      <c r="AF131" s="386"/>
      <c r="AG131" s="386"/>
      <c r="AH131" s="386"/>
      <c r="AI131" s="386"/>
      <c r="AJ131" s="386"/>
      <c r="AK131" s="386"/>
      <c r="AL131" s="386"/>
      <c r="AN131" s="386"/>
      <c r="AO131" s="386"/>
      <c r="AP131" s="386"/>
      <c r="AQ131" s="386"/>
      <c r="AR131" s="386"/>
      <c r="AS131" s="386"/>
      <c r="AT131" s="386"/>
      <c r="AU131" s="386"/>
      <c r="AV131" s="386"/>
      <c r="AW131" s="386"/>
      <c r="AX131" s="386"/>
      <c r="AY131" s="386"/>
      <c r="AZ131" s="386"/>
      <c r="BA131" s="386"/>
      <c r="BB131" s="386"/>
      <c r="BD131" s="604"/>
      <c r="BE131" s="614"/>
      <c r="BF131" s="614"/>
      <c r="BG131" s="9"/>
      <c r="BH131" s="48"/>
      <c r="BI131" s="386"/>
      <c r="BJ131" s="386"/>
      <c r="BK131" s="386"/>
      <c r="BL131" s="386"/>
      <c r="BM131" s="386"/>
    </row>
    <row r="132" spans="8:65" x14ac:dyDescent="0.2">
      <c r="H132" s="610"/>
      <c r="I132" s="4"/>
      <c r="L132" s="4"/>
      <c r="M132" s="4"/>
      <c r="Q132" s="386"/>
      <c r="R132" s="386"/>
      <c r="S132" s="386"/>
      <c r="T132" s="386"/>
      <c r="V132" s="386"/>
      <c r="W132" s="386"/>
      <c r="X132" s="386"/>
      <c r="Y132" s="386"/>
      <c r="Z132" s="603"/>
      <c r="AA132" s="386"/>
      <c r="AB132" s="386"/>
      <c r="AC132" s="386"/>
      <c r="AE132" s="386"/>
      <c r="AF132" s="386"/>
      <c r="AG132" s="386"/>
      <c r="AH132" s="386"/>
      <c r="AI132" s="386"/>
      <c r="AJ132" s="386"/>
      <c r="AK132" s="386"/>
      <c r="AL132" s="386"/>
      <c r="AN132" s="386"/>
      <c r="AO132" s="386"/>
      <c r="AP132" s="386"/>
      <c r="AQ132" s="386"/>
      <c r="AR132" s="386"/>
      <c r="AS132" s="386"/>
      <c r="AT132" s="386"/>
      <c r="AU132" s="386"/>
      <c r="AV132" s="386"/>
      <c r="AW132" s="386"/>
      <c r="AX132" s="386"/>
      <c r="AY132" s="386"/>
      <c r="AZ132" s="386"/>
      <c r="BA132" s="386"/>
      <c r="BB132" s="386"/>
      <c r="BD132" s="604"/>
      <c r="BE132" s="614"/>
      <c r="BF132" s="614"/>
      <c r="BG132" s="9"/>
      <c r="BH132" s="48"/>
      <c r="BI132" s="386"/>
      <c r="BJ132" s="386"/>
      <c r="BK132" s="386"/>
      <c r="BL132" s="386"/>
      <c r="BM132" s="386"/>
    </row>
    <row r="133" spans="8:65" x14ac:dyDescent="0.2">
      <c r="H133" s="610"/>
      <c r="I133" s="4"/>
      <c r="L133" s="4"/>
      <c r="M133" s="4"/>
      <c r="Q133" s="386"/>
      <c r="R133" s="386"/>
      <c r="S133" s="386"/>
      <c r="T133" s="386"/>
      <c r="V133" s="386"/>
      <c r="W133" s="386"/>
      <c r="X133" s="386"/>
      <c r="Y133" s="386"/>
      <c r="Z133" s="603"/>
      <c r="AA133" s="386"/>
      <c r="AB133" s="386"/>
      <c r="AC133" s="386"/>
      <c r="AE133" s="386"/>
      <c r="AF133" s="386"/>
      <c r="AG133" s="386"/>
      <c r="AH133" s="386"/>
      <c r="AI133" s="386"/>
      <c r="AJ133" s="386"/>
      <c r="AK133" s="386"/>
      <c r="AL133" s="386"/>
      <c r="AN133" s="386"/>
      <c r="AO133" s="386"/>
      <c r="AP133" s="386"/>
      <c r="AQ133" s="386"/>
      <c r="AR133" s="386"/>
      <c r="AS133" s="386"/>
      <c r="AT133" s="386"/>
      <c r="AU133" s="386"/>
      <c r="AV133" s="386"/>
      <c r="AW133" s="386"/>
      <c r="AX133" s="386"/>
      <c r="AY133" s="386"/>
      <c r="AZ133" s="386"/>
      <c r="BA133" s="386"/>
      <c r="BB133" s="386"/>
      <c r="BD133" s="604"/>
      <c r="BE133" s="614"/>
      <c r="BF133" s="614"/>
      <c r="BG133" s="9"/>
      <c r="BH133" s="48"/>
      <c r="BI133" s="386"/>
      <c r="BJ133" s="386"/>
      <c r="BK133" s="386"/>
      <c r="BL133" s="386"/>
      <c r="BM133" s="386"/>
    </row>
    <row r="134" spans="8:65" x14ac:dyDescent="0.2">
      <c r="H134" s="610"/>
      <c r="I134" s="4"/>
      <c r="L134" s="4"/>
      <c r="M134" s="4"/>
      <c r="Q134" s="386"/>
      <c r="R134" s="386"/>
      <c r="S134" s="386"/>
      <c r="T134" s="386"/>
      <c r="V134" s="386"/>
      <c r="W134" s="386"/>
      <c r="X134" s="386"/>
      <c r="Y134" s="386"/>
      <c r="Z134" s="603"/>
      <c r="AA134" s="386"/>
      <c r="AB134" s="386"/>
      <c r="AC134" s="386"/>
      <c r="AE134" s="386"/>
      <c r="AF134" s="386"/>
      <c r="AG134" s="386"/>
      <c r="AH134" s="386"/>
      <c r="AI134" s="386"/>
      <c r="AJ134" s="386"/>
      <c r="AK134" s="386"/>
      <c r="AL134" s="386"/>
      <c r="AN134" s="386"/>
      <c r="AO134" s="386"/>
      <c r="AP134" s="386"/>
      <c r="AQ134" s="386"/>
      <c r="AR134" s="386"/>
      <c r="AS134" s="386"/>
      <c r="AT134" s="386"/>
      <c r="AU134" s="386"/>
      <c r="AV134" s="386"/>
      <c r="AW134" s="386"/>
      <c r="AX134" s="386"/>
      <c r="AY134" s="386"/>
      <c r="AZ134" s="386"/>
      <c r="BA134" s="386"/>
      <c r="BB134" s="386"/>
      <c r="BD134" s="604"/>
      <c r="BE134" s="614"/>
      <c r="BF134" s="614"/>
      <c r="BG134" s="9"/>
      <c r="BH134" s="48"/>
      <c r="BI134" s="386"/>
      <c r="BJ134" s="386"/>
      <c r="BK134" s="386"/>
      <c r="BL134" s="386"/>
      <c r="BM134" s="386"/>
    </row>
    <row r="135" spans="8:65" x14ac:dyDescent="0.2">
      <c r="H135" s="610"/>
      <c r="I135" s="4"/>
      <c r="L135" s="4"/>
      <c r="M135" s="4"/>
      <c r="Q135" s="386"/>
      <c r="R135" s="386"/>
      <c r="S135" s="386"/>
      <c r="T135" s="386"/>
      <c r="V135" s="386"/>
      <c r="W135" s="386"/>
      <c r="X135" s="386"/>
      <c r="Y135" s="386"/>
      <c r="Z135" s="603"/>
      <c r="AA135" s="386"/>
      <c r="AB135" s="386"/>
      <c r="AC135" s="386"/>
      <c r="AE135" s="386"/>
      <c r="AF135" s="386"/>
      <c r="AG135" s="386"/>
      <c r="AH135" s="386"/>
      <c r="AI135" s="386"/>
      <c r="AJ135" s="386"/>
      <c r="AK135" s="386"/>
      <c r="AL135" s="386"/>
      <c r="AN135" s="386"/>
      <c r="AO135" s="386"/>
      <c r="AP135" s="386"/>
      <c r="AQ135" s="386"/>
      <c r="AR135" s="386"/>
      <c r="AS135" s="386"/>
      <c r="AT135" s="386"/>
      <c r="AU135" s="386"/>
      <c r="AV135" s="386"/>
      <c r="AW135" s="386"/>
      <c r="AX135" s="386"/>
      <c r="AY135" s="386"/>
      <c r="AZ135" s="386"/>
      <c r="BA135" s="386"/>
      <c r="BB135" s="386"/>
      <c r="BD135" s="604"/>
      <c r="BE135" s="614"/>
      <c r="BF135" s="614"/>
      <c r="BG135" s="9"/>
      <c r="BH135" s="48"/>
      <c r="BI135" s="386"/>
      <c r="BJ135" s="386"/>
      <c r="BK135" s="386"/>
      <c r="BL135" s="386"/>
      <c r="BM135" s="386"/>
    </row>
    <row r="136" spans="8:65" x14ac:dyDescent="0.2">
      <c r="H136" s="610"/>
      <c r="I136" s="4"/>
      <c r="L136" s="4"/>
      <c r="M136" s="4"/>
      <c r="Q136" s="386"/>
      <c r="R136" s="386"/>
      <c r="S136" s="386"/>
      <c r="T136" s="386"/>
      <c r="V136" s="386"/>
      <c r="W136" s="386"/>
      <c r="X136" s="386"/>
      <c r="Y136" s="386"/>
      <c r="Z136" s="603"/>
      <c r="AA136" s="386"/>
      <c r="AB136" s="386"/>
      <c r="AC136" s="386"/>
      <c r="AE136" s="386"/>
      <c r="AF136" s="386"/>
      <c r="AG136" s="386"/>
      <c r="AH136" s="386"/>
      <c r="AI136" s="386"/>
      <c r="AJ136" s="386"/>
      <c r="AK136" s="386"/>
      <c r="AL136" s="386"/>
      <c r="AN136" s="386"/>
      <c r="AO136" s="386"/>
      <c r="AP136" s="386"/>
      <c r="AQ136" s="386"/>
      <c r="AR136" s="386"/>
      <c r="AS136" s="386"/>
      <c r="AT136" s="386"/>
      <c r="AU136" s="386"/>
      <c r="AV136" s="386"/>
      <c r="AW136" s="386"/>
      <c r="AX136" s="386"/>
      <c r="AY136" s="386"/>
      <c r="AZ136" s="386"/>
      <c r="BA136" s="386"/>
      <c r="BB136" s="386"/>
      <c r="BD136" s="604"/>
      <c r="BE136" s="614"/>
      <c r="BF136" s="614"/>
      <c r="BG136" s="9"/>
      <c r="BH136" s="48"/>
      <c r="BI136" s="386"/>
      <c r="BJ136" s="386"/>
      <c r="BK136" s="386"/>
      <c r="BL136" s="386"/>
      <c r="BM136" s="386"/>
    </row>
    <row r="137" spans="8:65" x14ac:dyDescent="0.2">
      <c r="H137" s="610"/>
      <c r="I137" s="4"/>
      <c r="L137" s="4"/>
      <c r="M137" s="4"/>
      <c r="Q137" s="386"/>
      <c r="R137" s="386"/>
      <c r="S137" s="386"/>
      <c r="T137" s="386"/>
      <c r="V137" s="386"/>
      <c r="W137" s="386"/>
      <c r="X137" s="386"/>
      <c r="Y137" s="386"/>
      <c r="Z137" s="603"/>
      <c r="AA137" s="386"/>
      <c r="AB137" s="386"/>
      <c r="AC137" s="386"/>
      <c r="AE137" s="386"/>
      <c r="AF137" s="386"/>
      <c r="AG137" s="386"/>
      <c r="AH137" s="386"/>
      <c r="AI137" s="386"/>
      <c r="AJ137" s="386"/>
      <c r="AK137" s="386"/>
      <c r="AL137" s="386"/>
      <c r="AN137" s="386"/>
      <c r="AO137" s="386"/>
      <c r="AP137" s="386"/>
      <c r="AQ137" s="386"/>
      <c r="AR137" s="386"/>
      <c r="AS137" s="386"/>
      <c r="AT137" s="386"/>
      <c r="AU137" s="386"/>
      <c r="AV137" s="386"/>
      <c r="AW137" s="386"/>
      <c r="AX137" s="386"/>
      <c r="AY137" s="386"/>
      <c r="AZ137" s="386"/>
      <c r="BA137" s="386"/>
      <c r="BB137" s="386"/>
      <c r="BD137" s="604"/>
      <c r="BE137" s="614"/>
      <c r="BF137" s="614"/>
      <c r="BG137" s="9"/>
      <c r="BH137" s="48"/>
      <c r="BI137" s="386"/>
      <c r="BJ137" s="386"/>
      <c r="BK137" s="386"/>
      <c r="BL137" s="386"/>
      <c r="BM137" s="386"/>
    </row>
    <row r="138" spans="8:65" x14ac:dyDescent="0.2">
      <c r="H138" s="610"/>
      <c r="I138" s="4"/>
      <c r="L138" s="4"/>
      <c r="M138" s="4"/>
      <c r="Q138" s="386"/>
      <c r="R138" s="386"/>
      <c r="S138" s="386"/>
      <c r="T138" s="386"/>
      <c r="V138" s="386"/>
      <c r="W138" s="386"/>
      <c r="X138" s="386"/>
      <c r="Y138" s="386"/>
      <c r="Z138" s="603"/>
      <c r="AA138" s="386"/>
      <c r="AB138" s="386"/>
      <c r="AC138" s="386"/>
      <c r="AE138" s="386"/>
      <c r="AF138" s="386"/>
      <c r="AG138" s="386"/>
      <c r="AH138" s="386"/>
      <c r="AI138" s="386"/>
      <c r="AJ138" s="386"/>
      <c r="AK138" s="386"/>
      <c r="AL138" s="386"/>
      <c r="AN138" s="386"/>
      <c r="AO138" s="386"/>
      <c r="AP138" s="386"/>
      <c r="AQ138" s="386"/>
      <c r="AR138" s="386"/>
      <c r="AS138" s="386"/>
      <c r="AT138" s="386"/>
      <c r="AU138" s="386"/>
      <c r="AV138" s="386"/>
      <c r="AW138" s="386"/>
      <c r="AX138" s="386"/>
      <c r="AY138" s="386"/>
      <c r="AZ138" s="386"/>
      <c r="BA138" s="386"/>
      <c r="BB138" s="386"/>
      <c r="BD138" s="604"/>
      <c r="BE138" s="614"/>
      <c r="BF138" s="614"/>
      <c r="BG138" s="9"/>
      <c r="BH138" s="48"/>
      <c r="BI138" s="386"/>
      <c r="BJ138" s="386"/>
      <c r="BK138" s="386"/>
      <c r="BL138" s="386"/>
      <c r="BM138" s="386"/>
    </row>
    <row r="139" spans="8:65" x14ac:dyDescent="0.2">
      <c r="H139" s="610"/>
      <c r="I139" s="4"/>
      <c r="L139" s="4"/>
      <c r="M139" s="4"/>
      <c r="Q139" s="386"/>
      <c r="R139" s="386"/>
      <c r="S139" s="386"/>
      <c r="T139" s="386"/>
      <c r="V139" s="386"/>
      <c r="W139" s="386"/>
      <c r="X139" s="386"/>
      <c r="Y139" s="386"/>
      <c r="Z139" s="603"/>
      <c r="AA139" s="386"/>
      <c r="AB139" s="386"/>
      <c r="AC139" s="386"/>
      <c r="AE139" s="386"/>
      <c r="AF139" s="386"/>
      <c r="AG139" s="386"/>
      <c r="AH139" s="386"/>
      <c r="AI139" s="386"/>
      <c r="AJ139" s="386"/>
      <c r="AK139" s="386"/>
      <c r="AL139" s="386"/>
      <c r="AN139" s="386"/>
      <c r="AO139" s="386"/>
      <c r="AP139" s="386"/>
      <c r="AQ139" s="386"/>
      <c r="AR139" s="386"/>
      <c r="AS139" s="386"/>
      <c r="AT139" s="386"/>
      <c r="AU139" s="386"/>
      <c r="AV139" s="386"/>
      <c r="AW139" s="386"/>
      <c r="AX139" s="386"/>
      <c r="AY139" s="386"/>
      <c r="AZ139" s="386"/>
      <c r="BA139" s="386"/>
      <c r="BB139" s="386"/>
      <c r="BD139" s="604"/>
      <c r="BE139" s="614"/>
      <c r="BF139" s="614"/>
      <c r="BG139" s="9"/>
      <c r="BH139" s="48"/>
      <c r="BI139" s="386"/>
      <c r="BJ139" s="386"/>
      <c r="BK139" s="386"/>
      <c r="BL139" s="386"/>
      <c r="BM139" s="386"/>
    </row>
    <row r="140" spans="8:65" x14ac:dyDescent="0.2">
      <c r="H140" s="610"/>
      <c r="I140" s="4"/>
      <c r="L140" s="4"/>
      <c r="M140" s="4"/>
      <c r="Q140" s="386"/>
      <c r="R140" s="386"/>
      <c r="S140" s="386"/>
      <c r="T140" s="386"/>
      <c r="V140" s="386"/>
      <c r="W140" s="386"/>
      <c r="X140" s="386"/>
      <c r="Y140" s="386"/>
      <c r="Z140" s="603"/>
      <c r="AA140" s="386"/>
      <c r="AB140" s="386"/>
      <c r="AC140" s="386"/>
      <c r="AE140" s="386"/>
      <c r="AF140" s="386"/>
      <c r="AG140" s="386"/>
      <c r="AH140" s="386"/>
      <c r="AI140" s="386"/>
      <c r="AJ140" s="386"/>
      <c r="AK140" s="386"/>
      <c r="AL140" s="386"/>
      <c r="AN140" s="386"/>
      <c r="AO140" s="386"/>
      <c r="AP140" s="386"/>
      <c r="AQ140" s="386"/>
      <c r="AR140" s="386"/>
      <c r="AS140" s="386"/>
      <c r="AT140" s="386"/>
      <c r="AU140" s="386"/>
      <c r="AV140" s="386"/>
      <c r="AW140" s="386"/>
      <c r="AX140" s="386"/>
      <c r="AY140" s="386"/>
      <c r="AZ140" s="386"/>
      <c r="BA140" s="386"/>
      <c r="BB140" s="386"/>
      <c r="BD140" s="604"/>
      <c r="BE140" s="614"/>
      <c r="BF140" s="614"/>
      <c r="BG140" s="9"/>
      <c r="BH140" s="48"/>
      <c r="BI140" s="386"/>
      <c r="BJ140" s="386"/>
      <c r="BK140" s="386"/>
      <c r="BL140" s="386"/>
      <c r="BM140" s="386"/>
    </row>
    <row r="141" spans="8:65" x14ac:dyDescent="0.2">
      <c r="H141" s="610"/>
      <c r="I141" s="4"/>
      <c r="L141" s="4"/>
      <c r="M141" s="4"/>
      <c r="Q141" s="386"/>
      <c r="R141" s="386"/>
      <c r="S141" s="386"/>
      <c r="T141" s="386"/>
      <c r="V141" s="386"/>
      <c r="W141" s="386"/>
      <c r="X141" s="386"/>
      <c r="Y141" s="386"/>
      <c r="Z141" s="603"/>
      <c r="AA141" s="386"/>
      <c r="AB141" s="386"/>
      <c r="AC141" s="386"/>
      <c r="AE141" s="386"/>
      <c r="AF141" s="386"/>
      <c r="AG141" s="386"/>
      <c r="AH141" s="386"/>
      <c r="AI141" s="386"/>
      <c r="AJ141" s="386"/>
      <c r="AK141" s="386"/>
      <c r="AL141" s="386"/>
      <c r="AN141" s="386"/>
      <c r="AO141" s="386"/>
      <c r="AP141" s="386"/>
      <c r="AQ141" s="386"/>
      <c r="AR141" s="386"/>
      <c r="AS141" s="386"/>
      <c r="AT141" s="386"/>
      <c r="AU141" s="386"/>
      <c r="AV141" s="386"/>
      <c r="AW141" s="386"/>
      <c r="AX141" s="386"/>
      <c r="AY141" s="386"/>
      <c r="AZ141" s="386"/>
      <c r="BA141" s="386"/>
      <c r="BB141" s="386"/>
      <c r="BD141" s="604"/>
      <c r="BE141" s="614"/>
      <c r="BF141" s="614"/>
      <c r="BG141" s="9"/>
      <c r="BH141" s="48"/>
      <c r="BI141" s="386"/>
      <c r="BJ141" s="386"/>
      <c r="BK141" s="386"/>
      <c r="BL141" s="386"/>
      <c r="BM141" s="386"/>
    </row>
    <row r="142" spans="8:65" x14ac:dyDescent="0.2">
      <c r="H142" s="610"/>
      <c r="I142" s="4"/>
      <c r="L142" s="4"/>
      <c r="M142" s="4"/>
      <c r="Q142" s="386"/>
      <c r="R142" s="386"/>
      <c r="S142" s="386"/>
      <c r="T142" s="386"/>
      <c r="V142" s="386"/>
      <c r="W142" s="386"/>
      <c r="X142" s="386"/>
      <c r="Y142" s="386"/>
      <c r="Z142" s="603"/>
      <c r="AA142" s="386"/>
      <c r="AB142" s="386"/>
      <c r="AC142" s="386"/>
      <c r="AE142" s="386"/>
      <c r="AF142" s="386"/>
      <c r="AG142" s="386"/>
      <c r="AH142" s="386"/>
      <c r="AI142" s="386"/>
      <c r="AJ142" s="386"/>
      <c r="AK142" s="386"/>
      <c r="AL142" s="386"/>
      <c r="AN142" s="386"/>
      <c r="AO142" s="386"/>
      <c r="AP142" s="386"/>
      <c r="AQ142" s="386"/>
      <c r="AR142" s="386"/>
      <c r="AS142" s="386"/>
      <c r="AT142" s="386"/>
      <c r="AU142" s="386"/>
      <c r="AV142" s="386"/>
      <c r="AW142" s="386"/>
      <c r="AX142" s="386"/>
      <c r="AY142" s="386"/>
      <c r="AZ142" s="386"/>
      <c r="BA142" s="386"/>
      <c r="BB142" s="386"/>
      <c r="BD142" s="604"/>
      <c r="BE142" s="614"/>
      <c r="BF142" s="614"/>
      <c r="BG142" s="9"/>
      <c r="BH142" s="48"/>
      <c r="BI142" s="386"/>
      <c r="BJ142" s="386"/>
      <c r="BK142" s="386"/>
      <c r="BL142" s="386"/>
      <c r="BM142" s="386"/>
    </row>
    <row r="143" spans="8:65" x14ac:dyDescent="0.2">
      <c r="H143" s="610"/>
      <c r="I143" s="4"/>
      <c r="L143" s="4"/>
      <c r="M143" s="4"/>
      <c r="Q143" s="386"/>
      <c r="R143" s="386"/>
      <c r="S143" s="386"/>
      <c r="T143" s="386"/>
      <c r="V143" s="386"/>
      <c r="W143" s="386"/>
      <c r="X143" s="386"/>
      <c r="Y143" s="386"/>
      <c r="Z143" s="603"/>
      <c r="AA143" s="386"/>
      <c r="AB143" s="386"/>
      <c r="AC143" s="386"/>
      <c r="AE143" s="386"/>
      <c r="AF143" s="386"/>
      <c r="AG143" s="386"/>
      <c r="AH143" s="386"/>
      <c r="AI143" s="386"/>
      <c r="AJ143" s="386"/>
      <c r="AK143" s="386"/>
      <c r="AL143" s="386"/>
      <c r="AN143" s="386"/>
      <c r="AO143" s="386"/>
      <c r="AP143" s="386"/>
      <c r="AQ143" s="386"/>
      <c r="AR143" s="386"/>
      <c r="AS143" s="386"/>
      <c r="AT143" s="386"/>
      <c r="AU143" s="386"/>
      <c r="AV143" s="386"/>
      <c r="AW143" s="386"/>
      <c r="AX143" s="386"/>
      <c r="AY143" s="386"/>
      <c r="AZ143" s="386"/>
      <c r="BA143" s="386"/>
      <c r="BB143" s="386"/>
      <c r="BD143" s="604"/>
      <c r="BE143" s="614"/>
      <c r="BF143" s="614"/>
      <c r="BG143" s="9"/>
      <c r="BH143" s="48"/>
      <c r="BI143" s="386"/>
      <c r="BJ143" s="386"/>
      <c r="BK143" s="386"/>
      <c r="BL143" s="386"/>
      <c r="BM143" s="386"/>
    </row>
    <row r="144" spans="8:65" x14ac:dyDescent="0.2">
      <c r="H144" s="610"/>
      <c r="I144" s="4"/>
      <c r="L144" s="4"/>
      <c r="M144" s="4"/>
      <c r="Q144" s="386"/>
      <c r="R144" s="386"/>
      <c r="S144" s="386"/>
      <c r="T144" s="386"/>
      <c r="V144" s="386"/>
      <c r="W144" s="386"/>
      <c r="X144" s="386"/>
      <c r="Y144" s="386"/>
      <c r="Z144" s="603"/>
      <c r="AA144" s="386"/>
      <c r="AB144" s="386"/>
      <c r="AC144" s="386"/>
      <c r="AE144" s="386"/>
      <c r="AF144" s="386"/>
      <c r="AG144" s="386"/>
      <c r="AH144" s="386"/>
      <c r="AI144" s="386"/>
      <c r="AJ144" s="386"/>
      <c r="AK144" s="386"/>
      <c r="AL144" s="386"/>
      <c r="AN144" s="386"/>
      <c r="AO144" s="386"/>
      <c r="AP144" s="386"/>
      <c r="AQ144" s="386"/>
      <c r="AR144" s="386"/>
      <c r="AS144" s="386"/>
      <c r="AT144" s="386"/>
      <c r="AU144" s="386"/>
      <c r="AV144" s="386"/>
      <c r="AW144" s="386"/>
      <c r="AX144" s="386"/>
      <c r="AY144" s="386"/>
      <c r="AZ144" s="386"/>
      <c r="BA144" s="386"/>
      <c r="BB144" s="386"/>
      <c r="BD144" s="604"/>
      <c r="BE144" s="614"/>
      <c r="BF144" s="614"/>
      <c r="BG144" s="9"/>
      <c r="BH144" s="48"/>
      <c r="BI144" s="386"/>
      <c r="BJ144" s="386"/>
      <c r="BK144" s="386"/>
      <c r="BL144" s="386"/>
      <c r="BM144" s="386"/>
    </row>
    <row r="145" spans="8:65" x14ac:dyDescent="0.2">
      <c r="H145" s="610"/>
      <c r="I145" s="4"/>
      <c r="L145" s="4"/>
      <c r="M145" s="4"/>
      <c r="Q145" s="386"/>
      <c r="R145" s="386"/>
      <c r="S145" s="386"/>
      <c r="T145" s="386"/>
      <c r="V145" s="386"/>
      <c r="W145" s="386"/>
      <c r="X145" s="386"/>
      <c r="Y145" s="386"/>
      <c r="Z145" s="603"/>
      <c r="AA145" s="386"/>
      <c r="AB145" s="386"/>
      <c r="AC145" s="386"/>
      <c r="AE145" s="386"/>
      <c r="AF145" s="386"/>
      <c r="AG145" s="386"/>
      <c r="AH145" s="386"/>
      <c r="AI145" s="386"/>
      <c r="AJ145" s="386"/>
      <c r="AK145" s="386"/>
      <c r="AL145" s="386"/>
      <c r="AN145" s="386"/>
      <c r="AO145" s="386"/>
      <c r="AP145" s="386"/>
      <c r="AQ145" s="386"/>
      <c r="AR145" s="386"/>
      <c r="AS145" s="386"/>
      <c r="AT145" s="386"/>
      <c r="AU145" s="386"/>
      <c r="AV145" s="386"/>
      <c r="AW145" s="386"/>
      <c r="AX145" s="386"/>
      <c r="AY145" s="386"/>
      <c r="AZ145" s="386"/>
      <c r="BA145" s="386"/>
      <c r="BB145" s="386"/>
      <c r="BD145" s="604"/>
      <c r="BE145" s="614"/>
      <c r="BF145" s="614"/>
      <c r="BG145" s="9"/>
      <c r="BH145" s="48"/>
      <c r="BI145" s="386"/>
      <c r="BJ145" s="386"/>
      <c r="BK145" s="386"/>
      <c r="BL145" s="386"/>
      <c r="BM145" s="386"/>
    </row>
    <row r="146" spans="8:65" x14ac:dyDescent="0.2">
      <c r="H146" s="610"/>
      <c r="I146" s="4"/>
      <c r="L146" s="4"/>
      <c r="M146" s="4"/>
      <c r="Q146" s="386"/>
      <c r="R146" s="386"/>
      <c r="S146" s="386"/>
      <c r="T146" s="386"/>
      <c r="V146" s="386"/>
      <c r="W146" s="386"/>
      <c r="X146" s="386"/>
      <c r="Y146" s="386"/>
      <c r="Z146" s="603"/>
      <c r="AA146" s="386"/>
      <c r="AB146" s="386"/>
      <c r="AC146" s="386"/>
      <c r="AE146" s="386"/>
      <c r="AF146" s="386"/>
      <c r="AG146" s="386"/>
      <c r="AH146" s="386"/>
      <c r="AI146" s="386"/>
      <c r="AJ146" s="386"/>
      <c r="AK146" s="386"/>
      <c r="AL146" s="386"/>
      <c r="AN146" s="386"/>
      <c r="AO146" s="386"/>
      <c r="AP146" s="386"/>
      <c r="AQ146" s="386"/>
      <c r="AR146" s="386"/>
      <c r="AS146" s="386"/>
      <c r="AT146" s="386"/>
      <c r="AU146" s="386"/>
      <c r="AV146" s="386"/>
      <c r="AW146" s="386"/>
      <c r="AX146" s="386"/>
      <c r="AY146" s="386"/>
      <c r="AZ146" s="386"/>
      <c r="BA146" s="386"/>
      <c r="BB146" s="386"/>
      <c r="BD146" s="604"/>
      <c r="BE146" s="614"/>
      <c r="BF146" s="614"/>
      <c r="BG146" s="9"/>
      <c r="BH146" s="48"/>
      <c r="BI146" s="386"/>
      <c r="BJ146" s="386"/>
      <c r="BK146" s="386"/>
      <c r="BL146" s="386"/>
      <c r="BM146" s="386"/>
    </row>
    <row r="147" spans="8:65" x14ac:dyDescent="0.2">
      <c r="H147" s="610"/>
      <c r="I147" s="4"/>
      <c r="L147" s="4"/>
      <c r="M147" s="4"/>
      <c r="Q147" s="386"/>
      <c r="R147" s="386"/>
      <c r="S147" s="386"/>
      <c r="T147" s="386"/>
      <c r="V147" s="386"/>
      <c r="W147" s="386"/>
      <c r="X147" s="386"/>
      <c r="Y147" s="386"/>
      <c r="Z147" s="603"/>
      <c r="AA147" s="386"/>
      <c r="AB147" s="386"/>
      <c r="AC147" s="386"/>
      <c r="AE147" s="386"/>
      <c r="AF147" s="386"/>
      <c r="AG147" s="386"/>
      <c r="AH147" s="386"/>
      <c r="AI147" s="386"/>
      <c r="AJ147" s="386"/>
      <c r="AK147" s="386"/>
      <c r="AL147" s="386"/>
      <c r="AN147" s="386"/>
      <c r="AO147" s="386"/>
      <c r="AP147" s="386"/>
      <c r="AQ147" s="386"/>
      <c r="AR147" s="386"/>
      <c r="AS147" s="386"/>
      <c r="AT147" s="386"/>
      <c r="AU147" s="386"/>
      <c r="AV147" s="386"/>
      <c r="AW147" s="386"/>
      <c r="AX147" s="386"/>
      <c r="AY147" s="386"/>
      <c r="AZ147" s="386"/>
      <c r="BA147" s="386"/>
      <c r="BB147" s="386"/>
      <c r="BD147" s="604"/>
      <c r="BE147" s="614"/>
      <c r="BF147" s="614"/>
      <c r="BG147" s="9"/>
      <c r="BH147" s="48"/>
      <c r="BI147" s="386"/>
      <c r="BJ147" s="386"/>
      <c r="BK147" s="386"/>
      <c r="BL147" s="386"/>
      <c r="BM147" s="386"/>
    </row>
    <row r="148" spans="8:65" x14ac:dyDescent="0.2">
      <c r="H148" s="610"/>
      <c r="I148" s="4"/>
      <c r="L148" s="4"/>
      <c r="M148" s="4"/>
      <c r="Q148" s="386"/>
      <c r="R148" s="386"/>
      <c r="S148" s="386"/>
      <c r="T148" s="386"/>
      <c r="V148" s="386"/>
      <c r="W148" s="386"/>
      <c r="X148" s="386"/>
      <c r="Y148" s="386"/>
      <c r="Z148" s="603"/>
      <c r="AA148" s="386"/>
      <c r="AB148" s="386"/>
      <c r="AC148" s="386"/>
      <c r="AE148" s="386"/>
      <c r="AF148" s="386"/>
      <c r="AG148" s="386"/>
      <c r="AH148" s="386"/>
      <c r="AI148" s="386"/>
      <c r="AJ148" s="386"/>
      <c r="AK148" s="386"/>
      <c r="AL148" s="386"/>
      <c r="AN148" s="386"/>
      <c r="AO148" s="386"/>
      <c r="AP148" s="386"/>
      <c r="AQ148" s="386"/>
      <c r="AR148" s="386"/>
      <c r="AS148" s="386"/>
      <c r="AT148" s="386"/>
      <c r="AU148" s="386"/>
      <c r="AV148" s="386"/>
      <c r="AW148" s="386"/>
      <c r="AX148" s="386"/>
      <c r="AY148" s="386"/>
      <c r="AZ148" s="386"/>
      <c r="BA148" s="386"/>
      <c r="BB148" s="386"/>
      <c r="BD148" s="604"/>
      <c r="BE148" s="614"/>
      <c r="BF148" s="614"/>
      <c r="BG148" s="9"/>
      <c r="BH148" s="48"/>
      <c r="BI148" s="386"/>
      <c r="BJ148" s="386"/>
      <c r="BK148" s="386"/>
      <c r="BL148" s="386"/>
      <c r="BM148" s="386"/>
    </row>
    <row r="149" spans="8:65" x14ac:dyDescent="0.2">
      <c r="H149" s="610"/>
      <c r="I149" s="4"/>
      <c r="L149" s="4"/>
      <c r="M149" s="4"/>
      <c r="Q149" s="386"/>
      <c r="R149" s="386"/>
      <c r="S149" s="386"/>
      <c r="T149" s="386"/>
      <c r="V149" s="386"/>
      <c r="W149" s="386"/>
      <c r="X149" s="386"/>
      <c r="Y149" s="386"/>
      <c r="Z149" s="603"/>
      <c r="AA149" s="386"/>
      <c r="AB149" s="386"/>
      <c r="AC149" s="386"/>
      <c r="AE149" s="386"/>
      <c r="AF149" s="386"/>
      <c r="AG149" s="386"/>
      <c r="AH149" s="386"/>
      <c r="AI149" s="386"/>
      <c r="AJ149" s="386"/>
      <c r="AK149" s="386"/>
      <c r="AL149" s="386"/>
      <c r="AN149" s="386"/>
      <c r="AO149" s="386"/>
      <c r="AP149" s="386"/>
      <c r="AQ149" s="386"/>
      <c r="AR149" s="386"/>
      <c r="AS149" s="386"/>
      <c r="AT149" s="386"/>
      <c r="AU149" s="386"/>
      <c r="AV149" s="386"/>
      <c r="AW149" s="386"/>
      <c r="AX149" s="386"/>
      <c r="AY149" s="386"/>
      <c r="AZ149" s="386"/>
      <c r="BA149" s="386"/>
      <c r="BB149" s="386"/>
      <c r="BD149" s="604"/>
      <c r="BE149" s="614"/>
      <c r="BF149" s="614"/>
      <c r="BG149" s="9"/>
      <c r="BH149" s="48"/>
      <c r="BI149" s="386"/>
      <c r="BJ149" s="386"/>
      <c r="BK149" s="386"/>
      <c r="BL149" s="386"/>
      <c r="BM149" s="386"/>
    </row>
    <row r="150" spans="8:65" x14ac:dyDescent="0.2">
      <c r="H150" s="610"/>
      <c r="I150" s="4"/>
      <c r="L150" s="4"/>
      <c r="M150" s="4"/>
      <c r="Q150" s="386"/>
      <c r="R150" s="386"/>
      <c r="S150" s="386"/>
      <c r="T150" s="386"/>
      <c r="V150" s="386"/>
      <c r="W150" s="386"/>
      <c r="X150" s="386"/>
      <c r="Y150" s="386"/>
      <c r="Z150" s="603"/>
      <c r="AA150" s="386"/>
      <c r="AB150" s="386"/>
      <c r="AC150" s="386"/>
      <c r="AE150" s="386"/>
      <c r="AF150" s="386"/>
      <c r="AG150" s="386"/>
      <c r="AH150" s="386"/>
      <c r="AI150" s="386"/>
      <c r="AJ150" s="386"/>
      <c r="AK150" s="386"/>
      <c r="AL150" s="386"/>
      <c r="AN150" s="386"/>
      <c r="AO150" s="386"/>
      <c r="AP150" s="386"/>
      <c r="AQ150" s="386"/>
      <c r="AR150" s="386"/>
      <c r="AS150" s="386"/>
      <c r="AT150" s="386"/>
      <c r="AU150" s="386"/>
      <c r="AV150" s="386"/>
      <c r="AW150" s="386"/>
      <c r="AX150" s="386"/>
      <c r="AY150" s="386"/>
      <c r="AZ150" s="386"/>
      <c r="BA150" s="386"/>
      <c r="BB150" s="386"/>
      <c r="BD150" s="604"/>
      <c r="BE150" s="614"/>
      <c r="BF150" s="614"/>
      <c r="BG150" s="9"/>
      <c r="BH150" s="48"/>
      <c r="BI150" s="386"/>
      <c r="BJ150" s="386"/>
      <c r="BK150" s="386"/>
      <c r="BL150" s="386"/>
      <c r="BM150" s="386"/>
    </row>
    <row r="151" spans="8:65" x14ac:dyDescent="0.2">
      <c r="H151" s="610"/>
      <c r="I151" s="4"/>
      <c r="L151" s="4"/>
      <c r="M151" s="4"/>
      <c r="Q151" s="386"/>
      <c r="R151" s="386"/>
      <c r="S151" s="386"/>
      <c r="T151" s="386"/>
      <c r="V151" s="386"/>
      <c r="W151" s="386"/>
      <c r="X151" s="386"/>
      <c r="Y151" s="386"/>
      <c r="Z151" s="603"/>
      <c r="AA151" s="386"/>
      <c r="AB151" s="386"/>
      <c r="AC151" s="386"/>
      <c r="AE151" s="386"/>
      <c r="AF151" s="386"/>
      <c r="AG151" s="386"/>
      <c r="AH151" s="386"/>
      <c r="AI151" s="386"/>
      <c r="AJ151" s="386"/>
      <c r="AK151" s="386"/>
      <c r="AL151" s="386"/>
      <c r="AN151" s="386"/>
      <c r="AO151" s="386"/>
      <c r="AP151" s="386"/>
      <c r="AQ151" s="386"/>
      <c r="AR151" s="386"/>
      <c r="AS151" s="386"/>
      <c r="AT151" s="386"/>
      <c r="AU151" s="386"/>
      <c r="AV151" s="386"/>
      <c r="AW151" s="386"/>
      <c r="AX151" s="386"/>
      <c r="AY151" s="386"/>
      <c r="AZ151" s="386"/>
      <c r="BA151" s="386"/>
      <c r="BB151" s="386"/>
      <c r="BD151" s="604"/>
      <c r="BE151" s="614"/>
      <c r="BF151" s="614"/>
      <c r="BG151" s="9"/>
      <c r="BH151" s="48"/>
      <c r="BI151" s="386"/>
      <c r="BJ151" s="386"/>
      <c r="BK151" s="386"/>
      <c r="BL151" s="386"/>
      <c r="BM151" s="386"/>
    </row>
    <row r="152" spans="8:65" x14ac:dyDescent="0.2">
      <c r="H152" s="610"/>
      <c r="I152" s="4"/>
      <c r="L152" s="4"/>
      <c r="M152" s="4"/>
      <c r="Q152" s="386"/>
      <c r="R152" s="386"/>
      <c r="S152" s="386"/>
      <c r="T152" s="386"/>
      <c r="V152" s="386"/>
      <c r="W152" s="386"/>
      <c r="X152" s="386"/>
      <c r="Y152" s="386"/>
      <c r="Z152" s="603"/>
      <c r="AA152" s="386"/>
      <c r="AB152" s="386"/>
      <c r="AC152" s="386"/>
      <c r="AE152" s="386"/>
      <c r="AF152" s="386"/>
      <c r="AG152" s="386"/>
      <c r="AH152" s="386"/>
      <c r="AI152" s="386"/>
      <c r="AJ152" s="386"/>
      <c r="AK152" s="386"/>
      <c r="AL152" s="386"/>
      <c r="AN152" s="386"/>
      <c r="AO152" s="386"/>
      <c r="AP152" s="386"/>
      <c r="AQ152" s="386"/>
      <c r="AR152" s="386"/>
      <c r="AS152" s="386"/>
      <c r="AT152" s="386"/>
      <c r="AU152" s="386"/>
      <c r="AV152" s="386"/>
      <c r="AW152" s="386"/>
      <c r="AX152" s="386"/>
      <c r="AY152" s="386"/>
      <c r="AZ152" s="386"/>
      <c r="BA152" s="386"/>
      <c r="BB152" s="386"/>
      <c r="BD152" s="604"/>
      <c r="BE152" s="614"/>
      <c r="BF152" s="614"/>
      <c r="BG152" s="9"/>
      <c r="BH152" s="48"/>
      <c r="BI152" s="386"/>
      <c r="BJ152" s="386"/>
      <c r="BK152" s="386"/>
      <c r="BL152" s="386"/>
      <c r="BM152" s="386"/>
    </row>
    <row r="153" spans="8:65" x14ac:dyDescent="0.2">
      <c r="H153" s="610"/>
      <c r="I153" s="4"/>
      <c r="L153" s="4"/>
      <c r="M153" s="4"/>
      <c r="Q153" s="386"/>
      <c r="R153" s="386"/>
      <c r="S153" s="386"/>
      <c r="T153" s="386"/>
      <c r="V153" s="386"/>
      <c r="W153" s="386"/>
      <c r="X153" s="386"/>
      <c r="Y153" s="386"/>
      <c r="Z153" s="603"/>
      <c r="AA153" s="386"/>
      <c r="AB153" s="386"/>
      <c r="AC153" s="386"/>
      <c r="AE153" s="386"/>
      <c r="AF153" s="386"/>
      <c r="AG153" s="386"/>
      <c r="AH153" s="386"/>
      <c r="AI153" s="386"/>
      <c r="AJ153" s="386"/>
      <c r="AK153" s="386"/>
      <c r="AL153" s="386"/>
      <c r="AN153" s="386"/>
      <c r="AO153" s="386"/>
      <c r="AP153" s="386"/>
      <c r="AQ153" s="386"/>
      <c r="AR153" s="386"/>
      <c r="AS153" s="386"/>
      <c r="AT153" s="386"/>
      <c r="AU153" s="386"/>
      <c r="AV153" s="386"/>
      <c r="AW153" s="386"/>
      <c r="AX153" s="386"/>
      <c r="AY153" s="386"/>
      <c r="AZ153" s="386"/>
      <c r="BA153" s="386"/>
      <c r="BB153" s="386"/>
      <c r="BD153" s="604"/>
      <c r="BE153" s="614"/>
      <c r="BF153" s="614"/>
      <c r="BG153" s="9"/>
      <c r="BH153" s="48"/>
      <c r="BI153" s="386"/>
      <c r="BJ153" s="386"/>
      <c r="BK153" s="386"/>
      <c r="BL153" s="386"/>
      <c r="BM153" s="386"/>
    </row>
    <row r="154" spans="8:65" x14ac:dyDescent="0.2">
      <c r="H154" s="610"/>
      <c r="I154" s="4"/>
      <c r="L154" s="4"/>
      <c r="M154" s="4"/>
      <c r="Q154" s="386"/>
      <c r="R154" s="386"/>
      <c r="S154" s="386"/>
      <c r="T154" s="386"/>
      <c r="V154" s="386"/>
      <c r="W154" s="386"/>
      <c r="X154" s="386"/>
      <c r="Y154" s="386"/>
      <c r="Z154" s="603"/>
      <c r="AA154" s="386"/>
      <c r="AB154" s="386"/>
      <c r="AC154" s="386"/>
      <c r="AE154" s="386"/>
      <c r="AF154" s="386"/>
      <c r="AG154" s="386"/>
      <c r="AH154" s="386"/>
      <c r="AI154" s="386"/>
      <c r="AJ154" s="386"/>
      <c r="AK154" s="386"/>
      <c r="AL154" s="386"/>
      <c r="AN154" s="386"/>
      <c r="AO154" s="386"/>
      <c r="AP154" s="386"/>
      <c r="AQ154" s="386"/>
      <c r="AR154" s="386"/>
      <c r="AS154" s="386"/>
      <c r="AT154" s="386"/>
      <c r="AU154" s="386"/>
      <c r="AV154" s="386"/>
      <c r="AW154" s="386"/>
      <c r="AX154" s="386"/>
      <c r="AY154" s="386"/>
      <c r="AZ154" s="386"/>
      <c r="BA154" s="386"/>
      <c r="BB154" s="386"/>
      <c r="BD154" s="604"/>
      <c r="BE154" s="614"/>
      <c r="BF154" s="614"/>
      <c r="BG154" s="9"/>
      <c r="BH154" s="48"/>
      <c r="BI154" s="386"/>
      <c r="BJ154" s="386"/>
      <c r="BK154" s="386"/>
      <c r="BL154" s="386"/>
      <c r="BM154" s="386"/>
    </row>
    <row r="155" spans="8:65" x14ac:dyDescent="0.2">
      <c r="H155" s="610"/>
      <c r="I155" s="4"/>
      <c r="L155" s="4"/>
      <c r="M155" s="4"/>
      <c r="Q155" s="386"/>
      <c r="R155" s="386"/>
      <c r="S155" s="386"/>
      <c r="T155" s="386"/>
      <c r="V155" s="386"/>
      <c r="W155" s="386"/>
      <c r="X155" s="386"/>
      <c r="Y155" s="386"/>
      <c r="Z155" s="603"/>
      <c r="AA155" s="386"/>
      <c r="AB155" s="386"/>
      <c r="AC155" s="386"/>
      <c r="AE155" s="386"/>
      <c r="AF155" s="386"/>
      <c r="AG155" s="386"/>
      <c r="AH155" s="386"/>
      <c r="AI155" s="386"/>
      <c r="AJ155" s="386"/>
      <c r="AK155" s="386"/>
      <c r="AL155" s="386"/>
      <c r="AN155" s="386"/>
      <c r="AO155" s="386"/>
      <c r="AP155" s="386"/>
      <c r="AQ155" s="386"/>
      <c r="AR155" s="386"/>
      <c r="AS155" s="386"/>
      <c r="AT155" s="386"/>
      <c r="AU155" s="386"/>
      <c r="AV155" s="386"/>
      <c r="AW155" s="386"/>
      <c r="AX155" s="386"/>
      <c r="AY155" s="386"/>
      <c r="AZ155" s="386"/>
      <c r="BA155" s="386"/>
      <c r="BB155" s="386"/>
      <c r="BD155" s="604"/>
      <c r="BE155" s="614"/>
      <c r="BF155" s="614"/>
      <c r="BG155" s="9"/>
      <c r="BH155" s="48"/>
      <c r="BI155" s="386"/>
      <c r="BJ155" s="386"/>
      <c r="BK155" s="386"/>
      <c r="BL155" s="386"/>
      <c r="BM155" s="386"/>
    </row>
    <row r="156" spans="8:65" x14ac:dyDescent="0.2">
      <c r="H156" s="610"/>
      <c r="I156" s="4"/>
      <c r="L156" s="4"/>
      <c r="M156" s="4"/>
      <c r="Q156" s="386"/>
      <c r="R156" s="386"/>
      <c r="S156" s="386"/>
      <c r="T156" s="386"/>
      <c r="V156" s="386"/>
      <c r="W156" s="386"/>
      <c r="X156" s="386"/>
      <c r="Y156" s="386"/>
      <c r="Z156" s="603"/>
      <c r="AA156" s="386"/>
      <c r="AB156" s="386"/>
      <c r="AC156" s="386"/>
      <c r="AE156" s="386"/>
      <c r="AF156" s="386"/>
      <c r="AG156" s="386"/>
      <c r="AH156" s="386"/>
      <c r="AI156" s="386"/>
      <c r="AJ156" s="386"/>
      <c r="AK156" s="386"/>
      <c r="AL156" s="386"/>
      <c r="AN156" s="386"/>
      <c r="AO156" s="386"/>
      <c r="AP156" s="386"/>
      <c r="AQ156" s="386"/>
      <c r="AR156" s="386"/>
      <c r="AS156" s="386"/>
      <c r="AT156" s="386"/>
      <c r="AU156" s="386"/>
      <c r="AV156" s="386"/>
      <c r="AW156" s="386"/>
      <c r="AX156" s="386"/>
      <c r="AY156" s="386"/>
      <c r="AZ156" s="386"/>
      <c r="BA156" s="386"/>
      <c r="BB156" s="386"/>
      <c r="BD156" s="604"/>
      <c r="BE156" s="614"/>
      <c r="BF156" s="614"/>
      <c r="BG156" s="9"/>
      <c r="BH156" s="48"/>
      <c r="BI156" s="386"/>
      <c r="BJ156" s="386"/>
      <c r="BK156" s="386"/>
      <c r="BL156" s="386"/>
      <c r="BM156" s="386"/>
    </row>
    <row r="157" spans="8:65" x14ac:dyDescent="0.2">
      <c r="H157" s="610"/>
      <c r="I157" s="4"/>
      <c r="L157" s="4"/>
      <c r="M157" s="4"/>
      <c r="Q157" s="386"/>
      <c r="R157" s="386"/>
      <c r="S157" s="386"/>
      <c r="T157" s="386"/>
      <c r="V157" s="386"/>
      <c r="W157" s="386"/>
      <c r="X157" s="386"/>
      <c r="Y157" s="386"/>
      <c r="Z157" s="603"/>
      <c r="AA157" s="386"/>
      <c r="AB157" s="386"/>
      <c r="AC157" s="386"/>
      <c r="AE157" s="386"/>
      <c r="AF157" s="386"/>
      <c r="AG157" s="386"/>
      <c r="AH157" s="386"/>
      <c r="AI157" s="386"/>
      <c r="AJ157" s="386"/>
      <c r="AK157" s="386"/>
      <c r="AL157" s="386"/>
      <c r="AN157" s="386"/>
      <c r="AO157" s="386"/>
      <c r="AP157" s="386"/>
      <c r="AQ157" s="386"/>
      <c r="AR157" s="386"/>
      <c r="AS157" s="386"/>
      <c r="AT157" s="386"/>
      <c r="AU157" s="386"/>
      <c r="AV157" s="386"/>
      <c r="AW157" s="386"/>
      <c r="AX157" s="386"/>
      <c r="AY157" s="386"/>
      <c r="AZ157" s="386"/>
      <c r="BA157" s="386"/>
      <c r="BB157" s="386"/>
      <c r="BD157" s="604"/>
      <c r="BE157" s="614"/>
      <c r="BF157" s="614"/>
      <c r="BG157" s="9"/>
      <c r="BH157" s="48"/>
      <c r="BI157" s="386"/>
      <c r="BJ157" s="386"/>
      <c r="BK157" s="386"/>
      <c r="BL157" s="386"/>
      <c r="BM157" s="386"/>
    </row>
    <row r="158" spans="8:65" x14ac:dyDescent="0.2">
      <c r="H158" s="610"/>
      <c r="I158" s="4"/>
      <c r="L158" s="4"/>
      <c r="M158" s="4"/>
      <c r="Q158" s="386"/>
      <c r="R158" s="386"/>
      <c r="S158" s="386"/>
      <c r="T158" s="386"/>
      <c r="V158" s="386"/>
      <c r="W158" s="386"/>
      <c r="X158" s="386"/>
      <c r="Y158" s="386"/>
      <c r="Z158" s="603"/>
      <c r="AA158" s="386"/>
      <c r="AB158" s="386"/>
      <c r="AC158" s="386"/>
      <c r="AE158" s="386"/>
      <c r="AF158" s="386"/>
      <c r="AG158" s="386"/>
      <c r="AH158" s="386"/>
      <c r="AI158" s="386"/>
      <c r="AJ158" s="386"/>
      <c r="AK158" s="386"/>
      <c r="AL158" s="386"/>
      <c r="AN158" s="386"/>
      <c r="AO158" s="386"/>
      <c r="AP158" s="386"/>
      <c r="AQ158" s="386"/>
      <c r="AR158" s="386"/>
      <c r="AS158" s="386"/>
      <c r="AT158" s="386"/>
      <c r="AU158" s="386"/>
      <c r="AV158" s="386"/>
      <c r="AW158" s="386"/>
      <c r="AX158" s="386"/>
      <c r="AY158" s="386"/>
      <c r="AZ158" s="386"/>
      <c r="BA158" s="386"/>
      <c r="BB158" s="386"/>
      <c r="BD158" s="604"/>
      <c r="BE158" s="614"/>
      <c r="BF158" s="614"/>
      <c r="BG158" s="9"/>
      <c r="BH158" s="48"/>
      <c r="BI158" s="386"/>
      <c r="BJ158" s="386"/>
      <c r="BK158" s="386"/>
      <c r="BL158" s="386"/>
      <c r="BM158" s="386"/>
    </row>
    <row r="159" spans="8:65" x14ac:dyDescent="0.2">
      <c r="H159" s="610"/>
      <c r="I159" s="4"/>
      <c r="L159" s="4"/>
      <c r="M159" s="4"/>
      <c r="Q159" s="386"/>
      <c r="R159" s="386"/>
      <c r="S159" s="386"/>
      <c r="T159" s="386"/>
      <c r="V159" s="386"/>
      <c r="W159" s="386"/>
      <c r="X159" s="386"/>
      <c r="Y159" s="386"/>
      <c r="Z159" s="603"/>
      <c r="AA159" s="386"/>
      <c r="AB159" s="386"/>
      <c r="AC159" s="386"/>
      <c r="AE159" s="386"/>
      <c r="AF159" s="386"/>
      <c r="AG159" s="386"/>
      <c r="AH159" s="386"/>
      <c r="AI159" s="386"/>
      <c r="AJ159" s="386"/>
      <c r="AK159" s="386"/>
      <c r="AL159" s="386"/>
      <c r="AN159" s="386"/>
      <c r="AO159" s="386"/>
      <c r="AP159" s="386"/>
      <c r="AQ159" s="386"/>
      <c r="AR159" s="386"/>
      <c r="AS159" s="386"/>
      <c r="AT159" s="386"/>
      <c r="AU159" s="386"/>
      <c r="AV159" s="386"/>
      <c r="AW159" s="386"/>
      <c r="AX159" s="386"/>
      <c r="AY159" s="386"/>
      <c r="AZ159" s="386"/>
      <c r="BA159" s="386"/>
      <c r="BB159" s="386"/>
      <c r="BD159" s="604"/>
      <c r="BE159" s="614"/>
      <c r="BF159" s="614"/>
      <c r="BG159" s="9"/>
      <c r="BH159" s="48"/>
      <c r="BI159" s="386"/>
      <c r="BJ159" s="386"/>
      <c r="BK159" s="386"/>
      <c r="BL159" s="386"/>
      <c r="BM159" s="386"/>
    </row>
    <row r="160" spans="8:65" x14ac:dyDescent="0.2">
      <c r="H160" s="610"/>
      <c r="I160" s="4"/>
      <c r="L160" s="4"/>
      <c r="M160" s="4"/>
      <c r="Q160" s="386"/>
      <c r="R160" s="386"/>
      <c r="S160" s="386"/>
      <c r="T160" s="386"/>
      <c r="V160" s="386"/>
      <c r="W160" s="386"/>
      <c r="X160" s="386"/>
      <c r="Y160" s="386"/>
      <c r="Z160" s="603"/>
      <c r="AA160" s="386"/>
      <c r="AB160" s="386"/>
      <c r="AC160" s="386"/>
      <c r="AE160" s="386"/>
      <c r="AF160" s="386"/>
      <c r="AG160" s="386"/>
      <c r="AH160" s="386"/>
      <c r="AI160" s="386"/>
      <c r="AJ160" s="386"/>
      <c r="AK160" s="386"/>
      <c r="AL160" s="386"/>
      <c r="AN160" s="386"/>
      <c r="AO160" s="386"/>
      <c r="AP160" s="386"/>
      <c r="AQ160" s="386"/>
      <c r="AR160" s="386"/>
      <c r="AS160" s="386"/>
      <c r="AT160" s="386"/>
      <c r="AU160" s="386"/>
      <c r="AV160" s="386"/>
      <c r="AW160" s="386"/>
      <c r="AX160" s="386"/>
      <c r="AY160" s="386"/>
      <c r="AZ160" s="386"/>
      <c r="BA160" s="386"/>
      <c r="BB160" s="386"/>
      <c r="BD160" s="604"/>
      <c r="BE160" s="614"/>
      <c r="BF160" s="614"/>
      <c r="BG160" s="9"/>
      <c r="BH160" s="48"/>
      <c r="BI160" s="386"/>
      <c r="BJ160" s="386"/>
      <c r="BK160" s="386"/>
      <c r="BL160" s="386"/>
      <c r="BM160" s="386"/>
    </row>
    <row r="161" spans="8:65" x14ac:dyDescent="0.2">
      <c r="H161" s="610"/>
      <c r="I161" s="4"/>
      <c r="L161" s="4"/>
      <c r="M161" s="4"/>
      <c r="Q161" s="386"/>
      <c r="R161" s="386"/>
      <c r="S161" s="386"/>
      <c r="T161" s="386"/>
      <c r="V161" s="386"/>
      <c r="W161" s="386"/>
      <c r="X161" s="386"/>
      <c r="Y161" s="386"/>
      <c r="Z161" s="603"/>
      <c r="AA161" s="386"/>
      <c r="AB161" s="386"/>
      <c r="AC161" s="386"/>
      <c r="AE161" s="386"/>
      <c r="AF161" s="386"/>
      <c r="AG161" s="386"/>
      <c r="AH161" s="386"/>
      <c r="AI161" s="386"/>
      <c r="AJ161" s="386"/>
      <c r="AK161" s="386"/>
      <c r="AL161" s="386"/>
      <c r="AN161" s="386"/>
      <c r="AO161" s="386"/>
      <c r="AP161" s="386"/>
      <c r="AQ161" s="386"/>
      <c r="AR161" s="386"/>
      <c r="AS161" s="386"/>
      <c r="AT161" s="386"/>
      <c r="AU161" s="386"/>
      <c r="AV161" s="386"/>
      <c r="AW161" s="386"/>
      <c r="AX161" s="386"/>
      <c r="AY161" s="386"/>
      <c r="AZ161" s="386"/>
      <c r="BA161" s="386"/>
      <c r="BB161" s="386"/>
      <c r="BD161" s="604"/>
      <c r="BE161" s="614"/>
      <c r="BF161" s="614"/>
      <c r="BG161" s="9"/>
      <c r="BH161" s="48"/>
      <c r="BI161" s="386"/>
      <c r="BJ161" s="386"/>
      <c r="BK161" s="386"/>
      <c r="BL161" s="386"/>
      <c r="BM161" s="386"/>
    </row>
    <row r="162" spans="8:65" x14ac:dyDescent="0.2">
      <c r="H162" s="610"/>
      <c r="I162" s="4"/>
      <c r="L162" s="4"/>
      <c r="M162" s="4"/>
      <c r="Q162" s="386"/>
      <c r="R162" s="386"/>
      <c r="S162" s="386"/>
      <c r="T162" s="386"/>
      <c r="V162" s="386"/>
      <c r="W162" s="386"/>
      <c r="X162" s="386"/>
      <c r="Y162" s="386"/>
      <c r="Z162" s="603"/>
      <c r="AA162" s="386"/>
      <c r="AB162" s="386"/>
      <c r="AC162" s="386"/>
      <c r="AE162" s="386"/>
      <c r="AF162" s="386"/>
      <c r="AG162" s="386"/>
      <c r="AH162" s="386"/>
      <c r="AI162" s="386"/>
      <c r="AJ162" s="386"/>
      <c r="AK162" s="386"/>
      <c r="AL162" s="386"/>
      <c r="AN162" s="386"/>
      <c r="AO162" s="386"/>
      <c r="AP162" s="386"/>
      <c r="AQ162" s="386"/>
      <c r="AR162" s="386"/>
      <c r="AS162" s="386"/>
      <c r="AT162" s="386"/>
      <c r="AU162" s="386"/>
      <c r="AV162" s="386"/>
      <c r="AW162" s="386"/>
      <c r="AX162" s="386"/>
      <c r="AY162" s="386"/>
      <c r="AZ162" s="386"/>
      <c r="BA162" s="386"/>
      <c r="BB162" s="386"/>
      <c r="BD162" s="604"/>
      <c r="BE162" s="614"/>
      <c r="BF162" s="614"/>
      <c r="BG162" s="9"/>
      <c r="BH162" s="48"/>
      <c r="BI162" s="386"/>
      <c r="BJ162" s="386"/>
      <c r="BK162" s="386"/>
      <c r="BL162" s="386"/>
      <c r="BM162" s="386"/>
    </row>
    <row r="163" spans="8:65" x14ac:dyDescent="0.2">
      <c r="H163" s="610"/>
      <c r="I163" s="4"/>
      <c r="L163" s="4"/>
      <c r="M163" s="4"/>
      <c r="Q163" s="386"/>
      <c r="R163" s="386"/>
      <c r="S163" s="386"/>
      <c r="T163" s="386"/>
      <c r="V163" s="386"/>
      <c r="W163" s="386"/>
      <c r="X163" s="386"/>
      <c r="Y163" s="386"/>
      <c r="Z163" s="603"/>
      <c r="AA163" s="386"/>
      <c r="AB163" s="386"/>
      <c r="AC163" s="386"/>
      <c r="AE163" s="386"/>
      <c r="AF163" s="386"/>
      <c r="AG163" s="386"/>
      <c r="AH163" s="386"/>
      <c r="AI163" s="386"/>
      <c r="AJ163" s="386"/>
      <c r="AK163" s="386"/>
      <c r="AL163" s="386"/>
      <c r="AN163" s="386"/>
      <c r="AO163" s="386"/>
      <c r="AP163" s="386"/>
      <c r="AQ163" s="386"/>
      <c r="AR163" s="386"/>
      <c r="AS163" s="386"/>
      <c r="AT163" s="386"/>
      <c r="AU163" s="386"/>
      <c r="AV163" s="386"/>
      <c r="AW163" s="386"/>
      <c r="AX163" s="386"/>
      <c r="AY163" s="386"/>
      <c r="AZ163" s="386"/>
      <c r="BA163" s="386"/>
      <c r="BB163" s="386"/>
      <c r="BD163" s="604"/>
      <c r="BE163" s="614"/>
      <c r="BF163" s="614"/>
      <c r="BG163" s="9"/>
      <c r="BH163" s="48"/>
      <c r="BI163" s="386"/>
      <c r="BJ163" s="386"/>
      <c r="BK163" s="386"/>
      <c r="BL163" s="386"/>
      <c r="BM163" s="386"/>
    </row>
    <row r="164" spans="8:65" x14ac:dyDescent="0.2">
      <c r="H164" s="610"/>
      <c r="I164" s="4"/>
      <c r="L164" s="4"/>
      <c r="M164" s="4"/>
      <c r="Q164" s="386"/>
      <c r="R164" s="386"/>
      <c r="S164" s="386"/>
      <c r="T164" s="386"/>
      <c r="V164" s="386"/>
      <c r="W164" s="386"/>
      <c r="X164" s="386"/>
      <c r="Y164" s="386"/>
      <c r="Z164" s="603"/>
      <c r="AA164" s="386"/>
      <c r="AB164" s="386"/>
      <c r="AC164" s="386"/>
      <c r="AE164" s="386"/>
      <c r="AF164" s="386"/>
      <c r="AG164" s="386"/>
      <c r="AH164" s="386"/>
      <c r="AI164" s="386"/>
      <c r="AJ164" s="386"/>
      <c r="AK164" s="386"/>
      <c r="AL164" s="386"/>
      <c r="AN164" s="386"/>
      <c r="AO164" s="386"/>
      <c r="AP164" s="386"/>
      <c r="AQ164" s="386"/>
      <c r="AR164" s="386"/>
      <c r="AS164" s="386"/>
      <c r="AT164" s="386"/>
      <c r="AU164" s="386"/>
      <c r="AV164" s="386"/>
      <c r="AW164" s="386"/>
      <c r="AX164" s="386"/>
      <c r="AY164" s="386"/>
      <c r="AZ164" s="386"/>
      <c r="BA164" s="386"/>
      <c r="BB164" s="386"/>
      <c r="BD164" s="604"/>
      <c r="BE164" s="614"/>
      <c r="BF164" s="614"/>
      <c r="BG164" s="9"/>
      <c r="BH164" s="48"/>
      <c r="BI164" s="386"/>
      <c r="BJ164" s="386"/>
      <c r="BK164" s="386"/>
      <c r="BL164" s="386"/>
      <c r="BM164" s="386"/>
    </row>
    <row r="165" spans="8:65" x14ac:dyDescent="0.2">
      <c r="H165" s="610"/>
      <c r="I165" s="4"/>
      <c r="L165" s="4"/>
      <c r="M165" s="4"/>
      <c r="Q165" s="386"/>
      <c r="R165" s="386"/>
      <c r="S165" s="386"/>
      <c r="T165" s="386"/>
      <c r="V165" s="386"/>
      <c r="W165" s="386"/>
      <c r="X165" s="386"/>
      <c r="Y165" s="386"/>
      <c r="Z165" s="603"/>
      <c r="AA165" s="386"/>
      <c r="AB165" s="386"/>
      <c r="AC165" s="386"/>
      <c r="AE165" s="386"/>
      <c r="AF165" s="386"/>
      <c r="AG165" s="386"/>
      <c r="AH165" s="386"/>
      <c r="AI165" s="386"/>
      <c r="AJ165" s="386"/>
      <c r="AK165" s="386"/>
      <c r="AL165" s="386"/>
      <c r="AN165" s="386"/>
      <c r="AO165" s="386"/>
      <c r="AP165" s="386"/>
      <c r="AQ165" s="386"/>
      <c r="AR165" s="386"/>
      <c r="AS165" s="386"/>
      <c r="AT165" s="386"/>
      <c r="AU165" s="386"/>
      <c r="AV165" s="386"/>
      <c r="AW165" s="386"/>
      <c r="AX165" s="386"/>
      <c r="AY165" s="386"/>
      <c r="AZ165" s="386"/>
      <c r="BA165" s="386"/>
      <c r="BB165" s="386"/>
      <c r="BD165" s="604"/>
      <c r="BE165" s="614"/>
      <c r="BF165" s="614"/>
      <c r="BG165" s="9"/>
      <c r="BH165" s="48"/>
      <c r="BI165" s="386"/>
      <c r="BJ165" s="386"/>
      <c r="BK165" s="386"/>
      <c r="BL165" s="386"/>
      <c r="BM165" s="386"/>
    </row>
    <row r="166" spans="8:65" x14ac:dyDescent="0.2">
      <c r="H166" s="610"/>
      <c r="I166" s="4"/>
      <c r="L166" s="4"/>
      <c r="M166" s="4"/>
      <c r="Q166" s="386"/>
      <c r="R166" s="386"/>
      <c r="S166" s="386"/>
      <c r="T166" s="386"/>
      <c r="V166" s="386"/>
      <c r="W166" s="386"/>
      <c r="X166" s="386"/>
      <c r="Y166" s="386"/>
      <c r="Z166" s="603"/>
      <c r="AA166" s="386"/>
      <c r="AB166" s="386"/>
      <c r="AC166" s="386"/>
      <c r="AE166" s="386"/>
      <c r="AF166" s="386"/>
      <c r="AG166" s="386"/>
      <c r="AH166" s="386"/>
      <c r="AI166" s="386"/>
      <c r="AJ166" s="386"/>
      <c r="AK166" s="386"/>
      <c r="AL166" s="386"/>
      <c r="AN166" s="386"/>
      <c r="AO166" s="386"/>
      <c r="AP166" s="386"/>
      <c r="AQ166" s="386"/>
      <c r="AR166" s="386"/>
      <c r="AS166" s="386"/>
      <c r="AT166" s="386"/>
      <c r="AU166" s="386"/>
      <c r="AV166" s="386"/>
      <c r="AW166" s="386"/>
      <c r="AX166" s="386"/>
      <c r="AY166" s="386"/>
      <c r="AZ166" s="386"/>
      <c r="BA166" s="386"/>
      <c r="BB166" s="386"/>
      <c r="BD166" s="604"/>
      <c r="BE166" s="614"/>
      <c r="BF166" s="614"/>
      <c r="BG166" s="9"/>
      <c r="BH166" s="48"/>
      <c r="BI166" s="386"/>
      <c r="BJ166" s="386"/>
      <c r="BK166" s="386"/>
      <c r="BL166" s="386"/>
      <c r="BM166" s="386"/>
    </row>
    <row r="167" spans="8:65" x14ac:dyDescent="0.2">
      <c r="H167" s="610"/>
      <c r="I167" s="4"/>
      <c r="L167" s="4"/>
      <c r="M167" s="4"/>
      <c r="Q167" s="386"/>
      <c r="R167" s="386"/>
      <c r="S167" s="386"/>
      <c r="T167" s="386"/>
      <c r="V167" s="386"/>
      <c r="W167" s="386"/>
      <c r="X167" s="386"/>
      <c r="Y167" s="386"/>
      <c r="Z167" s="603"/>
      <c r="AA167" s="386"/>
      <c r="AB167" s="386"/>
      <c r="AC167" s="386"/>
      <c r="AE167" s="386"/>
      <c r="AF167" s="386"/>
      <c r="AG167" s="386"/>
      <c r="AH167" s="386"/>
      <c r="AI167" s="386"/>
      <c r="AJ167" s="386"/>
      <c r="AK167" s="386"/>
      <c r="AL167" s="386"/>
      <c r="AN167" s="386"/>
      <c r="AO167" s="386"/>
      <c r="AP167" s="386"/>
      <c r="AQ167" s="386"/>
      <c r="AR167" s="386"/>
      <c r="AS167" s="386"/>
      <c r="AT167" s="386"/>
      <c r="AU167" s="386"/>
      <c r="AV167" s="386"/>
      <c r="AW167" s="386"/>
      <c r="AX167" s="386"/>
      <c r="AY167" s="386"/>
      <c r="AZ167" s="386"/>
      <c r="BA167" s="386"/>
      <c r="BB167" s="386"/>
      <c r="BD167" s="604"/>
      <c r="BE167" s="614"/>
      <c r="BF167" s="614"/>
      <c r="BG167" s="9"/>
      <c r="BH167" s="48"/>
      <c r="BI167" s="386"/>
      <c r="BJ167" s="386"/>
      <c r="BK167" s="386"/>
      <c r="BL167" s="386"/>
      <c r="BM167" s="386"/>
    </row>
    <row r="168" spans="8:65" x14ac:dyDescent="0.2">
      <c r="H168" s="610"/>
      <c r="I168" s="4"/>
      <c r="L168" s="4"/>
      <c r="M168" s="4"/>
      <c r="Q168" s="386"/>
      <c r="R168" s="386"/>
      <c r="S168" s="386"/>
      <c r="T168" s="386"/>
      <c r="V168" s="386"/>
      <c r="W168" s="386"/>
      <c r="X168" s="386"/>
      <c r="Y168" s="386"/>
      <c r="Z168" s="603"/>
      <c r="AA168" s="386"/>
      <c r="AB168" s="386"/>
      <c r="AC168" s="386"/>
      <c r="AE168" s="386"/>
      <c r="AF168" s="386"/>
      <c r="AG168" s="386"/>
      <c r="AH168" s="386"/>
      <c r="AI168" s="386"/>
      <c r="AJ168" s="386"/>
      <c r="AK168" s="386"/>
      <c r="AL168" s="386"/>
      <c r="AN168" s="386"/>
      <c r="AO168" s="386"/>
      <c r="AP168" s="386"/>
      <c r="AQ168" s="386"/>
      <c r="AR168" s="386"/>
      <c r="AS168" s="386"/>
      <c r="AT168" s="386"/>
      <c r="AU168" s="386"/>
      <c r="AV168" s="386"/>
      <c r="AW168" s="386"/>
      <c r="AX168" s="386"/>
      <c r="AY168" s="386"/>
      <c r="AZ168" s="386"/>
      <c r="BA168" s="386"/>
      <c r="BB168" s="386"/>
      <c r="BD168" s="604"/>
      <c r="BE168" s="614"/>
      <c r="BF168" s="614"/>
      <c r="BG168" s="9"/>
      <c r="BH168" s="48"/>
      <c r="BI168" s="386"/>
      <c r="BJ168" s="386"/>
      <c r="BK168" s="386"/>
      <c r="BL168" s="386"/>
      <c r="BM168" s="386"/>
    </row>
    <row r="169" spans="8:65" x14ac:dyDescent="0.2">
      <c r="H169" s="610"/>
      <c r="I169" s="4"/>
      <c r="L169" s="4"/>
      <c r="M169" s="4"/>
      <c r="Q169" s="386"/>
      <c r="R169" s="386"/>
      <c r="S169" s="386"/>
      <c r="T169" s="386"/>
      <c r="V169" s="386"/>
      <c r="W169" s="386"/>
      <c r="X169" s="386"/>
      <c r="Y169" s="386"/>
      <c r="Z169" s="603"/>
      <c r="AA169" s="386"/>
      <c r="AB169" s="386"/>
      <c r="AC169" s="386"/>
      <c r="AE169" s="386"/>
      <c r="AF169" s="386"/>
      <c r="AG169" s="386"/>
      <c r="AH169" s="386"/>
      <c r="AI169" s="386"/>
      <c r="AJ169" s="386"/>
      <c r="AK169" s="386"/>
      <c r="AL169" s="386"/>
      <c r="AN169" s="386"/>
      <c r="AO169" s="386"/>
      <c r="AP169" s="386"/>
      <c r="AQ169" s="386"/>
      <c r="AR169" s="386"/>
      <c r="AS169" s="386"/>
      <c r="AT169" s="386"/>
      <c r="AU169" s="386"/>
      <c r="AV169" s="386"/>
      <c r="AW169" s="386"/>
      <c r="AX169" s="386"/>
      <c r="AY169" s="386"/>
      <c r="AZ169" s="386"/>
      <c r="BA169" s="386"/>
      <c r="BB169" s="386"/>
      <c r="BD169" s="604"/>
      <c r="BE169" s="614"/>
      <c r="BF169" s="614"/>
      <c r="BG169" s="9"/>
      <c r="BH169" s="48"/>
      <c r="BI169" s="386"/>
      <c r="BJ169" s="386"/>
      <c r="BK169" s="386"/>
      <c r="BL169" s="386"/>
      <c r="BM169" s="386"/>
    </row>
    <row r="170" spans="8:65" x14ac:dyDescent="0.2">
      <c r="H170" s="610"/>
      <c r="I170" s="4"/>
      <c r="L170" s="4"/>
      <c r="M170" s="4"/>
      <c r="Q170" s="386"/>
      <c r="R170" s="386"/>
      <c r="S170" s="386"/>
      <c r="T170" s="386"/>
      <c r="V170" s="386"/>
      <c r="W170" s="386"/>
      <c r="X170" s="386"/>
      <c r="Y170" s="386"/>
      <c r="Z170" s="603"/>
      <c r="AA170" s="386"/>
      <c r="AB170" s="386"/>
      <c r="AC170" s="386"/>
      <c r="AE170" s="386"/>
      <c r="AF170" s="386"/>
      <c r="AG170" s="386"/>
      <c r="AH170" s="386"/>
      <c r="AI170" s="386"/>
      <c r="AJ170" s="386"/>
      <c r="AK170" s="386"/>
      <c r="AL170" s="386"/>
      <c r="AN170" s="386"/>
      <c r="AO170" s="386"/>
      <c r="AP170" s="386"/>
      <c r="AQ170" s="386"/>
      <c r="AR170" s="386"/>
      <c r="AS170" s="386"/>
      <c r="AT170" s="386"/>
      <c r="AU170" s="386"/>
      <c r="AV170" s="386"/>
      <c r="AW170" s="386"/>
      <c r="AX170" s="386"/>
      <c r="AY170" s="386"/>
      <c r="AZ170" s="386"/>
      <c r="BA170" s="386"/>
      <c r="BB170" s="386"/>
      <c r="BD170" s="604"/>
      <c r="BE170" s="614"/>
      <c r="BF170" s="614"/>
      <c r="BG170" s="9"/>
      <c r="BH170" s="48"/>
      <c r="BI170" s="386"/>
      <c r="BJ170" s="386"/>
      <c r="BK170" s="386"/>
      <c r="BL170" s="386"/>
      <c r="BM170" s="386"/>
    </row>
    <row r="171" spans="8:65" x14ac:dyDescent="0.2">
      <c r="H171" s="610"/>
      <c r="I171" s="4"/>
      <c r="L171" s="4"/>
      <c r="M171" s="4"/>
      <c r="Q171" s="386"/>
      <c r="R171" s="386"/>
      <c r="S171" s="386"/>
      <c r="T171" s="386"/>
      <c r="V171" s="386"/>
      <c r="W171" s="386"/>
      <c r="X171" s="386"/>
      <c r="Y171" s="386"/>
      <c r="Z171" s="603"/>
      <c r="AA171" s="386"/>
      <c r="AB171" s="386"/>
      <c r="AC171" s="386"/>
      <c r="AE171" s="386"/>
      <c r="AF171" s="386"/>
      <c r="AG171" s="386"/>
      <c r="AH171" s="386"/>
      <c r="AI171" s="386"/>
      <c r="AJ171" s="386"/>
      <c r="AK171" s="386"/>
      <c r="AL171" s="386"/>
      <c r="AN171" s="386"/>
      <c r="AO171" s="386"/>
      <c r="AP171" s="386"/>
      <c r="AQ171" s="386"/>
      <c r="AR171" s="386"/>
      <c r="AS171" s="386"/>
      <c r="AT171" s="386"/>
      <c r="AU171" s="386"/>
      <c r="AV171" s="386"/>
      <c r="AW171" s="386"/>
      <c r="AX171" s="386"/>
      <c r="AY171" s="386"/>
      <c r="AZ171" s="386"/>
      <c r="BA171" s="386"/>
      <c r="BB171" s="386"/>
      <c r="BD171" s="604"/>
      <c r="BE171" s="614"/>
      <c r="BF171" s="614"/>
      <c r="BG171" s="9"/>
      <c r="BH171" s="48"/>
      <c r="BI171" s="386"/>
      <c r="BJ171" s="386"/>
      <c r="BK171" s="386"/>
      <c r="BL171" s="386"/>
      <c r="BM171" s="386"/>
    </row>
    <row r="172" spans="8:65" x14ac:dyDescent="0.2">
      <c r="H172" s="610"/>
      <c r="I172" s="4"/>
      <c r="L172" s="4"/>
      <c r="M172" s="4"/>
      <c r="Q172" s="386"/>
      <c r="R172" s="386"/>
      <c r="S172" s="386"/>
      <c r="T172" s="386"/>
      <c r="V172" s="386"/>
      <c r="W172" s="386"/>
      <c r="X172" s="386"/>
      <c r="Y172" s="386"/>
      <c r="Z172" s="603"/>
      <c r="AA172" s="386"/>
      <c r="AB172" s="386"/>
      <c r="AC172" s="386"/>
      <c r="AE172" s="386"/>
      <c r="AF172" s="386"/>
      <c r="AG172" s="386"/>
      <c r="AH172" s="386"/>
      <c r="AI172" s="386"/>
      <c r="AJ172" s="386"/>
      <c r="AK172" s="386"/>
      <c r="AL172" s="386"/>
      <c r="AN172" s="386"/>
      <c r="AO172" s="386"/>
      <c r="AP172" s="386"/>
      <c r="AQ172" s="386"/>
      <c r="AR172" s="386"/>
      <c r="AS172" s="386"/>
      <c r="AT172" s="386"/>
      <c r="AU172" s="386"/>
      <c r="AV172" s="386"/>
      <c r="AW172" s="386"/>
      <c r="AX172" s="386"/>
      <c r="AY172" s="386"/>
      <c r="AZ172" s="386"/>
      <c r="BA172" s="386"/>
      <c r="BB172" s="386"/>
      <c r="BD172" s="604"/>
      <c r="BE172" s="614"/>
      <c r="BF172" s="614"/>
      <c r="BG172" s="9"/>
      <c r="BH172" s="48"/>
      <c r="BI172" s="386"/>
      <c r="BJ172" s="386"/>
      <c r="BK172" s="386"/>
      <c r="BL172" s="386"/>
      <c r="BM172" s="386"/>
    </row>
    <row r="173" spans="8:65" x14ac:dyDescent="0.2">
      <c r="H173" s="610"/>
      <c r="I173" s="4"/>
      <c r="L173" s="4"/>
      <c r="M173" s="4"/>
      <c r="Q173" s="386"/>
      <c r="R173" s="386"/>
      <c r="S173" s="386"/>
      <c r="T173" s="386"/>
      <c r="V173" s="386"/>
      <c r="W173" s="386"/>
      <c r="X173" s="386"/>
      <c r="Y173" s="386"/>
      <c r="Z173" s="603"/>
      <c r="AA173" s="386"/>
      <c r="AB173" s="386"/>
      <c r="AC173" s="386"/>
      <c r="AE173" s="386"/>
      <c r="AF173" s="386"/>
      <c r="AG173" s="386"/>
      <c r="AH173" s="386"/>
      <c r="AI173" s="386"/>
      <c r="AJ173" s="386"/>
      <c r="AK173" s="386"/>
      <c r="AL173" s="386"/>
      <c r="AN173" s="386"/>
      <c r="AO173" s="386"/>
      <c r="AP173" s="386"/>
      <c r="AQ173" s="386"/>
      <c r="AR173" s="386"/>
      <c r="AS173" s="386"/>
      <c r="AT173" s="386"/>
      <c r="AU173" s="386"/>
      <c r="AV173" s="386"/>
      <c r="AW173" s="386"/>
      <c r="AX173" s="386"/>
      <c r="AY173" s="386"/>
      <c r="AZ173" s="386"/>
      <c r="BA173" s="386"/>
      <c r="BB173" s="386"/>
      <c r="BD173" s="604"/>
      <c r="BE173" s="614"/>
      <c r="BF173" s="614"/>
      <c r="BG173" s="9"/>
      <c r="BH173" s="48"/>
      <c r="BI173" s="386"/>
      <c r="BJ173" s="386"/>
      <c r="BK173" s="386"/>
      <c r="BL173" s="386"/>
      <c r="BM173" s="386"/>
    </row>
    <row r="174" spans="8:65" x14ac:dyDescent="0.2">
      <c r="H174" s="610"/>
      <c r="I174" s="4"/>
      <c r="L174" s="4"/>
      <c r="M174" s="4"/>
      <c r="Q174" s="386"/>
      <c r="R174" s="386"/>
      <c r="S174" s="386"/>
      <c r="T174" s="386"/>
      <c r="V174" s="386"/>
      <c r="W174" s="386"/>
      <c r="X174" s="386"/>
      <c r="Y174" s="386"/>
      <c r="Z174" s="603"/>
      <c r="AA174" s="386"/>
      <c r="AB174" s="386"/>
      <c r="AC174" s="386"/>
      <c r="AE174" s="386"/>
      <c r="AF174" s="386"/>
      <c r="AG174" s="386"/>
      <c r="AH174" s="386"/>
      <c r="AI174" s="386"/>
      <c r="AJ174" s="386"/>
      <c r="AK174" s="386"/>
      <c r="AL174" s="386"/>
      <c r="AN174" s="386"/>
      <c r="AO174" s="386"/>
      <c r="AP174" s="386"/>
      <c r="AQ174" s="386"/>
      <c r="AR174" s="386"/>
      <c r="AS174" s="386"/>
      <c r="AT174" s="386"/>
      <c r="AU174" s="386"/>
      <c r="AV174" s="386"/>
      <c r="AW174" s="386"/>
      <c r="AX174" s="386"/>
      <c r="AY174" s="386"/>
      <c r="AZ174" s="386"/>
      <c r="BA174" s="386"/>
      <c r="BB174" s="386"/>
      <c r="BD174" s="604"/>
      <c r="BE174" s="614"/>
      <c r="BF174" s="614"/>
      <c r="BG174" s="9"/>
      <c r="BH174" s="48"/>
      <c r="BI174" s="386"/>
      <c r="BJ174" s="386"/>
      <c r="BK174" s="386"/>
      <c r="BL174" s="386"/>
      <c r="BM174" s="386"/>
    </row>
    <row r="175" spans="8:65" x14ac:dyDescent="0.2">
      <c r="H175" s="610"/>
      <c r="I175" s="4"/>
      <c r="L175" s="4"/>
      <c r="M175" s="4"/>
      <c r="Q175" s="386"/>
      <c r="R175" s="386"/>
      <c r="S175" s="386"/>
      <c r="T175" s="386"/>
      <c r="V175" s="386"/>
      <c r="W175" s="386"/>
      <c r="X175" s="386"/>
      <c r="Y175" s="386"/>
      <c r="Z175" s="603"/>
      <c r="AA175" s="386"/>
      <c r="AB175" s="386"/>
      <c r="AC175" s="386"/>
      <c r="AE175" s="386"/>
      <c r="AF175" s="386"/>
      <c r="AG175" s="386"/>
      <c r="AH175" s="386"/>
      <c r="AI175" s="386"/>
      <c r="AJ175" s="386"/>
      <c r="AK175" s="386"/>
      <c r="AL175" s="386"/>
      <c r="AN175" s="386"/>
      <c r="AO175" s="386"/>
      <c r="AP175" s="386"/>
      <c r="AQ175" s="386"/>
      <c r="AR175" s="386"/>
      <c r="AS175" s="386"/>
      <c r="AT175" s="386"/>
      <c r="AU175" s="386"/>
      <c r="AV175" s="386"/>
      <c r="AW175" s="386"/>
      <c r="AX175" s="386"/>
      <c r="AY175" s="386"/>
      <c r="AZ175" s="386"/>
      <c r="BA175" s="386"/>
      <c r="BB175" s="386"/>
      <c r="BD175" s="604"/>
      <c r="BE175" s="614"/>
      <c r="BF175" s="614"/>
      <c r="BG175" s="9"/>
      <c r="BH175" s="48"/>
      <c r="BI175" s="386"/>
      <c r="BJ175" s="386"/>
      <c r="BK175" s="386"/>
      <c r="BL175" s="386"/>
      <c r="BM175" s="386"/>
    </row>
    <row r="176" spans="8:65" x14ac:dyDescent="0.2">
      <c r="H176" s="610"/>
      <c r="I176" s="4"/>
      <c r="L176" s="4"/>
      <c r="M176" s="4"/>
      <c r="Q176" s="386"/>
      <c r="R176" s="386"/>
      <c r="S176" s="386"/>
      <c r="T176" s="386"/>
      <c r="V176" s="386"/>
      <c r="W176" s="386"/>
      <c r="X176" s="386"/>
      <c r="Y176" s="386"/>
      <c r="Z176" s="603"/>
      <c r="AA176" s="386"/>
      <c r="AB176" s="386"/>
      <c r="AC176" s="386"/>
      <c r="AE176" s="386"/>
      <c r="AF176" s="386"/>
      <c r="AG176" s="386"/>
      <c r="AH176" s="386"/>
      <c r="AI176" s="386"/>
      <c r="AJ176" s="386"/>
      <c r="AK176" s="386"/>
      <c r="AL176" s="386"/>
      <c r="AN176" s="386"/>
      <c r="AO176" s="386"/>
      <c r="AP176" s="386"/>
      <c r="AQ176" s="386"/>
      <c r="AR176" s="386"/>
      <c r="AS176" s="386"/>
      <c r="AT176" s="386"/>
      <c r="AU176" s="386"/>
      <c r="AV176" s="386"/>
      <c r="AW176" s="386"/>
      <c r="AX176" s="386"/>
      <c r="AY176" s="386"/>
      <c r="AZ176" s="386"/>
      <c r="BA176" s="386"/>
      <c r="BB176" s="386"/>
      <c r="BD176" s="604"/>
      <c r="BE176" s="614"/>
      <c r="BF176" s="614"/>
      <c r="BG176" s="9"/>
      <c r="BH176" s="48"/>
      <c r="BI176" s="386"/>
      <c r="BJ176" s="386"/>
      <c r="BK176" s="386"/>
      <c r="BL176" s="386"/>
      <c r="BM176" s="386"/>
    </row>
    <row r="177" spans="8:65" x14ac:dyDescent="0.2">
      <c r="H177" s="610"/>
      <c r="I177" s="4"/>
      <c r="L177" s="4"/>
      <c r="M177" s="4"/>
      <c r="Q177" s="386"/>
      <c r="R177" s="386"/>
      <c r="S177" s="386"/>
      <c r="T177" s="386"/>
      <c r="V177" s="386"/>
      <c r="W177" s="386"/>
      <c r="X177" s="386"/>
      <c r="Y177" s="386"/>
      <c r="Z177" s="603"/>
      <c r="AA177" s="386"/>
      <c r="AB177" s="386"/>
      <c r="AC177" s="386"/>
      <c r="AE177" s="386"/>
      <c r="AF177" s="386"/>
      <c r="AG177" s="386"/>
      <c r="AH177" s="386"/>
      <c r="AI177" s="386"/>
      <c r="AJ177" s="386"/>
      <c r="AK177" s="386"/>
      <c r="AL177" s="386"/>
      <c r="AN177" s="386"/>
      <c r="AO177" s="386"/>
      <c r="AP177" s="386"/>
      <c r="AQ177" s="386"/>
      <c r="AR177" s="386"/>
      <c r="AS177" s="386"/>
      <c r="AT177" s="386"/>
      <c r="AU177" s="386"/>
      <c r="AV177" s="386"/>
      <c r="AW177" s="386"/>
      <c r="AX177" s="386"/>
      <c r="AY177" s="386"/>
      <c r="AZ177" s="386"/>
      <c r="BA177" s="386"/>
      <c r="BB177" s="386"/>
      <c r="BD177" s="604"/>
      <c r="BE177" s="614"/>
      <c r="BF177" s="614"/>
      <c r="BG177" s="9"/>
      <c r="BH177" s="48"/>
      <c r="BI177" s="386"/>
      <c r="BJ177" s="386"/>
      <c r="BK177" s="386"/>
      <c r="BL177" s="386"/>
      <c r="BM177" s="386"/>
    </row>
    <row r="178" spans="8:65" x14ac:dyDescent="0.2">
      <c r="H178" s="610"/>
      <c r="I178" s="4"/>
      <c r="L178" s="4"/>
      <c r="M178" s="4"/>
      <c r="Q178" s="386"/>
      <c r="R178" s="386"/>
      <c r="S178" s="386"/>
      <c r="T178" s="386"/>
      <c r="V178" s="386"/>
      <c r="W178" s="386"/>
      <c r="X178" s="386"/>
      <c r="Y178" s="386"/>
      <c r="Z178" s="603"/>
      <c r="AA178" s="386"/>
      <c r="AB178" s="386"/>
      <c r="AC178" s="386"/>
      <c r="AE178" s="386"/>
      <c r="AF178" s="386"/>
      <c r="AG178" s="386"/>
      <c r="AH178" s="386"/>
      <c r="AI178" s="386"/>
      <c r="AJ178" s="386"/>
      <c r="AK178" s="386"/>
      <c r="AL178" s="386"/>
      <c r="AN178" s="386"/>
      <c r="AO178" s="386"/>
      <c r="AP178" s="386"/>
      <c r="AQ178" s="386"/>
      <c r="AR178" s="386"/>
      <c r="AS178" s="386"/>
      <c r="AT178" s="386"/>
      <c r="AU178" s="386"/>
      <c r="AV178" s="386"/>
      <c r="AW178" s="386"/>
      <c r="AX178" s="386"/>
      <c r="AY178" s="386"/>
      <c r="AZ178" s="386"/>
      <c r="BA178" s="386"/>
      <c r="BB178" s="386"/>
      <c r="BD178" s="604"/>
      <c r="BE178" s="614"/>
      <c r="BF178" s="614"/>
      <c r="BG178" s="9"/>
      <c r="BH178" s="48"/>
      <c r="BI178" s="386"/>
      <c r="BJ178" s="386"/>
      <c r="BK178" s="386"/>
      <c r="BL178" s="386"/>
      <c r="BM178" s="386"/>
    </row>
    <row r="179" spans="8:65" x14ac:dyDescent="0.2">
      <c r="H179" s="610"/>
      <c r="I179" s="4"/>
      <c r="L179" s="4"/>
      <c r="M179" s="4"/>
      <c r="Q179" s="386"/>
      <c r="R179" s="386"/>
      <c r="S179" s="386"/>
      <c r="T179" s="386"/>
      <c r="V179" s="386"/>
      <c r="W179" s="386"/>
      <c r="X179" s="386"/>
      <c r="Y179" s="386"/>
      <c r="Z179" s="603"/>
      <c r="AA179" s="386"/>
      <c r="AB179" s="386"/>
      <c r="AC179" s="386"/>
      <c r="AE179" s="386"/>
      <c r="AF179" s="386"/>
      <c r="AG179" s="386"/>
      <c r="AH179" s="386"/>
      <c r="AI179" s="386"/>
      <c r="AJ179" s="386"/>
      <c r="AK179" s="386"/>
      <c r="AL179" s="386"/>
      <c r="AN179" s="386"/>
      <c r="AO179" s="386"/>
      <c r="AP179" s="386"/>
      <c r="AQ179" s="386"/>
      <c r="AR179" s="386"/>
      <c r="AS179" s="386"/>
      <c r="AT179" s="386"/>
      <c r="AU179" s="386"/>
      <c r="AV179" s="386"/>
      <c r="AW179" s="386"/>
      <c r="AX179" s="386"/>
      <c r="AY179" s="386"/>
      <c r="AZ179" s="386"/>
      <c r="BA179" s="386"/>
      <c r="BB179" s="386"/>
      <c r="BD179" s="604"/>
      <c r="BE179" s="614"/>
      <c r="BF179" s="614"/>
      <c r="BG179" s="9"/>
      <c r="BH179" s="48"/>
      <c r="BI179" s="386"/>
      <c r="BJ179" s="386"/>
      <c r="BK179" s="386"/>
      <c r="BL179" s="386"/>
      <c r="BM179" s="386"/>
    </row>
    <row r="180" spans="8:65" x14ac:dyDescent="0.2">
      <c r="H180" s="610"/>
      <c r="I180" s="4"/>
      <c r="L180" s="4"/>
      <c r="M180" s="4"/>
      <c r="Q180" s="386"/>
      <c r="R180" s="386"/>
      <c r="S180" s="386"/>
      <c r="T180" s="386"/>
      <c r="V180" s="386"/>
      <c r="W180" s="386"/>
      <c r="X180" s="386"/>
      <c r="Y180" s="386"/>
      <c r="Z180" s="603"/>
      <c r="AA180" s="386"/>
      <c r="AB180" s="386"/>
      <c r="AC180" s="386"/>
      <c r="AE180" s="386"/>
      <c r="AF180" s="386"/>
      <c r="AG180" s="386"/>
      <c r="AH180" s="386"/>
      <c r="AI180" s="386"/>
      <c r="AJ180" s="386"/>
      <c r="AK180" s="386"/>
      <c r="AL180" s="386"/>
      <c r="AN180" s="386"/>
      <c r="AO180" s="386"/>
      <c r="AP180" s="386"/>
      <c r="AQ180" s="386"/>
      <c r="AR180" s="386"/>
      <c r="AS180" s="386"/>
      <c r="AT180" s="386"/>
      <c r="AU180" s="386"/>
      <c r="AV180" s="386"/>
      <c r="AW180" s="386"/>
      <c r="AX180" s="386"/>
      <c r="AY180" s="386"/>
      <c r="AZ180" s="386"/>
      <c r="BA180" s="386"/>
      <c r="BB180" s="386"/>
      <c r="BD180" s="604"/>
      <c r="BE180" s="614"/>
      <c r="BF180" s="614"/>
      <c r="BG180" s="9"/>
      <c r="BH180" s="48"/>
      <c r="BI180" s="386"/>
      <c r="BJ180" s="386"/>
      <c r="BK180" s="386"/>
      <c r="BL180" s="386"/>
      <c r="BM180" s="386"/>
    </row>
    <row r="181" spans="8:65" x14ac:dyDescent="0.2">
      <c r="H181" s="610"/>
      <c r="I181" s="4"/>
      <c r="L181" s="4"/>
      <c r="M181" s="4"/>
      <c r="Q181" s="386"/>
      <c r="R181" s="386"/>
      <c r="S181" s="386"/>
      <c r="T181" s="386"/>
      <c r="V181" s="386"/>
      <c r="W181" s="386"/>
      <c r="X181" s="386"/>
      <c r="Y181" s="386"/>
      <c r="Z181" s="603"/>
      <c r="AA181" s="386"/>
      <c r="AB181" s="386"/>
      <c r="AC181" s="386"/>
      <c r="AE181" s="386"/>
      <c r="AF181" s="386"/>
      <c r="AG181" s="386"/>
      <c r="AH181" s="386"/>
      <c r="AI181" s="386"/>
      <c r="AJ181" s="386"/>
      <c r="AK181" s="386"/>
      <c r="AL181" s="386"/>
      <c r="AN181" s="386"/>
      <c r="AO181" s="386"/>
      <c r="AP181" s="386"/>
      <c r="AQ181" s="386"/>
      <c r="AR181" s="386"/>
      <c r="AS181" s="386"/>
      <c r="AT181" s="386"/>
      <c r="AU181" s="386"/>
      <c r="AV181" s="386"/>
      <c r="AW181" s="386"/>
      <c r="AX181" s="386"/>
      <c r="AY181" s="386"/>
      <c r="AZ181" s="386"/>
      <c r="BA181" s="386"/>
      <c r="BB181" s="386"/>
      <c r="BD181" s="604"/>
      <c r="BE181" s="614"/>
      <c r="BF181" s="614"/>
      <c r="BG181" s="9"/>
      <c r="BH181" s="48"/>
      <c r="BI181" s="386"/>
      <c r="BJ181" s="386"/>
      <c r="BK181" s="386"/>
      <c r="BL181" s="386"/>
      <c r="BM181" s="386"/>
    </row>
    <row r="182" spans="8:65" x14ac:dyDescent="0.2">
      <c r="H182" s="610"/>
      <c r="I182" s="4"/>
      <c r="L182" s="4"/>
      <c r="M182" s="4"/>
      <c r="Q182" s="386"/>
      <c r="R182" s="386"/>
      <c r="S182" s="386"/>
      <c r="T182" s="386"/>
      <c r="V182" s="386"/>
      <c r="W182" s="386"/>
      <c r="X182" s="386"/>
      <c r="Y182" s="386"/>
      <c r="Z182" s="603"/>
      <c r="AA182" s="386"/>
      <c r="AB182" s="386"/>
      <c r="AC182" s="386"/>
      <c r="AE182" s="386"/>
      <c r="AF182" s="386"/>
      <c r="AG182" s="386"/>
      <c r="AH182" s="386"/>
      <c r="AI182" s="386"/>
      <c r="AJ182" s="386"/>
      <c r="AK182" s="386"/>
      <c r="AL182" s="386"/>
      <c r="AN182" s="386"/>
      <c r="AO182" s="386"/>
      <c r="AP182" s="386"/>
      <c r="AQ182" s="386"/>
      <c r="AR182" s="386"/>
      <c r="AS182" s="386"/>
      <c r="AT182" s="386"/>
      <c r="AU182" s="386"/>
      <c r="AV182" s="386"/>
      <c r="AW182" s="386"/>
      <c r="AX182" s="386"/>
      <c r="AY182" s="386"/>
      <c r="AZ182" s="386"/>
      <c r="BA182" s="386"/>
      <c r="BB182" s="386"/>
      <c r="BD182" s="604"/>
      <c r="BE182" s="614"/>
      <c r="BF182" s="614"/>
      <c r="BG182" s="9"/>
      <c r="BH182" s="48"/>
      <c r="BI182" s="386"/>
      <c r="BJ182" s="386"/>
      <c r="BK182" s="386"/>
      <c r="BL182" s="386"/>
      <c r="BM182" s="386"/>
    </row>
    <row r="183" spans="8:65" x14ac:dyDescent="0.2">
      <c r="H183" s="610"/>
      <c r="I183" s="4"/>
      <c r="L183" s="4"/>
      <c r="M183" s="4"/>
      <c r="Q183" s="386"/>
      <c r="R183" s="386"/>
      <c r="S183" s="386"/>
      <c r="T183" s="386"/>
      <c r="V183" s="386"/>
      <c r="W183" s="386"/>
      <c r="X183" s="386"/>
      <c r="Y183" s="386"/>
      <c r="Z183" s="603"/>
      <c r="AA183" s="386"/>
      <c r="AB183" s="386"/>
      <c r="AC183" s="386"/>
      <c r="AE183" s="386"/>
      <c r="AF183" s="386"/>
      <c r="AG183" s="386"/>
      <c r="AH183" s="386"/>
      <c r="AI183" s="386"/>
      <c r="AJ183" s="386"/>
      <c r="AK183" s="386"/>
      <c r="AL183" s="386"/>
      <c r="AN183" s="386"/>
      <c r="AO183" s="386"/>
      <c r="AP183" s="386"/>
      <c r="AQ183" s="386"/>
      <c r="AR183" s="386"/>
      <c r="AS183" s="386"/>
      <c r="AT183" s="386"/>
      <c r="AU183" s="386"/>
      <c r="AV183" s="386"/>
      <c r="AW183" s="386"/>
      <c r="AX183" s="386"/>
      <c r="AY183" s="386"/>
      <c r="AZ183" s="386"/>
      <c r="BA183" s="386"/>
      <c r="BB183" s="386"/>
      <c r="BD183" s="604"/>
      <c r="BE183" s="614"/>
      <c r="BF183" s="614"/>
      <c r="BG183" s="9"/>
      <c r="BH183" s="48"/>
      <c r="BI183" s="386"/>
      <c r="BJ183" s="386"/>
      <c r="BK183" s="386"/>
      <c r="BL183" s="386"/>
      <c r="BM183" s="386"/>
    </row>
    <row r="184" spans="8:65" x14ac:dyDescent="0.2">
      <c r="H184" s="610"/>
      <c r="I184" s="4"/>
      <c r="L184" s="4"/>
      <c r="M184" s="4"/>
      <c r="Q184" s="386"/>
      <c r="R184" s="386"/>
      <c r="S184" s="386"/>
      <c r="T184" s="386"/>
      <c r="V184" s="386"/>
      <c r="W184" s="386"/>
      <c r="X184" s="386"/>
      <c r="Y184" s="386"/>
      <c r="Z184" s="603"/>
      <c r="AA184" s="386"/>
      <c r="AB184" s="386"/>
      <c r="AC184" s="386"/>
      <c r="AE184" s="386"/>
      <c r="AF184" s="386"/>
      <c r="AG184" s="386"/>
      <c r="AH184" s="386"/>
      <c r="AI184" s="386"/>
      <c r="AJ184" s="386"/>
      <c r="AK184" s="386"/>
      <c r="AL184" s="386"/>
      <c r="AN184" s="386"/>
      <c r="AO184" s="386"/>
      <c r="AP184" s="386"/>
      <c r="AQ184" s="386"/>
      <c r="AR184" s="386"/>
      <c r="AS184" s="386"/>
      <c r="AT184" s="386"/>
      <c r="AU184" s="386"/>
      <c r="AV184" s="386"/>
      <c r="AW184" s="386"/>
      <c r="AX184" s="386"/>
      <c r="AY184" s="386"/>
      <c r="AZ184" s="386"/>
      <c r="BA184" s="386"/>
      <c r="BB184" s="386"/>
      <c r="BD184" s="604"/>
      <c r="BE184" s="614"/>
      <c r="BF184" s="614"/>
      <c r="BG184" s="9"/>
      <c r="BH184" s="48"/>
      <c r="BI184" s="386"/>
      <c r="BJ184" s="386"/>
      <c r="BK184" s="386"/>
      <c r="BL184" s="386"/>
      <c r="BM184" s="386"/>
    </row>
    <row r="185" spans="8:65" x14ac:dyDescent="0.2">
      <c r="H185" s="610"/>
      <c r="I185" s="4"/>
      <c r="L185" s="4"/>
      <c r="M185" s="4"/>
      <c r="Q185" s="386"/>
      <c r="R185" s="386"/>
      <c r="S185" s="386"/>
      <c r="T185" s="386"/>
      <c r="V185" s="386"/>
      <c r="W185" s="386"/>
      <c r="X185" s="386"/>
      <c r="Y185" s="386"/>
      <c r="Z185" s="603"/>
      <c r="AA185" s="386"/>
      <c r="AB185" s="386"/>
      <c r="AC185" s="386"/>
      <c r="AE185" s="386"/>
      <c r="AF185" s="386"/>
      <c r="AG185" s="386"/>
      <c r="AH185" s="386"/>
      <c r="AI185" s="386"/>
      <c r="AJ185" s="386"/>
      <c r="AK185" s="386"/>
      <c r="AL185" s="386"/>
      <c r="AN185" s="386"/>
      <c r="AO185" s="386"/>
      <c r="AP185" s="386"/>
      <c r="AQ185" s="386"/>
      <c r="AR185" s="386"/>
      <c r="AS185" s="386"/>
      <c r="AT185" s="386"/>
      <c r="AU185" s="386"/>
      <c r="AV185" s="386"/>
      <c r="AW185" s="386"/>
      <c r="AX185" s="386"/>
      <c r="AY185" s="386"/>
      <c r="AZ185" s="386"/>
      <c r="BA185" s="386"/>
      <c r="BB185" s="386"/>
      <c r="BD185" s="604"/>
      <c r="BE185" s="614"/>
      <c r="BF185" s="614"/>
      <c r="BG185" s="9"/>
      <c r="BH185" s="48"/>
      <c r="BI185" s="386"/>
      <c r="BJ185" s="386"/>
      <c r="BK185" s="386"/>
      <c r="BL185" s="386"/>
      <c r="BM185" s="386"/>
    </row>
    <row r="186" spans="8:65" x14ac:dyDescent="0.2">
      <c r="H186" s="610"/>
      <c r="I186" s="4"/>
      <c r="L186" s="4"/>
      <c r="M186" s="4"/>
      <c r="Q186" s="386"/>
      <c r="R186" s="386"/>
      <c r="S186" s="386"/>
      <c r="T186" s="386"/>
      <c r="V186" s="386"/>
      <c r="W186" s="386"/>
      <c r="X186" s="386"/>
      <c r="Y186" s="386"/>
      <c r="Z186" s="603"/>
      <c r="AA186" s="386"/>
      <c r="AB186" s="386"/>
      <c r="AC186" s="386"/>
      <c r="AE186" s="386"/>
      <c r="AF186" s="386"/>
      <c r="AG186" s="386"/>
      <c r="AH186" s="386"/>
      <c r="AI186" s="386"/>
      <c r="AJ186" s="386"/>
      <c r="AK186" s="386"/>
      <c r="AL186" s="386"/>
      <c r="AN186" s="386"/>
      <c r="AO186" s="386"/>
      <c r="AP186" s="386"/>
      <c r="AQ186" s="386"/>
      <c r="AR186" s="386"/>
      <c r="AS186" s="386"/>
      <c r="AT186" s="386"/>
      <c r="AU186" s="386"/>
      <c r="AV186" s="386"/>
      <c r="AW186" s="386"/>
      <c r="AX186" s="386"/>
      <c r="AY186" s="386"/>
      <c r="AZ186" s="386"/>
      <c r="BA186" s="386"/>
      <c r="BB186" s="386"/>
      <c r="BD186" s="604"/>
      <c r="BE186" s="614"/>
      <c r="BF186" s="614"/>
      <c r="BG186" s="9"/>
      <c r="BH186" s="48"/>
      <c r="BI186" s="386"/>
      <c r="BJ186" s="386"/>
      <c r="BK186" s="386"/>
      <c r="BL186" s="386"/>
      <c r="BM186" s="386"/>
    </row>
    <row r="187" spans="8:65" x14ac:dyDescent="0.2">
      <c r="H187" s="610"/>
      <c r="I187" s="4"/>
      <c r="L187" s="4"/>
      <c r="M187" s="4"/>
      <c r="Q187" s="386"/>
      <c r="R187" s="386"/>
      <c r="S187" s="386"/>
      <c r="T187" s="386"/>
      <c r="V187" s="386"/>
      <c r="W187" s="386"/>
      <c r="X187" s="386"/>
      <c r="Y187" s="386"/>
      <c r="Z187" s="603"/>
      <c r="AA187" s="386"/>
      <c r="AB187" s="386"/>
      <c r="AC187" s="386"/>
      <c r="AE187" s="386"/>
      <c r="AF187" s="386"/>
      <c r="AG187" s="386"/>
      <c r="AH187" s="386"/>
      <c r="AI187" s="386"/>
      <c r="AJ187" s="386"/>
      <c r="AK187" s="386"/>
      <c r="AL187" s="386"/>
      <c r="AN187" s="386"/>
      <c r="AO187" s="386"/>
      <c r="AP187" s="386"/>
      <c r="AQ187" s="386"/>
      <c r="AR187" s="386"/>
      <c r="AS187" s="386"/>
      <c r="AT187" s="386"/>
      <c r="AU187" s="386"/>
      <c r="AV187" s="386"/>
      <c r="AW187" s="386"/>
      <c r="AX187" s="386"/>
      <c r="AY187" s="386"/>
      <c r="AZ187" s="386"/>
      <c r="BA187" s="386"/>
      <c r="BB187" s="386"/>
      <c r="BD187" s="604"/>
      <c r="BE187" s="614"/>
      <c r="BF187" s="614"/>
      <c r="BG187" s="9"/>
      <c r="BH187" s="48"/>
      <c r="BI187" s="386"/>
      <c r="BJ187" s="386"/>
      <c r="BK187" s="386"/>
      <c r="BL187" s="386"/>
      <c r="BM187" s="386"/>
    </row>
    <row r="188" spans="8:65" x14ac:dyDescent="0.2">
      <c r="H188" s="610"/>
      <c r="I188" s="4"/>
      <c r="L188" s="4"/>
      <c r="M188" s="4"/>
      <c r="Q188" s="386"/>
      <c r="R188" s="386"/>
      <c r="S188" s="386"/>
      <c r="T188" s="386"/>
      <c r="V188" s="386"/>
      <c r="W188" s="386"/>
      <c r="X188" s="386"/>
      <c r="Y188" s="386"/>
      <c r="Z188" s="603"/>
      <c r="AA188" s="386"/>
      <c r="AB188" s="386"/>
      <c r="AC188" s="386"/>
      <c r="AE188" s="386"/>
      <c r="AF188" s="386"/>
      <c r="AG188" s="386"/>
      <c r="AH188" s="386"/>
      <c r="AI188" s="386"/>
      <c r="AJ188" s="386"/>
      <c r="AK188" s="386"/>
      <c r="AL188" s="386"/>
      <c r="AN188" s="386"/>
      <c r="AO188" s="386"/>
      <c r="AP188" s="386"/>
      <c r="AQ188" s="386"/>
      <c r="AR188" s="386"/>
      <c r="AS188" s="386"/>
      <c r="AT188" s="386"/>
      <c r="AU188" s="386"/>
      <c r="AV188" s="386"/>
      <c r="AW188" s="386"/>
      <c r="AX188" s="386"/>
      <c r="AY188" s="386"/>
      <c r="AZ188" s="386"/>
      <c r="BA188" s="386"/>
      <c r="BB188" s="386"/>
      <c r="BD188" s="604"/>
      <c r="BE188" s="614"/>
      <c r="BF188" s="614"/>
      <c r="BG188" s="9"/>
      <c r="BH188" s="48"/>
      <c r="BI188" s="386"/>
      <c r="BJ188" s="386"/>
      <c r="BK188" s="386"/>
      <c r="BL188" s="386"/>
      <c r="BM188" s="386"/>
    </row>
    <row r="189" spans="8:65" x14ac:dyDescent="0.2">
      <c r="H189" s="610"/>
      <c r="I189" s="4"/>
      <c r="L189" s="4"/>
      <c r="M189" s="4"/>
      <c r="Q189" s="386"/>
      <c r="R189" s="386"/>
      <c r="S189" s="386"/>
      <c r="T189" s="386"/>
      <c r="V189" s="386"/>
      <c r="W189" s="386"/>
      <c r="X189" s="386"/>
      <c r="Y189" s="386"/>
      <c r="Z189" s="603"/>
      <c r="AA189" s="386"/>
      <c r="AB189" s="386"/>
      <c r="AC189" s="386"/>
      <c r="AE189" s="386"/>
      <c r="AF189" s="386"/>
      <c r="AG189" s="386"/>
      <c r="AH189" s="386"/>
      <c r="AI189" s="386"/>
      <c r="AJ189" s="386"/>
      <c r="AK189" s="386"/>
      <c r="AL189" s="386"/>
      <c r="AN189" s="386"/>
      <c r="AO189" s="386"/>
      <c r="AP189" s="386"/>
      <c r="AQ189" s="386"/>
      <c r="AR189" s="386"/>
      <c r="AS189" s="386"/>
      <c r="AT189" s="386"/>
      <c r="AU189" s="386"/>
      <c r="AV189" s="386"/>
      <c r="AW189" s="386"/>
      <c r="AX189" s="386"/>
      <c r="AY189" s="386"/>
      <c r="AZ189" s="386"/>
      <c r="BA189" s="386"/>
      <c r="BB189" s="386"/>
      <c r="BD189" s="604"/>
      <c r="BE189" s="614"/>
      <c r="BF189" s="614"/>
      <c r="BG189" s="9"/>
      <c r="BH189" s="48"/>
      <c r="BI189" s="386"/>
      <c r="BJ189" s="386"/>
      <c r="BK189" s="386"/>
      <c r="BL189" s="386"/>
      <c r="BM189" s="386"/>
    </row>
    <row r="190" spans="8:65" x14ac:dyDescent="0.2">
      <c r="H190" s="610"/>
      <c r="I190" s="4"/>
      <c r="L190" s="4"/>
      <c r="M190" s="4"/>
      <c r="Q190" s="386"/>
      <c r="R190" s="386"/>
      <c r="S190" s="386"/>
      <c r="T190" s="386"/>
      <c r="V190" s="386"/>
      <c r="W190" s="386"/>
      <c r="X190" s="386"/>
      <c r="Y190" s="386"/>
      <c r="Z190" s="603"/>
      <c r="AA190" s="386"/>
      <c r="AB190" s="386"/>
      <c r="AC190" s="386"/>
      <c r="AE190" s="386"/>
      <c r="AF190" s="386"/>
      <c r="AG190" s="386"/>
      <c r="AH190" s="386"/>
      <c r="AI190" s="386"/>
      <c r="AJ190" s="386"/>
      <c r="AK190" s="386"/>
      <c r="AL190" s="386"/>
      <c r="AN190" s="386"/>
      <c r="AO190" s="386"/>
      <c r="AP190" s="386"/>
      <c r="AQ190" s="386"/>
      <c r="AR190" s="386"/>
      <c r="AS190" s="386"/>
      <c r="AT190" s="386"/>
      <c r="AU190" s="386"/>
      <c r="AV190" s="386"/>
      <c r="AW190" s="386"/>
      <c r="AX190" s="386"/>
      <c r="AY190" s="386"/>
      <c r="AZ190" s="386"/>
      <c r="BA190" s="386"/>
      <c r="BB190" s="386"/>
      <c r="BD190" s="604"/>
      <c r="BE190" s="614"/>
      <c r="BF190" s="614"/>
      <c r="BG190" s="9"/>
      <c r="BH190" s="48"/>
      <c r="BI190" s="386"/>
      <c r="BJ190" s="386"/>
      <c r="BK190" s="386"/>
      <c r="BL190" s="386"/>
      <c r="BM190" s="386"/>
    </row>
    <row r="191" spans="8:65" x14ac:dyDescent="0.2">
      <c r="H191" s="610"/>
      <c r="I191" s="4"/>
      <c r="L191" s="4"/>
      <c r="M191" s="4"/>
      <c r="Q191" s="386"/>
      <c r="R191" s="386"/>
      <c r="S191" s="386"/>
      <c r="T191" s="386"/>
      <c r="V191" s="386"/>
      <c r="W191" s="386"/>
      <c r="X191" s="386"/>
      <c r="Y191" s="386"/>
      <c r="Z191" s="603"/>
      <c r="AA191" s="386"/>
      <c r="AB191" s="386"/>
      <c r="AC191" s="386"/>
      <c r="AE191" s="386"/>
      <c r="AF191" s="386"/>
      <c r="AG191" s="386"/>
      <c r="AH191" s="386"/>
      <c r="AI191" s="386"/>
      <c r="AJ191" s="386"/>
      <c r="AK191" s="386"/>
      <c r="AL191" s="386"/>
      <c r="AN191" s="386"/>
      <c r="AO191" s="386"/>
      <c r="AP191" s="386"/>
      <c r="AQ191" s="386"/>
      <c r="AR191" s="386"/>
      <c r="AS191" s="386"/>
      <c r="AT191" s="386"/>
      <c r="AU191" s="386"/>
      <c r="AV191" s="386"/>
      <c r="AW191" s="386"/>
      <c r="AX191" s="386"/>
      <c r="AY191" s="386"/>
      <c r="AZ191" s="386"/>
      <c r="BA191" s="386"/>
      <c r="BB191" s="386"/>
      <c r="BD191" s="604"/>
      <c r="BE191" s="614"/>
      <c r="BF191" s="614"/>
      <c r="BG191" s="9"/>
      <c r="BH191" s="48"/>
      <c r="BI191" s="386"/>
      <c r="BJ191" s="386"/>
      <c r="BK191" s="386"/>
      <c r="BL191" s="386"/>
      <c r="BM191" s="386"/>
    </row>
    <row r="192" spans="8:65" x14ac:dyDescent="0.2">
      <c r="H192" s="610"/>
      <c r="I192" s="4"/>
      <c r="L192" s="4"/>
      <c r="M192" s="4"/>
      <c r="Q192" s="386"/>
      <c r="R192" s="386"/>
      <c r="S192" s="386"/>
      <c r="T192" s="386"/>
      <c r="V192" s="386"/>
      <c r="W192" s="386"/>
      <c r="X192" s="386"/>
      <c r="Y192" s="386"/>
      <c r="Z192" s="603"/>
      <c r="AA192" s="386"/>
      <c r="AB192" s="386"/>
      <c r="AC192" s="386"/>
      <c r="AE192" s="386"/>
      <c r="AF192" s="386"/>
      <c r="AG192" s="386"/>
      <c r="AH192" s="386"/>
      <c r="AI192" s="386"/>
      <c r="AJ192" s="386"/>
      <c r="AK192" s="386"/>
      <c r="AL192" s="386"/>
      <c r="AN192" s="386"/>
      <c r="AO192" s="386"/>
      <c r="AP192" s="386"/>
      <c r="AQ192" s="386"/>
      <c r="AR192" s="386"/>
      <c r="AS192" s="386"/>
      <c r="AT192" s="386"/>
      <c r="AU192" s="386"/>
      <c r="AV192" s="386"/>
      <c r="AW192" s="386"/>
      <c r="AX192" s="386"/>
      <c r="AY192" s="386"/>
      <c r="AZ192" s="386"/>
      <c r="BA192" s="386"/>
      <c r="BB192" s="386"/>
      <c r="BD192" s="604"/>
      <c r="BE192" s="614"/>
      <c r="BF192" s="614"/>
      <c r="BG192" s="9"/>
      <c r="BH192" s="48"/>
      <c r="BI192" s="386"/>
      <c r="BJ192" s="386"/>
      <c r="BK192" s="386"/>
      <c r="BL192" s="386"/>
      <c r="BM192" s="386"/>
    </row>
    <row r="193" spans="8:65" x14ac:dyDescent="0.2">
      <c r="H193" s="610"/>
      <c r="I193" s="4"/>
      <c r="L193" s="4"/>
      <c r="M193" s="4"/>
      <c r="Q193" s="386"/>
      <c r="R193" s="386"/>
      <c r="S193" s="386"/>
      <c r="T193" s="386"/>
      <c r="V193" s="386"/>
      <c r="W193" s="386"/>
      <c r="X193" s="386"/>
      <c r="Y193" s="386"/>
      <c r="Z193" s="603"/>
      <c r="AA193" s="386"/>
      <c r="AB193" s="386"/>
      <c r="AC193" s="386"/>
      <c r="AE193" s="386"/>
      <c r="AF193" s="386"/>
      <c r="AG193" s="386"/>
      <c r="AH193" s="386"/>
      <c r="AI193" s="386"/>
      <c r="AJ193" s="386"/>
      <c r="AK193" s="386"/>
      <c r="AL193" s="386"/>
      <c r="AN193" s="386"/>
      <c r="AO193" s="386"/>
      <c r="AP193" s="386"/>
      <c r="AQ193" s="386"/>
      <c r="AR193" s="386"/>
      <c r="AS193" s="386"/>
      <c r="AT193" s="386"/>
      <c r="AU193" s="386"/>
      <c r="AV193" s="386"/>
      <c r="AW193" s="386"/>
      <c r="AX193" s="386"/>
      <c r="AY193" s="386"/>
      <c r="AZ193" s="386"/>
      <c r="BA193" s="386"/>
      <c r="BB193" s="386"/>
      <c r="BD193" s="604"/>
      <c r="BE193" s="614"/>
      <c r="BF193" s="614"/>
      <c r="BG193" s="9"/>
      <c r="BH193" s="48"/>
      <c r="BI193" s="386"/>
      <c r="BJ193" s="386"/>
      <c r="BK193" s="386"/>
      <c r="BL193" s="386"/>
      <c r="BM193" s="386"/>
    </row>
    <row r="194" spans="8:65" x14ac:dyDescent="0.2">
      <c r="H194" s="610"/>
      <c r="I194" s="4"/>
      <c r="L194" s="4"/>
      <c r="M194" s="4"/>
      <c r="Q194" s="386"/>
      <c r="R194" s="386"/>
      <c r="S194" s="386"/>
      <c r="T194" s="386"/>
      <c r="V194" s="386"/>
      <c r="W194" s="386"/>
      <c r="X194" s="386"/>
      <c r="Y194" s="386"/>
      <c r="Z194" s="603"/>
      <c r="AA194" s="386"/>
      <c r="AB194" s="386"/>
      <c r="AC194" s="386"/>
      <c r="AE194" s="386"/>
      <c r="AF194" s="386"/>
      <c r="AG194" s="386"/>
      <c r="AH194" s="386"/>
      <c r="AI194" s="386"/>
      <c r="AJ194" s="386"/>
      <c r="AK194" s="386"/>
      <c r="AL194" s="386"/>
      <c r="AN194" s="386"/>
      <c r="AO194" s="386"/>
      <c r="AP194" s="386"/>
      <c r="AQ194" s="386"/>
      <c r="AR194" s="386"/>
      <c r="AS194" s="386"/>
      <c r="AT194" s="386"/>
      <c r="AU194" s="386"/>
      <c r="AV194" s="386"/>
      <c r="AW194" s="386"/>
      <c r="AX194" s="386"/>
      <c r="AY194" s="386"/>
      <c r="AZ194" s="386"/>
      <c r="BA194" s="386"/>
      <c r="BB194" s="386"/>
      <c r="BD194" s="604"/>
      <c r="BE194" s="614"/>
      <c r="BF194" s="614"/>
      <c r="BG194" s="9"/>
      <c r="BH194" s="48"/>
      <c r="BI194" s="386"/>
      <c r="BJ194" s="386"/>
      <c r="BK194" s="386"/>
      <c r="BL194" s="386"/>
      <c r="BM194" s="386"/>
    </row>
    <row r="195" spans="8:65" x14ac:dyDescent="0.2">
      <c r="H195" s="610"/>
      <c r="I195" s="4"/>
      <c r="L195" s="4"/>
      <c r="M195" s="4"/>
      <c r="Q195" s="386"/>
      <c r="R195" s="386"/>
      <c r="S195" s="386"/>
      <c r="T195" s="386"/>
      <c r="V195" s="386"/>
      <c r="W195" s="386"/>
      <c r="X195" s="386"/>
      <c r="Y195" s="386"/>
      <c r="Z195" s="603"/>
      <c r="AA195" s="386"/>
      <c r="AB195" s="386"/>
      <c r="AC195" s="386"/>
      <c r="AE195" s="386"/>
      <c r="AF195" s="386"/>
      <c r="AG195" s="386"/>
      <c r="AH195" s="386"/>
      <c r="AI195" s="386"/>
      <c r="AJ195" s="386"/>
      <c r="AK195" s="386"/>
      <c r="AL195" s="386"/>
      <c r="AN195" s="386"/>
      <c r="AO195" s="386"/>
      <c r="AP195" s="386"/>
      <c r="AQ195" s="386"/>
      <c r="AR195" s="386"/>
      <c r="AS195" s="386"/>
      <c r="AT195" s="386"/>
      <c r="AU195" s="386"/>
      <c r="AV195" s="386"/>
      <c r="AW195" s="386"/>
      <c r="AX195" s="386"/>
      <c r="AY195" s="386"/>
      <c r="AZ195" s="386"/>
      <c r="BA195" s="386"/>
      <c r="BB195" s="386"/>
      <c r="BD195" s="604"/>
      <c r="BE195" s="614"/>
      <c r="BF195" s="614"/>
      <c r="BG195" s="9"/>
      <c r="BH195" s="48"/>
      <c r="BI195" s="386"/>
      <c r="BJ195" s="386"/>
      <c r="BK195" s="386"/>
      <c r="BL195" s="386"/>
      <c r="BM195" s="386"/>
    </row>
    <row r="196" spans="8:65" x14ac:dyDescent="0.2">
      <c r="H196" s="610"/>
      <c r="I196" s="4"/>
      <c r="L196" s="4"/>
      <c r="M196" s="4"/>
      <c r="Q196" s="386"/>
      <c r="R196" s="386"/>
      <c r="S196" s="386"/>
      <c r="T196" s="386"/>
      <c r="V196" s="386"/>
      <c r="W196" s="386"/>
      <c r="X196" s="386"/>
      <c r="Y196" s="386"/>
      <c r="Z196" s="603"/>
      <c r="AA196" s="386"/>
      <c r="AB196" s="386"/>
      <c r="AC196" s="386"/>
      <c r="AE196" s="386"/>
      <c r="AF196" s="386"/>
      <c r="AG196" s="386"/>
      <c r="AH196" s="386"/>
      <c r="AI196" s="386"/>
      <c r="AJ196" s="386"/>
      <c r="AK196" s="386"/>
      <c r="AL196" s="386"/>
      <c r="AN196" s="386"/>
      <c r="AO196" s="386"/>
      <c r="AP196" s="386"/>
      <c r="AQ196" s="386"/>
      <c r="AR196" s="386"/>
      <c r="AS196" s="386"/>
      <c r="AT196" s="386"/>
      <c r="AU196" s="386"/>
      <c r="AV196" s="386"/>
      <c r="AW196" s="386"/>
      <c r="AX196" s="386"/>
      <c r="AY196" s="386"/>
      <c r="AZ196" s="386"/>
      <c r="BA196" s="386"/>
      <c r="BB196" s="386"/>
      <c r="BD196" s="604"/>
      <c r="BE196" s="614"/>
      <c r="BF196" s="614"/>
      <c r="BG196" s="9"/>
      <c r="BH196" s="48"/>
      <c r="BI196" s="386"/>
      <c r="BJ196" s="386"/>
      <c r="BK196" s="386"/>
      <c r="BL196" s="386"/>
      <c r="BM196" s="386"/>
    </row>
    <row r="197" spans="8:65" x14ac:dyDescent="0.2">
      <c r="H197" s="610"/>
      <c r="I197" s="4"/>
      <c r="L197" s="4"/>
      <c r="M197" s="4"/>
      <c r="Q197" s="386"/>
      <c r="R197" s="386"/>
      <c r="S197" s="386"/>
      <c r="T197" s="386"/>
      <c r="V197" s="386"/>
      <c r="W197" s="386"/>
      <c r="X197" s="386"/>
      <c r="Y197" s="386"/>
      <c r="Z197" s="603"/>
      <c r="AA197" s="386"/>
      <c r="AB197" s="386"/>
      <c r="AC197" s="386"/>
      <c r="AE197" s="386"/>
      <c r="AF197" s="386"/>
      <c r="AG197" s="386"/>
      <c r="AH197" s="386"/>
      <c r="AI197" s="386"/>
      <c r="AJ197" s="386"/>
      <c r="AK197" s="386"/>
      <c r="AL197" s="386"/>
      <c r="AN197" s="386"/>
      <c r="AO197" s="386"/>
      <c r="AP197" s="386"/>
      <c r="AQ197" s="386"/>
      <c r="AR197" s="386"/>
      <c r="AS197" s="386"/>
      <c r="AT197" s="386"/>
      <c r="AU197" s="386"/>
      <c r="AV197" s="386"/>
      <c r="AW197" s="386"/>
      <c r="AX197" s="386"/>
      <c r="AY197" s="386"/>
      <c r="AZ197" s="386"/>
      <c r="BA197" s="386"/>
      <c r="BB197" s="386"/>
      <c r="BD197" s="604"/>
      <c r="BE197" s="614"/>
      <c r="BF197" s="614"/>
      <c r="BG197" s="9"/>
      <c r="BH197" s="48"/>
      <c r="BI197" s="386"/>
      <c r="BJ197" s="386"/>
      <c r="BK197" s="386"/>
      <c r="BL197" s="386"/>
      <c r="BM197" s="386"/>
    </row>
    <row r="198" spans="8:65" x14ac:dyDescent="0.2">
      <c r="H198" s="610"/>
      <c r="I198" s="4"/>
      <c r="L198" s="4"/>
      <c r="M198" s="4"/>
      <c r="Q198" s="386"/>
      <c r="R198" s="386"/>
      <c r="S198" s="386"/>
      <c r="T198" s="386"/>
      <c r="V198" s="386"/>
      <c r="W198" s="386"/>
      <c r="X198" s="386"/>
      <c r="Y198" s="386"/>
      <c r="Z198" s="603"/>
      <c r="AA198" s="386"/>
      <c r="AB198" s="386"/>
      <c r="AC198" s="386"/>
      <c r="AE198" s="386"/>
      <c r="AF198" s="386"/>
      <c r="AG198" s="386"/>
      <c r="AH198" s="386"/>
      <c r="AI198" s="386"/>
      <c r="AJ198" s="386"/>
      <c r="AK198" s="386"/>
      <c r="AL198" s="386"/>
      <c r="AN198" s="386"/>
      <c r="AO198" s="386"/>
      <c r="AP198" s="386"/>
      <c r="AQ198" s="386"/>
      <c r="AR198" s="386"/>
      <c r="AS198" s="386"/>
      <c r="AT198" s="386"/>
      <c r="AU198" s="386"/>
      <c r="AV198" s="386"/>
      <c r="AW198" s="386"/>
      <c r="AX198" s="386"/>
      <c r="AY198" s="386"/>
      <c r="AZ198" s="386"/>
      <c r="BA198" s="386"/>
      <c r="BB198" s="386"/>
      <c r="BD198" s="604"/>
      <c r="BE198" s="614"/>
      <c r="BF198" s="614"/>
      <c r="BG198" s="9"/>
      <c r="BH198" s="48"/>
      <c r="BI198" s="386"/>
      <c r="BJ198" s="386"/>
      <c r="BK198" s="386"/>
      <c r="BL198" s="386"/>
      <c r="BM198" s="386"/>
    </row>
    <row r="199" spans="8:65" x14ac:dyDescent="0.2">
      <c r="H199" s="610"/>
      <c r="I199" s="4"/>
      <c r="L199" s="4"/>
      <c r="M199" s="4"/>
      <c r="Q199" s="386"/>
      <c r="R199" s="386"/>
      <c r="S199" s="386"/>
      <c r="T199" s="386"/>
      <c r="V199" s="386"/>
      <c r="W199" s="386"/>
      <c r="X199" s="386"/>
      <c r="Y199" s="386"/>
      <c r="Z199" s="603"/>
      <c r="AA199" s="386"/>
      <c r="AB199" s="386"/>
      <c r="AC199" s="386"/>
      <c r="AE199" s="386"/>
      <c r="AF199" s="386"/>
      <c r="AG199" s="386"/>
      <c r="AH199" s="386"/>
      <c r="AI199" s="386"/>
      <c r="AJ199" s="386"/>
      <c r="AK199" s="386"/>
      <c r="AL199" s="386"/>
      <c r="AN199" s="386"/>
      <c r="AO199" s="386"/>
      <c r="AP199" s="386"/>
      <c r="AQ199" s="386"/>
      <c r="AR199" s="386"/>
      <c r="AS199" s="386"/>
      <c r="AT199" s="386"/>
      <c r="AU199" s="386"/>
      <c r="AV199" s="386"/>
      <c r="AW199" s="386"/>
      <c r="AX199" s="386"/>
      <c r="AY199" s="386"/>
      <c r="AZ199" s="386"/>
      <c r="BA199" s="386"/>
      <c r="BB199" s="386"/>
      <c r="BD199" s="604"/>
      <c r="BE199" s="614"/>
      <c r="BF199" s="614"/>
      <c r="BG199" s="9"/>
      <c r="BH199" s="48"/>
      <c r="BI199" s="386"/>
      <c r="BJ199" s="386"/>
      <c r="BK199" s="386"/>
      <c r="BL199" s="386"/>
      <c r="BM199" s="386"/>
    </row>
    <row r="200" spans="8:65" x14ac:dyDescent="0.2">
      <c r="H200" s="610"/>
      <c r="I200" s="4"/>
      <c r="L200" s="4"/>
      <c r="M200" s="4"/>
      <c r="Q200" s="386"/>
      <c r="R200" s="386"/>
      <c r="S200" s="386"/>
      <c r="T200" s="386"/>
      <c r="V200" s="386"/>
      <c r="W200" s="386"/>
      <c r="X200" s="386"/>
      <c r="Y200" s="386"/>
      <c r="Z200" s="603"/>
      <c r="AA200" s="386"/>
      <c r="AB200" s="386"/>
      <c r="AC200" s="386"/>
      <c r="AE200" s="386"/>
      <c r="AF200" s="386"/>
      <c r="AG200" s="386"/>
      <c r="AH200" s="386"/>
      <c r="AI200" s="386"/>
      <c r="AJ200" s="386"/>
      <c r="AK200" s="386"/>
      <c r="AL200" s="386"/>
      <c r="AN200" s="386"/>
      <c r="AO200" s="386"/>
      <c r="AP200" s="386"/>
      <c r="AQ200" s="386"/>
      <c r="AR200" s="386"/>
      <c r="AS200" s="386"/>
      <c r="AT200" s="386"/>
      <c r="AU200" s="386"/>
      <c r="AV200" s="386"/>
      <c r="AW200" s="386"/>
      <c r="AX200" s="386"/>
      <c r="AY200" s="386"/>
      <c r="AZ200" s="386"/>
      <c r="BA200" s="386"/>
      <c r="BB200" s="386"/>
      <c r="BD200" s="604"/>
      <c r="BE200" s="614"/>
      <c r="BF200" s="614"/>
      <c r="BG200" s="9"/>
      <c r="BH200" s="48"/>
      <c r="BI200" s="386"/>
      <c r="BJ200" s="386"/>
      <c r="BK200" s="386"/>
      <c r="BL200" s="386"/>
      <c r="BM200" s="386"/>
    </row>
    <row r="201" spans="8:65" x14ac:dyDescent="0.2">
      <c r="H201" s="610"/>
      <c r="I201" s="4"/>
      <c r="L201" s="4"/>
      <c r="M201" s="4"/>
      <c r="Q201" s="386"/>
      <c r="R201" s="386"/>
      <c r="S201" s="386"/>
      <c r="T201" s="386"/>
      <c r="V201" s="386"/>
      <c r="W201" s="386"/>
      <c r="X201" s="386"/>
      <c r="Y201" s="386"/>
      <c r="Z201" s="603"/>
      <c r="AA201" s="386"/>
      <c r="AB201" s="386"/>
      <c r="AC201" s="386"/>
      <c r="AE201" s="386"/>
      <c r="AF201" s="386"/>
      <c r="AG201" s="386"/>
      <c r="AH201" s="386"/>
      <c r="AI201" s="386"/>
      <c r="AJ201" s="386"/>
      <c r="AK201" s="386"/>
      <c r="AL201" s="386"/>
      <c r="AN201" s="386"/>
      <c r="AO201" s="386"/>
      <c r="AP201" s="386"/>
      <c r="AQ201" s="386"/>
      <c r="AR201" s="386"/>
      <c r="AS201" s="386"/>
      <c r="AT201" s="386"/>
      <c r="AU201" s="386"/>
      <c r="AV201" s="386"/>
      <c r="AW201" s="386"/>
      <c r="AX201" s="386"/>
      <c r="AY201" s="386"/>
      <c r="AZ201" s="386"/>
      <c r="BA201" s="386"/>
      <c r="BB201" s="386"/>
      <c r="BD201" s="604"/>
      <c r="BE201" s="614"/>
      <c r="BF201" s="614"/>
      <c r="BG201" s="9"/>
      <c r="BH201" s="48"/>
      <c r="BI201" s="386"/>
      <c r="BJ201" s="386"/>
      <c r="BK201" s="386"/>
      <c r="BL201" s="386"/>
      <c r="BM201" s="386"/>
    </row>
    <row r="202" spans="8:65" x14ac:dyDescent="0.2">
      <c r="H202" s="610"/>
      <c r="I202" s="4"/>
      <c r="L202" s="4"/>
      <c r="M202" s="4"/>
      <c r="Q202" s="386"/>
      <c r="R202" s="386"/>
      <c r="S202" s="386"/>
      <c r="T202" s="386"/>
      <c r="V202" s="386"/>
      <c r="W202" s="386"/>
      <c r="X202" s="386"/>
      <c r="Y202" s="386"/>
      <c r="Z202" s="603"/>
      <c r="AA202" s="386"/>
      <c r="AB202" s="386"/>
      <c r="AC202" s="386"/>
      <c r="AE202" s="386"/>
      <c r="AF202" s="386"/>
      <c r="AG202" s="386"/>
      <c r="AH202" s="386"/>
      <c r="AI202" s="386"/>
      <c r="AJ202" s="386"/>
      <c r="AK202" s="386"/>
      <c r="AL202" s="386"/>
      <c r="AN202" s="386"/>
      <c r="AO202" s="386"/>
      <c r="AP202" s="386"/>
      <c r="AQ202" s="386"/>
      <c r="AR202" s="386"/>
      <c r="AS202" s="386"/>
      <c r="AT202" s="386"/>
      <c r="AU202" s="386"/>
      <c r="AV202" s="386"/>
      <c r="AW202" s="386"/>
      <c r="AX202" s="386"/>
      <c r="AY202" s="386"/>
      <c r="AZ202" s="386"/>
      <c r="BA202" s="386"/>
      <c r="BB202" s="386"/>
      <c r="BD202" s="604"/>
      <c r="BE202" s="614"/>
      <c r="BF202" s="614"/>
      <c r="BG202" s="9"/>
      <c r="BH202" s="48"/>
      <c r="BI202" s="386"/>
      <c r="BJ202" s="386"/>
      <c r="BK202" s="386"/>
      <c r="BL202" s="386"/>
      <c r="BM202" s="386"/>
    </row>
    <row r="203" spans="8:65" x14ac:dyDescent="0.2">
      <c r="H203" s="610"/>
      <c r="I203" s="4"/>
      <c r="L203" s="4"/>
      <c r="M203" s="4"/>
      <c r="Q203" s="386"/>
      <c r="R203" s="386"/>
      <c r="S203" s="386"/>
      <c r="T203" s="386"/>
      <c r="V203" s="386"/>
      <c r="W203" s="386"/>
      <c r="X203" s="386"/>
      <c r="Y203" s="386"/>
      <c r="Z203" s="603"/>
      <c r="AA203" s="386"/>
      <c r="AB203" s="386"/>
      <c r="AC203" s="386"/>
      <c r="AE203" s="386"/>
      <c r="AF203" s="386"/>
      <c r="AG203" s="386"/>
      <c r="AH203" s="386"/>
      <c r="AI203" s="386"/>
      <c r="AJ203" s="386"/>
      <c r="AK203" s="386"/>
      <c r="AL203" s="386"/>
      <c r="AN203" s="386"/>
      <c r="AO203" s="386"/>
      <c r="AP203" s="386"/>
      <c r="AQ203" s="386"/>
      <c r="AR203" s="386"/>
      <c r="AS203" s="386"/>
      <c r="AT203" s="386"/>
      <c r="AU203" s="386"/>
      <c r="AV203" s="386"/>
      <c r="AW203" s="386"/>
      <c r="AX203" s="386"/>
      <c r="AY203" s="386"/>
      <c r="AZ203" s="386"/>
      <c r="BA203" s="386"/>
      <c r="BB203" s="386"/>
      <c r="BD203" s="604"/>
      <c r="BE203" s="614"/>
      <c r="BF203" s="614"/>
      <c r="BG203" s="9"/>
      <c r="BH203" s="48"/>
      <c r="BI203" s="386"/>
      <c r="BJ203" s="386"/>
      <c r="BK203" s="386"/>
      <c r="BL203" s="386"/>
      <c r="BM203" s="386"/>
    </row>
    <row r="204" spans="8:65" x14ac:dyDescent="0.2">
      <c r="H204" s="610"/>
      <c r="I204" s="4"/>
      <c r="L204" s="4"/>
      <c r="M204" s="4"/>
      <c r="Q204" s="386"/>
      <c r="R204" s="386"/>
      <c r="S204" s="386"/>
      <c r="T204" s="386"/>
      <c r="V204" s="386"/>
      <c r="W204" s="386"/>
      <c r="X204" s="386"/>
      <c r="Y204" s="386"/>
      <c r="Z204" s="603"/>
      <c r="AA204" s="386"/>
      <c r="AB204" s="386"/>
      <c r="AC204" s="386"/>
      <c r="AE204" s="386"/>
      <c r="AF204" s="386"/>
      <c r="AG204" s="386"/>
      <c r="AH204" s="386"/>
      <c r="AI204" s="386"/>
      <c r="AJ204" s="386"/>
      <c r="AK204" s="386"/>
      <c r="AL204" s="386"/>
      <c r="AN204" s="386"/>
      <c r="AO204" s="386"/>
      <c r="AP204" s="386"/>
      <c r="AQ204" s="386"/>
      <c r="AR204" s="386"/>
      <c r="AS204" s="386"/>
      <c r="AT204" s="386"/>
      <c r="AU204" s="386"/>
      <c r="AV204" s="386"/>
      <c r="AW204" s="386"/>
      <c r="AX204" s="386"/>
      <c r="AY204" s="386"/>
      <c r="AZ204" s="386"/>
      <c r="BA204" s="386"/>
      <c r="BB204" s="386"/>
      <c r="BD204" s="604"/>
      <c r="BE204" s="614"/>
      <c r="BF204" s="614"/>
      <c r="BG204" s="9"/>
      <c r="BH204" s="48"/>
      <c r="BI204" s="386"/>
      <c r="BJ204" s="386"/>
      <c r="BK204" s="386"/>
      <c r="BL204" s="386"/>
      <c r="BM204" s="386"/>
    </row>
    <row r="205" spans="8:65" x14ac:dyDescent="0.2">
      <c r="H205" s="610"/>
      <c r="I205" s="4"/>
      <c r="L205" s="4"/>
      <c r="M205" s="4"/>
      <c r="Q205" s="386"/>
      <c r="R205" s="386"/>
      <c r="S205" s="386"/>
      <c r="T205" s="386"/>
      <c r="V205" s="386"/>
      <c r="W205" s="386"/>
      <c r="X205" s="386"/>
      <c r="Y205" s="386"/>
      <c r="Z205" s="603"/>
      <c r="AA205" s="386"/>
      <c r="AB205" s="386"/>
      <c r="AC205" s="386"/>
      <c r="AE205" s="386"/>
      <c r="AF205" s="386"/>
      <c r="AG205" s="386"/>
      <c r="AH205" s="386"/>
      <c r="AI205" s="386"/>
      <c r="AJ205" s="386"/>
      <c r="AK205" s="386"/>
      <c r="AL205" s="386"/>
      <c r="AN205" s="386"/>
      <c r="AO205" s="386"/>
      <c r="AP205" s="386"/>
      <c r="AQ205" s="386"/>
      <c r="AR205" s="386"/>
      <c r="AS205" s="386"/>
      <c r="AT205" s="386"/>
      <c r="AU205" s="386"/>
      <c r="AV205" s="386"/>
      <c r="AW205" s="386"/>
      <c r="AX205" s="386"/>
      <c r="AY205" s="386"/>
      <c r="AZ205" s="386"/>
      <c r="BA205" s="386"/>
      <c r="BB205" s="386"/>
      <c r="BD205" s="604"/>
      <c r="BE205" s="614"/>
      <c r="BF205" s="614"/>
      <c r="BG205" s="9"/>
      <c r="BH205" s="48"/>
      <c r="BI205" s="386"/>
      <c r="BJ205" s="386"/>
      <c r="BK205" s="386"/>
      <c r="BL205" s="386"/>
      <c r="BM205" s="386"/>
    </row>
    <row r="206" spans="8:65" x14ac:dyDescent="0.2">
      <c r="H206" s="610"/>
      <c r="I206" s="4"/>
      <c r="L206" s="4"/>
      <c r="M206" s="4"/>
      <c r="Q206" s="386"/>
      <c r="R206" s="386"/>
      <c r="S206" s="386"/>
      <c r="T206" s="386"/>
      <c r="V206" s="386"/>
      <c r="W206" s="386"/>
      <c r="X206" s="386"/>
      <c r="Y206" s="386"/>
      <c r="Z206" s="603"/>
      <c r="AA206" s="386"/>
      <c r="AB206" s="386"/>
      <c r="AC206" s="386"/>
      <c r="AE206" s="386"/>
      <c r="AF206" s="386"/>
      <c r="AG206" s="386"/>
      <c r="AH206" s="386"/>
      <c r="AI206" s="386"/>
      <c r="AJ206" s="386"/>
      <c r="AK206" s="386"/>
      <c r="AL206" s="386"/>
      <c r="AN206" s="386"/>
      <c r="AO206" s="386"/>
      <c r="AP206" s="386"/>
      <c r="AQ206" s="386"/>
      <c r="AR206" s="386"/>
      <c r="AS206" s="386"/>
      <c r="AT206" s="386"/>
      <c r="AU206" s="386"/>
      <c r="AV206" s="386"/>
      <c r="AW206" s="386"/>
      <c r="AX206" s="386"/>
      <c r="AY206" s="386"/>
      <c r="AZ206" s="386"/>
      <c r="BA206" s="386"/>
      <c r="BB206" s="386"/>
      <c r="BD206" s="604"/>
      <c r="BE206" s="614"/>
      <c r="BF206" s="614"/>
      <c r="BG206" s="9"/>
      <c r="BH206" s="48"/>
      <c r="BI206" s="386"/>
      <c r="BJ206" s="386"/>
      <c r="BK206" s="386"/>
      <c r="BL206" s="386"/>
      <c r="BM206" s="386"/>
    </row>
    <row r="207" spans="8:65" x14ac:dyDescent="0.2">
      <c r="H207" s="610"/>
      <c r="I207" s="4"/>
      <c r="L207" s="4"/>
      <c r="M207" s="4"/>
      <c r="Q207" s="386"/>
      <c r="R207" s="386"/>
      <c r="S207" s="386"/>
      <c r="T207" s="386"/>
      <c r="V207" s="386"/>
      <c r="W207" s="386"/>
      <c r="X207" s="386"/>
      <c r="Y207" s="386"/>
      <c r="Z207" s="603"/>
      <c r="AA207" s="386"/>
      <c r="AB207" s="386"/>
      <c r="AC207" s="386"/>
      <c r="AE207" s="386"/>
      <c r="AF207" s="386"/>
      <c r="AG207" s="386"/>
      <c r="AH207" s="386"/>
      <c r="AI207" s="386"/>
      <c r="AJ207" s="386"/>
      <c r="AK207" s="386"/>
      <c r="AL207" s="386"/>
      <c r="AN207" s="386"/>
      <c r="AO207" s="386"/>
      <c r="AP207" s="386"/>
      <c r="AQ207" s="386"/>
      <c r="AR207" s="386"/>
      <c r="AS207" s="386"/>
      <c r="AT207" s="386"/>
      <c r="AU207" s="386"/>
      <c r="AV207" s="386"/>
      <c r="AW207" s="386"/>
      <c r="AX207" s="386"/>
      <c r="AY207" s="386"/>
      <c r="AZ207" s="386"/>
      <c r="BA207" s="386"/>
      <c r="BB207" s="386"/>
      <c r="BD207" s="604"/>
      <c r="BE207" s="614"/>
      <c r="BF207" s="614"/>
      <c r="BG207" s="9"/>
      <c r="BH207" s="48"/>
      <c r="BI207" s="386"/>
      <c r="BJ207" s="386"/>
      <c r="BK207" s="386"/>
      <c r="BL207" s="386"/>
      <c r="BM207" s="386"/>
    </row>
    <row r="208" spans="8:65" x14ac:dyDescent="0.2">
      <c r="H208" s="610"/>
      <c r="I208" s="4"/>
      <c r="L208" s="4"/>
      <c r="M208" s="4"/>
      <c r="Q208" s="386"/>
      <c r="R208" s="386"/>
      <c r="S208" s="386"/>
      <c r="T208" s="386"/>
      <c r="V208" s="386"/>
      <c r="W208" s="386"/>
      <c r="X208" s="386"/>
      <c r="Y208" s="386"/>
      <c r="Z208" s="603"/>
      <c r="AA208" s="386"/>
      <c r="AB208" s="386"/>
      <c r="AC208" s="386"/>
      <c r="AE208" s="386"/>
      <c r="AF208" s="386"/>
      <c r="AG208" s="386"/>
      <c r="AH208" s="386"/>
      <c r="AI208" s="386"/>
      <c r="AJ208" s="386"/>
      <c r="AK208" s="386"/>
      <c r="AL208" s="386"/>
      <c r="AN208" s="386"/>
      <c r="AO208" s="386"/>
      <c r="AP208" s="386"/>
      <c r="AQ208" s="386"/>
      <c r="AR208" s="386"/>
      <c r="AS208" s="386"/>
      <c r="AT208" s="386"/>
      <c r="AU208" s="386"/>
      <c r="AV208" s="386"/>
      <c r="AW208" s="386"/>
      <c r="AX208" s="386"/>
      <c r="AY208" s="386"/>
      <c r="AZ208" s="386"/>
      <c r="BA208" s="386"/>
      <c r="BB208" s="386"/>
      <c r="BD208" s="604"/>
      <c r="BE208" s="614"/>
      <c r="BF208" s="614"/>
      <c r="BG208" s="9"/>
      <c r="BH208" s="48"/>
      <c r="BI208" s="386"/>
      <c r="BJ208" s="386"/>
      <c r="BK208" s="386"/>
      <c r="BL208" s="386"/>
      <c r="BM208" s="386"/>
    </row>
    <row r="209" spans="8:65" x14ac:dyDescent="0.2">
      <c r="H209" s="610"/>
      <c r="I209" s="4"/>
      <c r="L209" s="4"/>
      <c r="M209" s="4"/>
      <c r="Q209" s="386"/>
      <c r="R209" s="386"/>
      <c r="S209" s="386"/>
      <c r="T209" s="386"/>
      <c r="V209" s="386"/>
      <c r="W209" s="386"/>
      <c r="X209" s="386"/>
      <c r="Y209" s="386"/>
      <c r="Z209" s="603"/>
      <c r="AA209" s="386"/>
      <c r="AB209" s="386"/>
      <c r="AC209" s="386"/>
      <c r="AE209" s="386"/>
      <c r="AF209" s="386"/>
      <c r="AG209" s="386"/>
      <c r="AH209" s="386"/>
      <c r="AI209" s="386"/>
      <c r="AJ209" s="386"/>
      <c r="AK209" s="386"/>
      <c r="AL209" s="386"/>
      <c r="AN209" s="386"/>
      <c r="AO209" s="386"/>
      <c r="AP209" s="386"/>
      <c r="AQ209" s="386"/>
      <c r="AR209" s="386"/>
      <c r="AS209" s="386"/>
      <c r="AT209" s="386"/>
      <c r="AU209" s="386"/>
      <c r="AV209" s="386"/>
      <c r="AW209" s="386"/>
      <c r="AX209" s="386"/>
      <c r="AY209" s="386"/>
      <c r="AZ209" s="386"/>
      <c r="BA209" s="386"/>
      <c r="BB209" s="386"/>
      <c r="BD209" s="604"/>
      <c r="BE209" s="614"/>
      <c r="BF209" s="614"/>
      <c r="BG209" s="9"/>
      <c r="BH209" s="48"/>
      <c r="BI209" s="386"/>
      <c r="BJ209" s="386"/>
      <c r="BK209" s="386"/>
      <c r="BL209" s="386"/>
      <c r="BM209" s="386"/>
    </row>
  </sheetData>
  <sheetProtection selectLockedCells="1"/>
  <mergeCells count="13">
    <mergeCell ref="BH7:BM7"/>
    <mergeCell ref="AA7:AE7"/>
    <mergeCell ref="AF7:AI7"/>
    <mergeCell ref="AJ7:AN7"/>
    <mergeCell ref="AO7:AR7"/>
    <mergeCell ref="AX7:BA7"/>
    <mergeCell ref="BB7:BF7"/>
    <mergeCell ref="X7:Z7"/>
    <mergeCell ref="A1:D4"/>
    <mergeCell ref="A6:D7"/>
    <mergeCell ref="G7:P7"/>
    <mergeCell ref="Q7:T7"/>
    <mergeCell ref="U7:W7"/>
  </mergeCells>
  <pageMargins left="0.75" right="0.75" top="1" bottom="1" header="0.5" footer="0.5"/>
  <pageSetup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/>
  <dimension ref="A1:AE687"/>
  <sheetViews>
    <sheetView zoomScaleNormal="100" workbookViewId="0">
      <pane ySplit="11" topLeftCell="A13" activePane="bottomLeft" state="frozen"/>
      <selection activeCell="A93" sqref="A93"/>
      <selection pane="bottomLeft" activeCell="K5" sqref="K5"/>
    </sheetView>
  </sheetViews>
  <sheetFormatPr defaultColWidth="9.140625" defaultRowHeight="12.75" x14ac:dyDescent="0.2"/>
  <cols>
    <col min="1" max="1" width="16.140625" style="345" customWidth="1"/>
    <col min="2" max="2" width="15.7109375" style="345" customWidth="1"/>
    <col min="3" max="3" width="10" style="345" customWidth="1"/>
    <col min="4" max="4" width="10.85546875" style="345" customWidth="1"/>
    <col min="5" max="5" width="10.140625" style="345" customWidth="1"/>
    <col min="6" max="8" width="11.85546875" style="345" customWidth="1"/>
    <col min="9" max="9" width="14.28515625" style="345" customWidth="1"/>
    <col min="10" max="10" width="11" style="345" customWidth="1"/>
    <col min="11" max="11" width="12" style="345" customWidth="1"/>
    <col min="12" max="12" width="11.42578125" style="345" customWidth="1"/>
    <col min="13" max="13" width="10.85546875" style="345" customWidth="1"/>
    <col min="14" max="14" width="11.42578125" style="345" customWidth="1"/>
    <col min="15" max="15" width="12.28515625" style="345" customWidth="1"/>
    <col min="16" max="16" width="12.140625" style="345" customWidth="1"/>
    <col min="17" max="17" width="9.42578125" style="345" customWidth="1"/>
    <col min="18" max="18" width="16.140625" style="345" bestFit="1" customWidth="1"/>
    <col min="19" max="19" width="13.140625" style="385" customWidth="1"/>
    <col min="20" max="20" width="9.140625" style="345"/>
    <col min="21" max="21" width="13.42578125" style="345" bestFit="1" customWidth="1"/>
    <col min="22" max="22" width="9.28515625" style="345" bestFit="1" customWidth="1"/>
    <col min="23" max="23" width="9.140625" style="345"/>
    <col min="24" max="24" width="13.5703125" style="345" customWidth="1"/>
    <col min="25" max="25" width="10.5703125" style="345" customWidth="1"/>
    <col min="26" max="26" width="9.140625" style="345"/>
    <col min="27" max="27" width="9.28515625" style="345" bestFit="1" customWidth="1"/>
    <col min="28" max="28" width="11.28515625" style="345" bestFit="1" customWidth="1"/>
    <col min="29" max="29" width="9.140625" style="345"/>
    <col min="30" max="30" width="12.28515625" customWidth="1"/>
    <col min="31" max="31" width="8.85546875" customWidth="1"/>
    <col min="32" max="16384" width="9.140625" style="345"/>
  </cols>
  <sheetData>
    <row r="1" spans="1:31" ht="13.5" thickBot="1" x14ac:dyDescent="0.25"/>
    <row r="2" spans="1:31" x14ac:dyDescent="0.2">
      <c r="A2" s="725" t="s">
        <v>586</v>
      </c>
      <c r="B2" s="726"/>
      <c r="C2" s="727"/>
      <c r="D2" s="728"/>
      <c r="E2" s="725" t="s">
        <v>473</v>
      </c>
      <c r="F2" s="726"/>
      <c r="G2" s="726"/>
      <c r="H2" s="436"/>
      <c r="I2" s="453"/>
      <c r="J2" s="725" t="s">
        <v>584</v>
      </c>
      <c r="K2" s="727"/>
      <c r="L2" s="728"/>
      <c r="M2" s="725" t="s">
        <v>585</v>
      </c>
      <c r="N2" s="727"/>
      <c r="O2" s="728"/>
      <c r="P2" s="725" t="s">
        <v>474</v>
      </c>
      <c r="Q2" s="726"/>
      <c r="R2" s="734"/>
      <c r="AD2" s="118"/>
      <c r="AE2" s="118"/>
    </row>
    <row r="3" spans="1:31" x14ac:dyDescent="0.2">
      <c r="B3" s="346" t="s">
        <v>475</v>
      </c>
      <c r="C3" s="439">
        <f>Afb</f>
        <v>6.25E-2</v>
      </c>
      <c r="D3" s="348" t="s">
        <v>30</v>
      </c>
      <c r="E3" s="349" t="s">
        <v>476</v>
      </c>
      <c r="F3" s="347">
        <f>Acs</f>
        <v>66.666666666666671</v>
      </c>
      <c r="G3" s="348" t="s">
        <v>583</v>
      </c>
      <c r="H3" s="451" t="s">
        <v>492</v>
      </c>
      <c r="I3" s="464">
        <f>gm</f>
        <v>1.2700000000000001E-3</v>
      </c>
      <c r="J3" s="349" t="s">
        <v>611</v>
      </c>
      <c r="K3" s="350">
        <f>Fesr</f>
        <v>80381.28448169514</v>
      </c>
      <c r="L3" s="348" t="s">
        <v>10</v>
      </c>
      <c r="M3" s="349" t="s">
        <v>478</v>
      </c>
      <c r="N3" s="350">
        <f>Fsw/2</f>
        <v>125000</v>
      </c>
      <c r="O3" s="348" t="s">
        <v>10</v>
      </c>
      <c r="P3" s="351" t="s">
        <v>479</v>
      </c>
      <c r="Q3" s="350">
        <f>Am*Afb*AEA</f>
        <v>22345.805293832589</v>
      </c>
      <c r="R3" s="348" t="s">
        <v>30</v>
      </c>
    </row>
    <row r="4" spans="1:31" x14ac:dyDescent="0.2">
      <c r="B4" s="346" t="s">
        <v>618</v>
      </c>
      <c r="C4" s="350">
        <f>Fz1_u</f>
        <v>798.48958094399131</v>
      </c>
      <c r="D4" s="348" t="s">
        <v>10</v>
      </c>
      <c r="E4" s="349" t="s">
        <v>481</v>
      </c>
      <c r="F4" s="355">
        <f>Am</f>
        <v>14.07609782288667</v>
      </c>
      <c r="G4" s="348" t="s">
        <v>30</v>
      </c>
      <c r="H4" s="452"/>
      <c r="I4" s="452"/>
      <c r="J4" s="349" t="s">
        <v>610</v>
      </c>
      <c r="K4" s="350">
        <f>Fp_dominant</f>
        <v>710.29730474096323</v>
      </c>
      <c r="L4" s="348" t="s">
        <v>10</v>
      </c>
      <c r="M4" s="349" t="s">
        <v>483</v>
      </c>
      <c r="N4" s="437">
        <f>Q*pole3</f>
        <v>57107.574976624936</v>
      </c>
      <c r="O4" s="348"/>
      <c r="P4" s="351" t="s">
        <v>484</v>
      </c>
      <c r="Q4" s="391">
        <f>AE7</f>
        <v>4.3651999999999997</v>
      </c>
      <c r="R4" s="348" t="s">
        <v>3</v>
      </c>
    </row>
    <row r="5" spans="1:31" x14ac:dyDescent="0.2">
      <c r="B5" s="346" t="s">
        <v>617</v>
      </c>
      <c r="C5" s="355">
        <f>Fp1_u</f>
        <v>0.24107104998798903</v>
      </c>
      <c r="D5" s="348" t="s">
        <v>10</v>
      </c>
      <c r="E5" s="349" t="s">
        <v>29</v>
      </c>
      <c r="F5" s="439">
        <f>Q</f>
        <v>0.45686059981299948</v>
      </c>
      <c r="G5" s="348"/>
      <c r="H5" s="452"/>
      <c r="I5" s="452"/>
      <c r="J5" s="349" t="s">
        <v>612</v>
      </c>
      <c r="K5" s="350">
        <f>IF(VIN_nom&gt;Vout, 10000000,Frhp)</f>
        <v>44322.846065897655</v>
      </c>
      <c r="L5" s="348" t="s">
        <v>10</v>
      </c>
      <c r="M5" s="349" t="s">
        <v>486</v>
      </c>
      <c r="N5" s="347">
        <f>pole3^2</f>
        <v>15625000000</v>
      </c>
      <c r="O5" s="348"/>
      <c r="P5" s="351" t="s">
        <v>487</v>
      </c>
      <c r="Q5" s="355">
        <f>AE9</f>
        <v>70.51257005753375</v>
      </c>
      <c r="R5" s="418" t="s">
        <v>552</v>
      </c>
    </row>
    <row r="6" spans="1:31" x14ac:dyDescent="0.2">
      <c r="B6" s="346" t="s">
        <v>488</v>
      </c>
      <c r="C6" s="347">
        <f>AEA</f>
        <v>25400</v>
      </c>
      <c r="D6" s="348" t="s">
        <v>30</v>
      </c>
      <c r="E6" s="349" t="s">
        <v>517</v>
      </c>
      <c r="F6" s="439">
        <f>mc</f>
        <v>1.2828282828282829</v>
      </c>
      <c r="G6" s="451"/>
      <c r="H6" s="454"/>
      <c r="I6" s="354"/>
      <c r="J6" s="352"/>
      <c r="K6" s="353"/>
      <c r="L6" s="354"/>
      <c r="M6" s="352"/>
      <c r="N6" s="467"/>
      <c r="O6" s="354"/>
      <c r="P6" s="435" t="s">
        <v>489</v>
      </c>
      <c r="Q6" s="353">
        <f>180/Pi</f>
        <v>57.295779578552292</v>
      </c>
      <c r="R6" s="354"/>
      <c r="AD6" s="5" t="s">
        <v>50</v>
      </c>
      <c r="AE6" s="5"/>
    </row>
    <row r="7" spans="1:31" ht="13.5" thickBot="1" x14ac:dyDescent="0.25">
      <c r="B7" s="431" t="s">
        <v>616</v>
      </c>
      <c r="C7" s="438">
        <f>Fp2_u</f>
        <v>21505.664448581574</v>
      </c>
      <c r="D7" s="433" t="s">
        <v>10</v>
      </c>
      <c r="E7" s="432" t="s">
        <v>491</v>
      </c>
      <c r="F7" s="434">
        <f>k</f>
        <v>1.1967330662302729</v>
      </c>
      <c r="G7" s="434"/>
      <c r="H7" s="455"/>
      <c r="I7" s="433"/>
      <c r="J7" s="432"/>
      <c r="K7" s="432"/>
      <c r="L7" s="433"/>
      <c r="M7" s="432"/>
      <c r="N7" s="432"/>
      <c r="O7" s="433"/>
      <c r="P7" s="432"/>
      <c r="Q7" s="432"/>
      <c r="R7" s="433"/>
      <c r="AD7" t="s">
        <v>47</v>
      </c>
      <c r="AE7">
        <f>SUM(AD12:AD613)/1000</f>
        <v>4.3651999999999997</v>
      </c>
    </row>
    <row r="8" spans="1:31" x14ac:dyDescent="0.2">
      <c r="B8" s="440"/>
      <c r="C8" s="441"/>
      <c r="F8" s="442"/>
      <c r="G8" s="442"/>
      <c r="H8" s="442"/>
    </row>
    <row r="9" spans="1:31" ht="13.5" thickBot="1" x14ac:dyDescent="0.25">
      <c r="AD9" t="s">
        <v>48</v>
      </c>
      <c r="AE9" s="4">
        <f>SUM(AE13:AE613)</f>
        <v>70.51257005753375</v>
      </c>
    </row>
    <row r="10" spans="1:31" ht="15" x14ac:dyDescent="0.25">
      <c r="A10" s="729" t="s">
        <v>626</v>
      </c>
      <c r="B10" s="723"/>
      <c r="C10" s="737" t="s">
        <v>493</v>
      </c>
      <c r="D10" s="738"/>
      <c r="E10" s="738"/>
      <c r="F10" s="738"/>
      <c r="G10" s="738"/>
      <c r="H10" s="739"/>
      <c r="I10" s="737" t="s">
        <v>494</v>
      </c>
      <c r="J10" s="738"/>
      <c r="K10" s="738"/>
      <c r="L10" s="738"/>
      <c r="M10" s="738"/>
      <c r="N10" s="739"/>
      <c r="O10" s="732" t="s">
        <v>495</v>
      </c>
      <c r="P10" s="733"/>
      <c r="Q10" s="732" t="s">
        <v>496</v>
      </c>
      <c r="R10" s="740"/>
      <c r="S10" s="741"/>
      <c r="X10" s="742" t="s">
        <v>497</v>
      </c>
      <c r="Y10" s="743"/>
      <c r="AA10" s="742" t="s">
        <v>498</v>
      </c>
      <c r="AB10" s="743"/>
    </row>
    <row r="11" spans="1:31" x14ac:dyDescent="0.2">
      <c r="A11" s="730"/>
      <c r="B11" s="724"/>
      <c r="C11" s="744" t="s">
        <v>610</v>
      </c>
      <c r="D11" s="745"/>
      <c r="E11" s="745" t="s">
        <v>611</v>
      </c>
      <c r="F11" s="746"/>
      <c r="G11" s="735" t="s">
        <v>612</v>
      </c>
      <c r="H11" s="736"/>
      <c r="I11" s="744" t="s">
        <v>482</v>
      </c>
      <c r="J11" s="745"/>
      <c r="K11" s="745" t="s">
        <v>477</v>
      </c>
      <c r="L11" s="746"/>
      <c r="M11" s="735" t="s">
        <v>485</v>
      </c>
      <c r="N11" s="736"/>
      <c r="O11" s="744" t="s">
        <v>478</v>
      </c>
      <c r="P11" s="746"/>
      <c r="Q11" s="349"/>
      <c r="R11" s="347"/>
      <c r="S11" s="392"/>
      <c r="X11" s="349"/>
      <c r="Y11" s="348"/>
      <c r="AA11" s="349"/>
      <c r="AB11" s="348"/>
    </row>
    <row r="12" spans="1:31" ht="13.5" thickBot="1" x14ac:dyDescent="0.25">
      <c r="A12" s="731"/>
      <c r="B12" s="389"/>
      <c r="C12" s="356" t="s">
        <v>499</v>
      </c>
      <c r="D12" s="357" t="s">
        <v>500</v>
      </c>
      <c r="E12" s="357" t="s">
        <v>499</v>
      </c>
      <c r="F12" s="358" t="s">
        <v>500</v>
      </c>
      <c r="G12" s="357" t="s">
        <v>499</v>
      </c>
      <c r="H12" s="358" t="s">
        <v>500</v>
      </c>
      <c r="I12" s="356" t="s">
        <v>499</v>
      </c>
      <c r="J12" s="357" t="s">
        <v>500</v>
      </c>
      <c r="K12" s="357" t="s">
        <v>499</v>
      </c>
      <c r="L12" s="358" t="s">
        <v>500</v>
      </c>
      <c r="M12" s="356" t="s">
        <v>499</v>
      </c>
      <c r="N12" s="357" t="s">
        <v>500</v>
      </c>
      <c r="O12" s="356" t="s">
        <v>499</v>
      </c>
      <c r="P12" s="358" t="s">
        <v>500</v>
      </c>
      <c r="Q12" s="356" t="s">
        <v>501</v>
      </c>
      <c r="R12" s="357" t="s">
        <v>502</v>
      </c>
      <c r="S12" s="393" t="s">
        <v>503</v>
      </c>
      <c r="V12" s="359" t="s">
        <v>504</v>
      </c>
      <c r="X12" s="360" t="s">
        <v>505</v>
      </c>
      <c r="Y12" s="361" t="s">
        <v>506</v>
      </c>
      <c r="AA12" s="360" t="s">
        <v>505</v>
      </c>
      <c r="AB12" s="361" t="s">
        <v>506</v>
      </c>
    </row>
    <row r="13" spans="1:31" x14ac:dyDescent="0.2">
      <c r="A13" s="362">
        <v>1</v>
      </c>
      <c r="B13" s="390">
        <f>A13/1000</f>
        <v>1E-3</v>
      </c>
      <c r="C13" s="363">
        <f t="shared" ref="C13:C76" si="0">SQRT(1+(A13/pole1)^2)</f>
        <v>1.0000009910360568</v>
      </c>
      <c r="D13" s="364">
        <f t="shared" ref="D13:D76" si="1">ATAN(A13/pole1)</f>
        <v>1.4078602475824421E-3</v>
      </c>
      <c r="E13" s="364">
        <f t="shared" ref="E13:E76" si="2">SQRT(1+(A13/Zero1)^2)</f>
        <v>1.0000000000773857</v>
      </c>
      <c r="F13" s="365">
        <f t="shared" ref="F13:F76" si="3">ATAN(A13/Zero1)</f>
        <v>1.2440706893358179E-5</v>
      </c>
      <c r="G13" s="364">
        <f t="shared" ref="G13:G76" si="4">IF(VIN_nom&gt;Vout, 1, SQRT(1+(A13/z_RHP)^2))</f>
        <v>1.0000000002545157</v>
      </c>
      <c r="H13" s="365">
        <f t="shared" ref="H13:H76" si="5">IF(VIN_nom&gt;Vout, 0, -ATAN(A13/z_RHP))</f>
        <v>-2.2561728061044588E-5</v>
      </c>
      <c r="I13" s="363">
        <f t="shared" ref="I13:I76" si="6">SQRT(1+(A13/Pole2)^2)</f>
        <v>4.2669880599751719</v>
      </c>
      <c r="J13" s="366">
        <f t="shared" ref="J13:J76" si="7">ATAN(A13/Pole2)</f>
        <v>1.3342388750412126</v>
      </c>
      <c r="K13" s="364">
        <f t="shared" ref="K13:K76" si="8">SQRT(1+(A13/Zero2)^2)</f>
        <v>1.0000007842081053</v>
      </c>
      <c r="L13" s="365">
        <f t="shared" ref="L13:L76" si="9">ATAN(A13/Zero2)</f>
        <v>1.252363839253435E-3</v>
      </c>
      <c r="M13" s="363">
        <f t="shared" ref="M13:M76" si="10">SQRT(1+(A13/pole4)^2)</f>
        <v>1.0000000010810959</v>
      </c>
      <c r="N13" s="366">
        <f t="shared" ref="N13:N76" si="11">ATAN(A13/pole4)</f>
        <v>4.6499377020886478E-5</v>
      </c>
      <c r="O13" s="367">
        <f t="shared" ref="O13:O76" si="12">SQRT((1-(V13/pterm2))^2+(A13/pterm1)^2)</f>
        <v>1.0000000000893143</v>
      </c>
      <c r="P13" s="368">
        <f t="shared" ref="P13:P76" si="13">IF((ATAN((A13/pterm1)/(1-A13^2/pterm2))&gt;0),ATAN((A13/pterm1)/(1-A13^2/pterm2)),PI()+ATAN((A13/pterm1)/(1-A13^2/pterm2)))</f>
        <v>1.751081183837883E-5</v>
      </c>
      <c r="Q13" s="369">
        <f t="shared" ref="Q13:Q76" si="14">20*LOG10(((E13*K13*G13)/(C13*I13*O13*M13))*Adc)</f>
        <v>74.381489850140269</v>
      </c>
      <c r="R13" s="370">
        <f t="shared" ref="R13:R76" si="15">((F13+L13+H13)-(D13+J13+P13+N13))*radconv</f>
        <v>-76.459413182903347</v>
      </c>
      <c r="S13" s="394">
        <f t="shared" ref="S13:S76" si="16">IF(R13&gt;0,R13,R13+180)</f>
        <v>103.54058681709665</v>
      </c>
      <c r="U13" s="345">
        <f>IF(Q13&lt;0,A13,1000000000)</f>
        <v>1000000000</v>
      </c>
      <c r="V13" s="345">
        <f>A13^2</f>
        <v>1</v>
      </c>
      <c r="X13" s="371">
        <f t="shared" ref="X13:X76" si="17">20*LOG10((K13/(I13*M13))*AEA)</f>
        <v>75.494252582469628</v>
      </c>
      <c r="Y13" s="372">
        <f t="shared" ref="Y13:Y76" si="18">(L13-(J13+N13))*radconv</f>
        <v>-76.3771655450672</v>
      </c>
      <c r="AA13" s="371">
        <f t="shared" ref="AA13:AA76" si="19">20*LOG10((E13*G13/(C13*O13))*Acs*Am)</f>
        <v>59.447811739675522</v>
      </c>
      <c r="AB13" s="372">
        <f t="shared" ref="AB13:AB76" si="20">(F13+H13-(D13+P13))*radconv</f>
        <v>-8.2247637836156531E-2</v>
      </c>
      <c r="AD13">
        <f>SUM((Q14&lt;0)*(Q13&gt;0))*A13</f>
        <v>0</v>
      </c>
      <c r="AE13">
        <f t="shared" ref="AE13:AE44" si="21">IF(AD13&gt;0,S11,0)</f>
        <v>0</v>
      </c>
    </row>
    <row r="14" spans="1:31" x14ac:dyDescent="0.2">
      <c r="A14" s="373">
        <v>1.0965</v>
      </c>
      <c r="B14" s="390">
        <f t="shared" ref="B14:B77" si="22">A14/1000</f>
        <v>1.0965E-3</v>
      </c>
      <c r="C14" s="363">
        <f t="shared" si="0"/>
        <v>1.0000011915346718</v>
      </c>
      <c r="D14" s="364">
        <f t="shared" si="1"/>
        <v>1.5437185551320108E-3</v>
      </c>
      <c r="E14" s="364">
        <f t="shared" si="2"/>
        <v>1.0000000000930416</v>
      </c>
      <c r="F14" s="365">
        <f t="shared" si="3"/>
        <v>1.3641235108424866E-5</v>
      </c>
      <c r="G14" s="364">
        <f t="shared" si="4"/>
        <v>1.0000000003060074</v>
      </c>
      <c r="H14" s="365">
        <f t="shared" si="5"/>
        <v>-2.4738934818086156E-5</v>
      </c>
      <c r="I14" s="363">
        <f t="shared" si="6"/>
        <v>4.6570819021299137</v>
      </c>
      <c r="J14" s="366">
        <f t="shared" si="7"/>
        <v>1.3543842950542877</v>
      </c>
      <c r="K14" s="374">
        <f t="shared" si="8"/>
        <v>1.0000009428629368</v>
      </c>
      <c r="L14" s="375">
        <f t="shared" si="9"/>
        <v>1.3732168044964888E-3</v>
      </c>
      <c r="M14" s="363">
        <f t="shared" si="10"/>
        <v>1.0000000012998149</v>
      </c>
      <c r="N14" s="366">
        <f t="shared" si="11"/>
        <v>5.0986566895967536E-5</v>
      </c>
      <c r="O14" s="367">
        <f t="shared" si="12"/>
        <v>1.0000000001073837</v>
      </c>
      <c r="P14" s="368">
        <f t="shared" si="13"/>
        <v>1.9200605180633961E-5</v>
      </c>
      <c r="Q14" s="369">
        <f t="shared" si="14"/>
        <v>73.621640522232624</v>
      </c>
      <c r="R14" s="370">
        <f t="shared" si="15"/>
        <v>-77.614930344902504</v>
      </c>
      <c r="S14" s="392">
        <f t="shared" si="16"/>
        <v>102.3850696550975</v>
      </c>
      <c r="U14" s="345">
        <f t="shared" ref="U14:U77" si="23">IF(Q14&lt;0,A14,1000000000)</f>
        <v>1000000000</v>
      </c>
      <c r="V14" s="345">
        <f t="shared" ref="V14:V77" si="24">A14^2</f>
        <v>1.2023122500000001</v>
      </c>
      <c r="X14" s="371">
        <f t="shared" si="17"/>
        <v>74.734404995642635</v>
      </c>
      <c r="Y14" s="372">
        <f t="shared" si="18"/>
        <v>-77.524745821837755</v>
      </c>
      <c r="AA14" s="371">
        <f t="shared" si="19"/>
        <v>59.447809998594863</v>
      </c>
      <c r="AB14" s="372">
        <f t="shared" si="20"/>
        <v>-9.0184523064763045E-2</v>
      </c>
      <c r="AD14">
        <f t="shared" ref="AD14:AD77" si="25">SUM((Q15&lt;0)*(Q14&gt;0))*A14</f>
        <v>0</v>
      </c>
      <c r="AE14">
        <f t="shared" si="21"/>
        <v>0</v>
      </c>
    </row>
    <row r="15" spans="1:31" x14ac:dyDescent="0.2">
      <c r="A15" s="373">
        <v>1.2022999999999999</v>
      </c>
      <c r="B15" s="390">
        <f t="shared" si="22"/>
        <v>1.2022999999999999E-3</v>
      </c>
      <c r="C15" s="363">
        <f t="shared" si="0"/>
        <v>1.0000014325673672</v>
      </c>
      <c r="D15" s="364">
        <f t="shared" si="1"/>
        <v>1.69266987742424E-3</v>
      </c>
      <c r="E15" s="364">
        <f t="shared" si="2"/>
        <v>1.000000000111863</v>
      </c>
      <c r="F15" s="365">
        <f t="shared" si="3"/>
        <v>1.4957461897540745E-5</v>
      </c>
      <c r="G15" s="364">
        <f t="shared" si="4"/>
        <v>1.000000000367909</v>
      </c>
      <c r="H15" s="365">
        <f t="shared" si="5"/>
        <v>-2.7125965645743304E-5</v>
      </c>
      <c r="I15" s="363">
        <f t="shared" si="6"/>
        <v>5.0865925852727258</v>
      </c>
      <c r="J15" s="366">
        <f t="shared" si="7"/>
        <v>1.372912128003954</v>
      </c>
      <c r="K15" s="374">
        <f t="shared" si="8"/>
        <v>1.000001133592451</v>
      </c>
      <c r="L15" s="375">
        <f t="shared" si="9"/>
        <v>1.5057166932187162E-3</v>
      </c>
      <c r="M15" s="363">
        <f t="shared" si="10"/>
        <v>1.0000000015627517</v>
      </c>
      <c r="N15" s="366">
        <f t="shared" si="11"/>
        <v>5.5906200974260118E-5</v>
      </c>
      <c r="O15" s="367">
        <f t="shared" si="12"/>
        <v>1.0000000001291061</v>
      </c>
      <c r="P15" s="368">
        <f t="shared" si="13"/>
        <v>2.1053249072924469E-5</v>
      </c>
      <c r="Q15" s="369">
        <f t="shared" si="14"/>
        <v>72.855378521434744</v>
      </c>
      <c r="R15" s="370">
        <f t="shared" si="15"/>
        <v>-78.677888950864414</v>
      </c>
      <c r="S15" s="392">
        <f t="shared" si="16"/>
        <v>101.32211104913559</v>
      </c>
      <c r="U15" s="345">
        <f t="shared" si="23"/>
        <v>1000000000</v>
      </c>
      <c r="V15" s="345">
        <f t="shared" si="24"/>
        <v>1.4455252899999997</v>
      </c>
      <c r="X15" s="371">
        <f t="shared" si="17"/>
        <v>73.968145087912916</v>
      </c>
      <c r="Y15" s="372">
        <f t="shared" si="18"/>
        <v>-78.579002644441402</v>
      </c>
      <c r="AA15" s="371">
        <f t="shared" si="19"/>
        <v>59.447807905526695</v>
      </c>
      <c r="AB15" s="372">
        <f t="shared" si="20"/>
        <v>-9.8886306423006817E-2</v>
      </c>
      <c r="AD15">
        <f t="shared" si="25"/>
        <v>0</v>
      </c>
      <c r="AE15">
        <f t="shared" si="21"/>
        <v>0</v>
      </c>
    </row>
    <row r="16" spans="1:31" x14ac:dyDescent="0.2">
      <c r="A16" s="373">
        <v>1.3183</v>
      </c>
      <c r="B16" s="390">
        <f t="shared" si="22"/>
        <v>1.3183000000000001E-3</v>
      </c>
      <c r="C16" s="363">
        <f t="shared" si="0"/>
        <v>1.0000017223356898</v>
      </c>
      <c r="D16" s="364">
        <f t="shared" si="1"/>
        <v>1.8559812595363369E-3</v>
      </c>
      <c r="E16" s="364">
        <f t="shared" si="2"/>
        <v>1.0000000001344895</v>
      </c>
      <c r="F16" s="365">
        <f t="shared" si="3"/>
        <v>1.6400583896889727E-5</v>
      </c>
      <c r="G16" s="364">
        <f t="shared" si="4"/>
        <v>1.0000000004423266</v>
      </c>
      <c r="H16" s="365">
        <f t="shared" si="5"/>
        <v>-2.9743126099151022E-5</v>
      </c>
      <c r="I16" s="363">
        <f t="shared" si="6"/>
        <v>5.5591929884657389</v>
      </c>
      <c r="J16" s="366">
        <f t="shared" si="7"/>
        <v>1.3899296055696284</v>
      </c>
      <c r="K16" s="374">
        <f t="shared" si="8"/>
        <v>1.000001362886549</v>
      </c>
      <c r="L16" s="375">
        <f t="shared" si="9"/>
        <v>1.6509906123597302E-3</v>
      </c>
      <c r="M16" s="363">
        <f t="shared" si="10"/>
        <v>1.0000000018788529</v>
      </c>
      <c r="N16" s="366">
        <f t="shared" si="11"/>
        <v>6.1300128694032914E-5</v>
      </c>
      <c r="O16" s="367">
        <f t="shared" si="12"/>
        <v>1.0000000001552207</v>
      </c>
      <c r="P16" s="368">
        <f t="shared" si="13"/>
        <v>2.3084503245883934E-5</v>
      </c>
      <c r="Q16" s="369">
        <f t="shared" si="14"/>
        <v>72.083682052846342</v>
      </c>
      <c r="R16" s="370">
        <f t="shared" si="15"/>
        <v>-79.654444763986334</v>
      </c>
      <c r="S16" s="392">
        <f t="shared" si="16"/>
        <v>100.34555523601367</v>
      </c>
      <c r="U16" s="345">
        <f t="shared" si="23"/>
        <v>1000000000</v>
      </c>
      <c r="V16" s="345">
        <f t="shared" si="24"/>
        <v>1.7379148900000001</v>
      </c>
      <c r="X16" s="371">
        <f t="shared" si="17"/>
        <v>73.196451135600128</v>
      </c>
      <c r="Y16" s="372">
        <f t="shared" si="18"/>
        <v>-79.546017754871329</v>
      </c>
      <c r="AA16" s="371">
        <f t="shared" si="19"/>
        <v>59.44780538925108</v>
      </c>
      <c r="AB16" s="372">
        <f t="shared" si="20"/>
        <v>-0.10842700911501266</v>
      </c>
      <c r="AD16">
        <f t="shared" si="25"/>
        <v>0</v>
      </c>
      <c r="AE16">
        <f t="shared" si="21"/>
        <v>0</v>
      </c>
    </row>
    <row r="17" spans="1:31" x14ac:dyDescent="0.2">
      <c r="A17" s="373">
        <v>1.4454</v>
      </c>
      <c r="B17" s="390">
        <f t="shared" si="22"/>
        <v>1.4454000000000001E-3</v>
      </c>
      <c r="C17" s="363">
        <f t="shared" si="0"/>
        <v>1.0000020704527415</v>
      </c>
      <c r="D17" s="364">
        <f t="shared" si="1"/>
        <v>2.0349197375059015E-3</v>
      </c>
      <c r="E17" s="364">
        <f t="shared" si="2"/>
        <v>1.0000000001616725</v>
      </c>
      <c r="F17" s="365">
        <f t="shared" si="3"/>
        <v>1.7981797742649492E-5</v>
      </c>
      <c r="G17" s="364">
        <f t="shared" si="4"/>
        <v>1.0000000005317295</v>
      </c>
      <c r="H17" s="365">
        <f t="shared" si="5"/>
        <v>-3.2610721733407089E-5</v>
      </c>
      <c r="I17" s="363">
        <f t="shared" si="6"/>
        <v>6.078563244238766</v>
      </c>
      <c r="J17" s="366">
        <f t="shared" si="7"/>
        <v>1.405532509058655</v>
      </c>
      <c r="K17" s="374">
        <f t="shared" si="8"/>
        <v>1.0000016383520998</v>
      </c>
      <c r="L17" s="375">
        <f t="shared" si="9"/>
        <v>1.8101656624961177E-3</v>
      </c>
      <c r="M17" s="363">
        <f t="shared" si="10"/>
        <v>1.0000000022586053</v>
      </c>
      <c r="N17" s="366">
        <f t="shared" si="11"/>
        <v>6.7210199493228891E-5</v>
      </c>
      <c r="O17" s="367">
        <f t="shared" si="12"/>
        <v>1.0000000001865936</v>
      </c>
      <c r="P17" s="368">
        <f t="shared" si="13"/>
        <v>2.5310127430139425E-5</v>
      </c>
      <c r="Q17" s="369">
        <f t="shared" si="14"/>
        <v>71.307897644369021</v>
      </c>
      <c r="R17" s="370">
        <f t="shared" si="15"/>
        <v>-80.550097489317764</v>
      </c>
      <c r="S17" s="392">
        <f t="shared" si="16"/>
        <v>99.449902510682236</v>
      </c>
      <c r="U17" s="345">
        <f t="shared" si="23"/>
        <v>1000000000</v>
      </c>
      <c r="V17" s="345">
        <f t="shared" si="24"/>
        <v>2.0891811599999999</v>
      </c>
      <c r="X17" s="371">
        <f t="shared" si="17"/>
        <v>72.420669750083221</v>
      </c>
      <c r="Y17" s="372">
        <f t="shared" si="18"/>
        <v>-80.431216837490808</v>
      </c>
      <c r="AA17" s="371">
        <f t="shared" si="19"/>
        <v>59.447802366290674</v>
      </c>
      <c r="AB17" s="372">
        <f t="shared" si="20"/>
        <v>-0.11888065182697181</v>
      </c>
      <c r="AD17">
        <f t="shared" si="25"/>
        <v>0</v>
      </c>
      <c r="AE17">
        <f t="shared" si="21"/>
        <v>0</v>
      </c>
    </row>
    <row r="18" spans="1:31" x14ac:dyDescent="0.2">
      <c r="A18" s="373">
        <v>1.5849</v>
      </c>
      <c r="B18" s="390">
        <f t="shared" si="22"/>
        <v>1.5849E-3</v>
      </c>
      <c r="C18" s="363">
        <f t="shared" si="0"/>
        <v>1.0000024893895443</v>
      </c>
      <c r="D18" s="364">
        <f t="shared" si="1"/>
        <v>2.231315477528925E-3</v>
      </c>
      <c r="E18" s="364">
        <f t="shared" si="2"/>
        <v>1.0000000001943854</v>
      </c>
      <c r="F18" s="365">
        <f t="shared" si="3"/>
        <v>1.9717276353745431E-5</v>
      </c>
      <c r="G18" s="364">
        <f t="shared" si="4"/>
        <v>1.0000000006393202</v>
      </c>
      <c r="H18" s="365">
        <f t="shared" si="5"/>
        <v>-3.5758082794776323E-5</v>
      </c>
      <c r="I18" s="363">
        <f t="shared" si="6"/>
        <v>6.6500279034025604</v>
      </c>
      <c r="J18" s="366">
        <f t="shared" si="7"/>
        <v>1.4198484393649262</v>
      </c>
      <c r="K18" s="374">
        <f t="shared" si="8"/>
        <v>1.0000019698574538</v>
      </c>
      <c r="L18" s="375">
        <f t="shared" si="9"/>
        <v>1.9848698799272801E-3</v>
      </c>
      <c r="M18" s="363">
        <f t="shared" si="10"/>
        <v>1.0000000027156137</v>
      </c>
      <c r="N18" s="366">
        <f t="shared" si="11"/>
        <v>7.3696862560097099E-5</v>
      </c>
      <c r="O18" s="367">
        <f t="shared" si="12"/>
        <v>1.0000000002243494</v>
      </c>
      <c r="P18" s="368">
        <f t="shared" si="13"/>
        <v>2.7752885681043338E-5</v>
      </c>
      <c r="Q18" s="369">
        <f t="shared" si="14"/>
        <v>70.52744632312293</v>
      </c>
      <c r="R18" s="370">
        <f t="shared" si="15"/>
        <v>-81.372175222366195</v>
      </c>
      <c r="S18" s="392">
        <f t="shared" si="16"/>
        <v>98.627824777633805</v>
      </c>
      <c r="U18" s="345">
        <f t="shared" si="23"/>
        <v>1000000000</v>
      </c>
      <c r="V18" s="345">
        <f t="shared" si="24"/>
        <v>2.51190801</v>
      </c>
      <c r="X18" s="371">
        <f t="shared" si="17"/>
        <v>71.640222066776943</v>
      </c>
      <c r="Y18" s="372">
        <f t="shared" si="18"/>
        <v>-81.241821068864738</v>
      </c>
      <c r="AA18" s="371">
        <f t="shared" si="19"/>
        <v>59.447798728350854</v>
      </c>
      <c r="AB18" s="372">
        <f t="shared" si="20"/>
        <v>-0.13035415350146679</v>
      </c>
      <c r="AD18">
        <f t="shared" si="25"/>
        <v>0</v>
      </c>
      <c r="AE18">
        <f t="shared" si="21"/>
        <v>0</v>
      </c>
    </row>
    <row r="19" spans="1:31" x14ac:dyDescent="0.2">
      <c r="A19" s="373">
        <v>1.7378</v>
      </c>
      <c r="B19" s="390">
        <f t="shared" si="22"/>
        <v>1.7378000000000001E-3</v>
      </c>
      <c r="C19" s="363">
        <f t="shared" si="0"/>
        <v>1.0000029928751946</v>
      </c>
      <c r="D19" s="364">
        <f t="shared" si="1"/>
        <v>2.4465762731499339E-3</v>
      </c>
      <c r="E19" s="364">
        <f t="shared" si="2"/>
        <v>1.0000000002337006</v>
      </c>
      <c r="F19" s="365">
        <f t="shared" si="3"/>
        <v>2.1619460437024883E-5</v>
      </c>
      <c r="G19" s="364">
        <f t="shared" si="4"/>
        <v>1.0000000007686245</v>
      </c>
      <c r="H19" s="365">
        <f t="shared" si="5"/>
        <v>-3.9207771011045243E-5</v>
      </c>
      <c r="I19" s="363">
        <f t="shared" si="6"/>
        <v>7.2776936411406616</v>
      </c>
      <c r="J19" s="366">
        <f t="shared" si="7"/>
        <v>1.4329540608596065</v>
      </c>
      <c r="K19" s="374">
        <f t="shared" si="8"/>
        <v>1.0000023682664825</v>
      </c>
      <c r="L19" s="375">
        <f t="shared" si="9"/>
        <v>2.1763555815398684E-3</v>
      </c>
      <c r="M19" s="363">
        <f t="shared" si="10"/>
        <v>1.0000000032648546</v>
      </c>
      <c r="N19" s="366">
        <f t="shared" si="11"/>
        <v>8.080661726925509E-5</v>
      </c>
      <c r="O19" s="367">
        <f t="shared" si="12"/>
        <v>1.0000000002697245</v>
      </c>
      <c r="P19" s="368">
        <f t="shared" si="13"/>
        <v>3.0430288810386083E-5</v>
      </c>
      <c r="Q19" s="369">
        <f t="shared" si="14"/>
        <v>69.74403936373588</v>
      </c>
      <c r="R19" s="370">
        <f t="shared" si="15"/>
        <v>-82.125083663605039</v>
      </c>
      <c r="S19" s="392">
        <f t="shared" si="16"/>
        <v>97.874916336394961</v>
      </c>
      <c r="U19" s="345">
        <f t="shared" si="23"/>
        <v>1000000000</v>
      </c>
      <c r="V19" s="345">
        <f t="shared" si="24"/>
        <v>3.0199488400000001</v>
      </c>
      <c r="X19" s="371">
        <f t="shared" si="17"/>
        <v>70.856819479528212</v>
      </c>
      <c r="Y19" s="372">
        <f t="shared" si="18"/>
        <v>-81.982153905650506</v>
      </c>
      <c r="AA19" s="371">
        <f t="shared" si="19"/>
        <v>59.447794356212533</v>
      </c>
      <c r="AB19" s="372">
        <f t="shared" si="20"/>
        <v>-0.14292975795451429</v>
      </c>
      <c r="AD19">
        <f t="shared" si="25"/>
        <v>0</v>
      </c>
      <c r="AE19">
        <f t="shared" si="21"/>
        <v>0</v>
      </c>
    </row>
    <row r="20" spans="1:31" x14ac:dyDescent="0.2">
      <c r="A20" s="373">
        <v>1.9055</v>
      </c>
      <c r="B20" s="390">
        <f t="shared" si="22"/>
        <v>1.9055000000000001E-3</v>
      </c>
      <c r="C20" s="363">
        <f t="shared" si="0"/>
        <v>1.0000035983781064</v>
      </c>
      <c r="D20" s="364">
        <f t="shared" si="1"/>
        <v>2.6826730386746581E-3</v>
      </c>
      <c r="E20" s="364">
        <f t="shared" si="2"/>
        <v>1.0000000002809817</v>
      </c>
      <c r="F20" s="365">
        <f t="shared" si="3"/>
        <v>2.3705766982076409E-5</v>
      </c>
      <c r="G20" s="364">
        <f t="shared" si="4"/>
        <v>1.000000000924129</v>
      </c>
      <c r="H20" s="365">
        <f t="shared" si="5"/>
        <v>-4.2991372801128728E-5</v>
      </c>
      <c r="I20" s="363">
        <f t="shared" si="6"/>
        <v>7.9673142383878046</v>
      </c>
      <c r="J20" s="366">
        <f t="shared" si="7"/>
        <v>1.4449516146508101</v>
      </c>
      <c r="K20" s="374">
        <f t="shared" si="8"/>
        <v>1.0000028474019949</v>
      </c>
      <c r="L20" s="375">
        <f t="shared" si="9"/>
        <v>2.3863760133285943E-3</v>
      </c>
      <c r="M20" s="363">
        <f t="shared" si="10"/>
        <v>1.0000000039253842</v>
      </c>
      <c r="N20" s="366">
        <f t="shared" si="11"/>
        <v>8.8604562745287903E-5</v>
      </c>
      <c r="O20" s="367">
        <f t="shared" si="12"/>
        <v>1.0000000003242939</v>
      </c>
      <c r="P20" s="368">
        <f t="shared" si="13"/>
        <v>3.3366851954676605E-5</v>
      </c>
      <c r="Q20" s="369">
        <f t="shared" si="14"/>
        <v>68.957674726921866</v>
      </c>
      <c r="R20" s="370">
        <f t="shared" si="15"/>
        <v>-82.814699214871638</v>
      </c>
      <c r="S20" s="392">
        <f t="shared" si="16"/>
        <v>97.185300785128362</v>
      </c>
      <c r="U20" s="345">
        <f t="shared" si="23"/>
        <v>1000000000</v>
      </c>
      <c r="V20" s="345">
        <f t="shared" si="24"/>
        <v>3.63093025</v>
      </c>
      <c r="X20" s="371">
        <f t="shared" si="17"/>
        <v>70.070460100740945</v>
      </c>
      <c r="Y20" s="372">
        <f t="shared" si="18"/>
        <v>-82.657976608151529</v>
      </c>
      <c r="AA20" s="371">
        <f t="shared" si="19"/>
        <v>59.447789098185794</v>
      </c>
      <c r="AB20" s="372">
        <f t="shared" si="20"/>
        <v>-0.15672260672010091</v>
      </c>
      <c r="AD20">
        <f t="shared" si="25"/>
        <v>0</v>
      </c>
      <c r="AE20">
        <f t="shared" si="21"/>
        <v>0</v>
      </c>
    </row>
    <row r="21" spans="1:31" x14ac:dyDescent="0.2">
      <c r="A21" s="373">
        <v>2.0893000000000002</v>
      </c>
      <c r="B21" s="390">
        <f t="shared" si="22"/>
        <v>2.0893000000000001E-3</v>
      </c>
      <c r="C21" s="363">
        <f t="shared" si="0"/>
        <v>1.0000043260381002</v>
      </c>
      <c r="D21" s="364">
        <f t="shared" si="1"/>
        <v>2.9414358754830394E-3</v>
      </c>
      <c r="E21" s="364">
        <f t="shared" si="2"/>
        <v>1.0000000003378016</v>
      </c>
      <c r="F21" s="365">
        <f t="shared" si="3"/>
        <v>2.5992368907780695E-5</v>
      </c>
      <c r="G21" s="364">
        <f t="shared" si="4"/>
        <v>1.0000000011110057</v>
      </c>
      <c r="H21" s="365">
        <f t="shared" si="5"/>
        <v>-4.713821841102485E-5</v>
      </c>
      <c r="I21" s="363">
        <f t="shared" si="6"/>
        <v>8.7242406082655588</v>
      </c>
      <c r="J21" s="366">
        <f t="shared" si="7"/>
        <v>1.4559206787819341</v>
      </c>
      <c r="K21" s="374">
        <f t="shared" si="8"/>
        <v>1.0000034232006998</v>
      </c>
      <c r="L21" s="375">
        <f t="shared" si="9"/>
        <v>2.6165591659684131E-3</v>
      </c>
      <c r="M21" s="363">
        <f t="shared" si="10"/>
        <v>1.0000000047191728</v>
      </c>
      <c r="N21" s="366">
        <f t="shared" si="11"/>
        <v>9.7151148174109232E-5</v>
      </c>
      <c r="O21" s="367">
        <f t="shared" si="12"/>
        <v>1.0000000003898724</v>
      </c>
      <c r="P21" s="368">
        <f t="shared" si="13"/>
        <v>3.6585339169220686E-5</v>
      </c>
      <c r="Q21" s="369">
        <f t="shared" si="14"/>
        <v>68.169359640269732</v>
      </c>
      <c r="R21" s="370">
        <f t="shared" si="15"/>
        <v>-83.445598463917065</v>
      </c>
      <c r="S21" s="392">
        <f t="shared" si="16"/>
        <v>96.554401536082935</v>
      </c>
      <c r="U21" s="345">
        <f t="shared" si="23"/>
        <v>1000000000</v>
      </c>
      <c r="V21" s="345">
        <f t="shared" si="24"/>
        <v>4.3651744900000002</v>
      </c>
      <c r="X21" s="371">
        <f t="shared" si="17"/>
        <v>69.282151332891061</v>
      </c>
      <c r="Y21" s="372">
        <f t="shared" si="18"/>
        <v>-83.273758848889955</v>
      </c>
      <c r="AA21" s="371">
        <f t="shared" si="19"/>
        <v>59.447782779383544</v>
      </c>
      <c r="AB21" s="372">
        <f t="shared" si="20"/>
        <v>-0.17183961502710754</v>
      </c>
      <c r="AD21">
        <f t="shared" si="25"/>
        <v>0</v>
      </c>
      <c r="AE21">
        <f t="shared" si="21"/>
        <v>0</v>
      </c>
    </row>
    <row r="22" spans="1:31" x14ac:dyDescent="0.2">
      <c r="A22" s="373">
        <v>2.2909000000000002</v>
      </c>
      <c r="B22" s="390">
        <f t="shared" si="22"/>
        <v>2.2909000000000002E-3</v>
      </c>
      <c r="C22" s="363">
        <f t="shared" si="0"/>
        <v>1.0000052011670901</v>
      </c>
      <c r="D22" s="364">
        <f t="shared" si="1"/>
        <v>3.2252579886886336E-3</v>
      </c>
      <c r="E22" s="364">
        <f t="shared" si="2"/>
        <v>1.0000000004061367</v>
      </c>
      <c r="F22" s="365">
        <f t="shared" si="3"/>
        <v>2.8500415415747891E-5</v>
      </c>
      <c r="G22" s="364">
        <f t="shared" si="4"/>
        <v>1.0000000013357555</v>
      </c>
      <c r="H22" s="365">
        <f t="shared" si="5"/>
        <v>-5.1686662777789932E-5</v>
      </c>
      <c r="I22" s="363">
        <f t="shared" si="6"/>
        <v>9.5554775838257697</v>
      </c>
      <c r="J22" s="366">
        <f t="shared" si="7"/>
        <v>1.465952336830842</v>
      </c>
      <c r="K22" s="374">
        <f t="shared" si="8"/>
        <v>1.000004115692011</v>
      </c>
      <c r="L22" s="375">
        <f t="shared" si="9"/>
        <v>2.869033947256453E-3</v>
      </c>
      <c r="M22" s="363">
        <f t="shared" si="10"/>
        <v>1.0000000056738327</v>
      </c>
      <c r="N22" s="366">
        <f t="shared" si="11"/>
        <v>1.065254224909867E-4</v>
      </c>
      <c r="O22" s="367">
        <f t="shared" si="12"/>
        <v>1.0000000004687413</v>
      </c>
      <c r="P22" s="368">
        <f t="shared" si="13"/>
        <v>4.011551883403041E-5</v>
      </c>
      <c r="Q22" s="369">
        <f t="shared" si="14"/>
        <v>67.378862779097375</v>
      </c>
      <c r="R22" s="370">
        <f t="shared" si="15"/>
        <v>-84.023022479051505</v>
      </c>
      <c r="S22" s="392">
        <f t="shared" si="16"/>
        <v>95.976977520948495</v>
      </c>
      <c r="U22" s="345">
        <f t="shared" si="23"/>
        <v>1000000000</v>
      </c>
      <c r="V22" s="345">
        <f t="shared" si="24"/>
        <v>5.2482228100000006</v>
      </c>
      <c r="X22" s="371">
        <f t="shared" si="17"/>
        <v>68.491662071095647</v>
      </c>
      <c r="Y22" s="372">
        <f t="shared" si="18"/>
        <v>-83.834601884204744</v>
      </c>
      <c r="AA22" s="371">
        <f t="shared" si="19"/>
        <v>59.447775180006587</v>
      </c>
      <c r="AB22" s="372">
        <f t="shared" si="20"/>
        <v>-0.18842059484677207</v>
      </c>
      <c r="AD22">
        <f t="shared" si="25"/>
        <v>0</v>
      </c>
      <c r="AE22">
        <f t="shared" si="21"/>
        <v>0</v>
      </c>
    </row>
    <row r="23" spans="1:31" x14ac:dyDescent="0.2">
      <c r="A23" s="373">
        <v>2.5118999999999998</v>
      </c>
      <c r="B23" s="390">
        <f t="shared" si="22"/>
        <v>2.5118999999999996E-3</v>
      </c>
      <c r="C23" s="363">
        <f t="shared" si="0"/>
        <v>1.0000062530658893</v>
      </c>
      <c r="D23" s="364">
        <f t="shared" si="1"/>
        <v>3.5363917501809354E-3</v>
      </c>
      <c r="E23" s="364">
        <f t="shared" si="2"/>
        <v>1.0000000004882752</v>
      </c>
      <c r="F23" s="365">
        <f t="shared" si="3"/>
        <v>3.1249811636866255E-5</v>
      </c>
      <c r="G23" s="364">
        <f t="shared" si="4"/>
        <v>1.0000000016059034</v>
      </c>
      <c r="H23" s="365">
        <f t="shared" si="5"/>
        <v>-5.6672804665479941E-5</v>
      </c>
      <c r="I23" s="363">
        <f t="shared" si="6"/>
        <v>10.467625506401573</v>
      </c>
      <c r="J23" s="366">
        <f t="shared" si="7"/>
        <v>1.4751177641940021</v>
      </c>
      <c r="K23" s="374">
        <f t="shared" si="8"/>
        <v>1.0000049480617914</v>
      </c>
      <c r="L23" s="375">
        <f t="shared" si="9"/>
        <v>3.1458039953818958E-3</v>
      </c>
      <c r="M23" s="363">
        <f t="shared" si="10"/>
        <v>1.0000000068213284</v>
      </c>
      <c r="N23" s="366">
        <f t="shared" si="11"/>
        <v>1.1680178469178514E-4</v>
      </c>
      <c r="O23" s="367">
        <f t="shared" si="12"/>
        <v>1.000000000563541</v>
      </c>
      <c r="P23" s="368">
        <f t="shared" si="13"/>
        <v>4.3985408247900065E-5</v>
      </c>
      <c r="Q23" s="369">
        <f t="shared" si="14"/>
        <v>66.586945289624325</v>
      </c>
      <c r="R23" s="370">
        <f t="shared" si="15"/>
        <v>-84.551070357341985</v>
      </c>
      <c r="S23" s="392">
        <f t="shared" si="16"/>
        <v>95.448929642658015</v>
      </c>
      <c r="U23" s="345">
        <f t="shared" si="23"/>
        <v>1000000000</v>
      </c>
      <c r="V23" s="345">
        <f t="shared" si="24"/>
        <v>6.309641609999999</v>
      </c>
      <c r="X23" s="371">
        <f t="shared" si="17"/>
        <v>67.699753716010662</v>
      </c>
      <c r="Y23" s="372">
        <f t="shared" si="18"/>
        <v>-84.344473226659758</v>
      </c>
      <c r="AA23" s="371">
        <f t="shared" si="19"/>
        <v>59.447766045618536</v>
      </c>
      <c r="AB23" s="372">
        <f t="shared" si="20"/>
        <v>-0.20659713068221647</v>
      </c>
      <c r="AD23">
        <f t="shared" si="25"/>
        <v>0</v>
      </c>
      <c r="AE23">
        <f t="shared" si="21"/>
        <v>0</v>
      </c>
    </row>
    <row r="24" spans="1:31" x14ac:dyDescent="0.2">
      <c r="A24" s="373">
        <v>2.7542</v>
      </c>
      <c r="B24" s="390">
        <f t="shared" si="22"/>
        <v>2.7542000000000001E-3</v>
      </c>
      <c r="C24" s="363">
        <f t="shared" si="0"/>
        <v>1.0000075175960625</v>
      </c>
      <c r="D24" s="364">
        <f t="shared" si="1"/>
        <v>3.8775118226984382E-3</v>
      </c>
      <c r="E24" s="364">
        <f t="shared" si="2"/>
        <v>1.0000000005870175</v>
      </c>
      <c r="F24" s="365">
        <f t="shared" si="3"/>
        <v>3.4264194914045681E-5</v>
      </c>
      <c r="G24" s="364">
        <f t="shared" si="4"/>
        <v>1.0000000019306594</v>
      </c>
      <c r="H24" s="365">
        <f t="shared" si="5"/>
        <v>-6.2139511356292497E-5</v>
      </c>
      <c r="I24" s="363">
        <f t="shared" si="6"/>
        <v>11.468528328894712</v>
      </c>
      <c r="J24" s="366">
        <f t="shared" si="7"/>
        <v>1.4834903105391974</v>
      </c>
      <c r="K24" s="374">
        <f t="shared" si="8"/>
        <v>1.0000059486874771</v>
      </c>
      <c r="L24" s="375">
        <f t="shared" si="9"/>
        <v>3.4492486103651541E-3</v>
      </c>
      <c r="M24" s="363">
        <f t="shared" si="10"/>
        <v>1.0000000082007812</v>
      </c>
      <c r="N24" s="366">
        <f t="shared" si="11"/>
        <v>1.2806858358305355E-4</v>
      </c>
      <c r="O24" s="367">
        <f t="shared" si="12"/>
        <v>1.0000000006775038</v>
      </c>
      <c r="P24" s="368">
        <f t="shared" si="13"/>
        <v>4.8228277953127128E-5</v>
      </c>
      <c r="Q24" s="369">
        <f t="shared" si="14"/>
        <v>65.793752689670796</v>
      </c>
      <c r="R24" s="370">
        <f t="shared" si="15"/>
        <v>-85.033969718292909</v>
      </c>
      <c r="S24" s="392">
        <f t="shared" si="16"/>
        <v>94.966030281707091</v>
      </c>
      <c r="U24" s="345">
        <f t="shared" si="23"/>
        <v>1000000000</v>
      </c>
      <c r="V24" s="345">
        <f t="shared" si="24"/>
        <v>7.5856176399999997</v>
      </c>
      <c r="X24" s="371">
        <f t="shared" si="17"/>
        <v>66.906572096862448</v>
      </c>
      <c r="Y24" s="372">
        <f t="shared" si="18"/>
        <v>-84.80744424081675</v>
      </c>
      <c r="AA24" s="371">
        <f t="shared" si="19"/>
        <v>59.447755064813222</v>
      </c>
      <c r="AB24" s="372">
        <f t="shared" si="20"/>
        <v>-0.22652547747617316</v>
      </c>
      <c r="AD24">
        <f t="shared" si="25"/>
        <v>0</v>
      </c>
      <c r="AE24">
        <f t="shared" si="21"/>
        <v>0</v>
      </c>
    </row>
    <row r="25" spans="1:31" x14ac:dyDescent="0.2">
      <c r="A25" s="373">
        <v>3.02</v>
      </c>
      <c r="B25" s="390">
        <f t="shared" si="22"/>
        <v>3.0200000000000001E-3</v>
      </c>
      <c r="C25" s="363">
        <f t="shared" si="0"/>
        <v>1.0000090386088831</v>
      </c>
      <c r="D25" s="364">
        <f t="shared" si="1"/>
        <v>4.2517151370635364E-3</v>
      </c>
      <c r="E25" s="364">
        <f t="shared" si="2"/>
        <v>1.0000000007057874</v>
      </c>
      <c r="F25" s="365">
        <f t="shared" si="3"/>
        <v>3.7570934802201936E-5</v>
      </c>
      <c r="G25" s="364">
        <f t="shared" si="4"/>
        <v>1.0000000023212858</v>
      </c>
      <c r="H25" s="365">
        <f t="shared" si="5"/>
        <v>-6.813641865047312E-5</v>
      </c>
      <c r="I25" s="363">
        <f t="shared" si="6"/>
        <v>12.567276127429292</v>
      </c>
      <c r="J25" s="366">
        <f t="shared" si="7"/>
        <v>1.4911403786894086</v>
      </c>
      <c r="K25" s="374">
        <f t="shared" si="8"/>
        <v>1.0000071522688316</v>
      </c>
      <c r="L25" s="375">
        <f t="shared" si="9"/>
        <v>3.782122738033169E-3</v>
      </c>
      <c r="M25" s="363">
        <f t="shared" si="10"/>
        <v>1.0000000098600281</v>
      </c>
      <c r="N25" s="366">
        <f t="shared" si="11"/>
        <v>1.4042811778120455E-4</v>
      </c>
      <c r="O25" s="367">
        <f t="shared" si="12"/>
        <v>1.0000000008145817</v>
      </c>
      <c r="P25" s="368">
        <f t="shared" si="13"/>
        <v>5.2882651735495819E-5</v>
      </c>
      <c r="Q25" s="369">
        <f t="shared" si="14"/>
        <v>64.999080605598436</v>
      </c>
      <c r="R25" s="370">
        <f t="shared" si="15"/>
        <v>-85.475783285119633</v>
      </c>
      <c r="S25" s="392">
        <f t="shared" si="16"/>
        <v>94.524216714880367</v>
      </c>
      <c r="U25" s="345">
        <f t="shared" si="23"/>
        <v>1000000000</v>
      </c>
      <c r="V25" s="345">
        <f t="shared" si="24"/>
        <v>9.1204000000000001</v>
      </c>
      <c r="X25" s="371">
        <f t="shared" si="17"/>
        <v>66.11191322079631</v>
      </c>
      <c r="Y25" s="372">
        <f t="shared" si="18"/>
        <v>-85.227396725812994</v>
      </c>
      <c r="AA25" s="371">
        <f t="shared" si="19"/>
        <v>59.447741856807006</v>
      </c>
      <c r="AB25" s="372">
        <f t="shared" si="20"/>
        <v>-0.24838655930663531</v>
      </c>
      <c r="AD25">
        <f t="shared" si="25"/>
        <v>0</v>
      </c>
      <c r="AE25">
        <f t="shared" si="21"/>
        <v>0</v>
      </c>
    </row>
    <row r="26" spans="1:31" x14ac:dyDescent="0.2">
      <c r="A26" s="373">
        <v>3.3113000000000001</v>
      </c>
      <c r="B26" s="390">
        <f t="shared" si="22"/>
        <v>3.3113000000000001E-3</v>
      </c>
      <c r="C26" s="363">
        <f t="shared" si="0"/>
        <v>1.0000108663670189</v>
      </c>
      <c r="D26" s="364">
        <f t="shared" si="1"/>
        <v>4.6618169465286611E-3</v>
      </c>
      <c r="E26" s="364">
        <f t="shared" si="2"/>
        <v>1.0000000008485104</v>
      </c>
      <c r="F26" s="365">
        <f t="shared" si="3"/>
        <v>4.1194912714799334E-5</v>
      </c>
      <c r="G26" s="364">
        <f t="shared" si="4"/>
        <v>1.0000000027906912</v>
      </c>
      <c r="H26" s="365">
        <f t="shared" si="5"/>
        <v>-7.4708650002220793E-5</v>
      </c>
      <c r="I26" s="363">
        <f t="shared" si="6"/>
        <v>13.772137697618922</v>
      </c>
      <c r="J26" s="366">
        <f t="shared" si="7"/>
        <v>1.498122002427265</v>
      </c>
      <c r="K26" s="374">
        <f t="shared" si="8"/>
        <v>1.0000085985790479</v>
      </c>
      <c r="L26" s="375">
        <f t="shared" si="9"/>
        <v>4.146930777167707E-3</v>
      </c>
      <c r="M26" s="363">
        <f t="shared" si="10"/>
        <v>1.0000000118539019</v>
      </c>
      <c r="N26" s="366">
        <f t="shared" si="11"/>
        <v>1.5397338602344445E-4</v>
      </c>
      <c r="O26" s="367">
        <f t="shared" si="12"/>
        <v>1.0000000009793046</v>
      </c>
      <c r="P26" s="368">
        <f t="shared" si="13"/>
        <v>5.7983551218346782E-5</v>
      </c>
      <c r="Q26" s="369">
        <f t="shared" si="14"/>
        <v>64.203873303566056</v>
      </c>
      <c r="R26" s="370">
        <f t="shared" si="15"/>
        <v>-85.879633270980534</v>
      </c>
      <c r="S26" s="392">
        <f t="shared" si="16"/>
        <v>94.120366729019466</v>
      </c>
      <c r="U26" s="345">
        <f t="shared" si="23"/>
        <v>1000000000</v>
      </c>
      <c r="V26" s="345">
        <f t="shared" si="24"/>
        <v>10.964707690000001</v>
      </c>
      <c r="X26" s="371">
        <f t="shared" si="17"/>
        <v>65.316721790425248</v>
      </c>
      <c r="Y26" s="372">
        <f t="shared" si="18"/>
        <v>-85.607288426302404</v>
      </c>
      <c r="AA26" s="371">
        <f t="shared" si="19"/>
        <v>59.447725985145674</v>
      </c>
      <c r="AB26" s="372">
        <f t="shared" si="20"/>
        <v>-0.27234484467812758</v>
      </c>
      <c r="AD26">
        <f t="shared" si="25"/>
        <v>0</v>
      </c>
      <c r="AE26">
        <f t="shared" si="21"/>
        <v>0</v>
      </c>
    </row>
    <row r="27" spans="1:31" x14ac:dyDescent="0.2">
      <c r="A27" s="373">
        <v>3.6307999999999998</v>
      </c>
      <c r="B27" s="390">
        <f t="shared" si="22"/>
        <v>3.6308E-3</v>
      </c>
      <c r="C27" s="363">
        <f t="shared" si="0"/>
        <v>1.0000130644607226</v>
      </c>
      <c r="D27" s="364">
        <f t="shared" si="1"/>
        <v>5.111617843813485E-3</v>
      </c>
      <c r="E27" s="364">
        <f t="shared" si="2"/>
        <v>1.0000000010201517</v>
      </c>
      <c r="F27" s="365">
        <f t="shared" si="3"/>
        <v>4.5169718560015221E-5</v>
      </c>
      <c r="G27" s="364">
        <f t="shared" si="4"/>
        <v>1.0000000033552074</v>
      </c>
      <c r="H27" s="365">
        <f t="shared" si="5"/>
        <v>-8.1917122074707529E-5</v>
      </c>
      <c r="I27" s="363">
        <f t="shared" si="6"/>
        <v>15.094281503457223</v>
      </c>
      <c r="J27" s="366">
        <f t="shared" si="7"/>
        <v>1.5044975126102571</v>
      </c>
      <c r="K27" s="374">
        <f t="shared" si="8"/>
        <v>1.000010337937584</v>
      </c>
      <c r="L27" s="375">
        <f t="shared" si="9"/>
        <v>4.5470536667068118E-3</v>
      </c>
      <c r="M27" s="363">
        <f t="shared" si="10"/>
        <v>1.000000014251774</v>
      </c>
      <c r="N27" s="366">
        <f t="shared" si="11"/>
        <v>1.6882993660503147E-4</v>
      </c>
      <c r="O27" s="367">
        <f t="shared" si="12"/>
        <v>1.000000001177404</v>
      </c>
      <c r="P27" s="368">
        <f t="shared" si="13"/>
        <v>6.3578255593190472E-5</v>
      </c>
      <c r="Q27" s="369">
        <f t="shared" si="14"/>
        <v>63.40764752432932</v>
      </c>
      <c r="R27" s="370">
        <f t="shared" si="15"/>
        <v>-86.249126483331224</v>
      </c>
      <c r="S27" s="392">
        <f t="shared" si="16"/>
        <v>93.750873516668776</v>
      </c>
      <c r="U27" s="345">
        <f t="shared" si="23"/>
        <v>1000000000</v>
      </c>
      <c r="V27" s="345">
        <f t="shared" si="24"/>
        <v>13.182708639999998</v>
      </c>
      <c r="X27" s="371">
        <f t="shared" si="17"/>
        <v>64.520515098685877</v>
      </c>
      <c r="Y27" s="372">
        <f t="shared" si="18"/>
        <v>-85.950504117211992</v>
      </c>
      <c r="AA27" s="371">
        <f t="shared" si="19"/>
        <v>59.447706897648303</v>
      </c>
      <c r="AB27" s="372">
        <f t="shared" si="20"/>
        <v>-0.29862236611925042</v>
      </c>
      <c r="AD27">
        <f t="shared" si="25"/>
        <v>0</v>
      </c>
      <c r="AE27">
        <f t="shared" si="21"/>
        <v>0</v>
      </c>
    </row>
    <row r="28" spans="1:31" x14ac:dyDescent="0.2">
      <c r="A28" s="373">
        <v>3.9811000000000001</v>
      </c>
      <c r="B28" s="390">
        <f t="shared" si="22"/>
        <v>3.9811000000000004E-3</v>
      </c>
      <c r="C28" s="363">
        <f t="shared" si="0"/>
        <v>1.0000157069706941</v>
      </c>
      <c r="D28" s="364">
        <f t="shared" si="1"/>
        <v>5.6047774453583665E-3</v>
      </c>
      <c r="E28" s="364">
        <f t="shared" si="2"/>
        <v>1.0000000012264965</v>
      </c>
      <c r="F28" s="365">
        <f t="shared" si="3"/>
        <v>4.9527698175206371E-5</v>
      </c>
      <c r="G28" s="364">
        <f t="shared" si="4"/>
        <v>1.0000000040338606</v>
      </c>
      <c r="H28" s="365">
        <f t="shared" si="5"/>
        <v>-8.9820495357516186E-5</v>
      </c>
      <c r="I28" s="363">
        <f t="shared" si="6"/>
        <v>16.544467762751271</v>
      </c>
      <c r="J28" s="366">
        <f t="shared" si="7"/>
        <v>1.5103162972401956</v>
      </c>
      <c r="K28" s="374">
        <f t="shared" si="8"/>
        <v>1.0000124289651819</v>
      </c>
      <c r="L28" s="375">
        <f t="shared" si="9"/>
        <v>4.9857469752808839E-3</v>
      </c>
      <c r="M28" s="363">
        <f t="shared" si="10"/>
        <v>1.0000000171344607</v>
      </c>
      <c r="N28" s="366">
        <f t="shared" si="11"/>
        <v>1.8511866787666615E-4</v>
      </c>
      <c r="O28" s="367">
        <f t="shared" si="12"/>
        <v>1.0000000014155559</v>
      </c>
      <c r="P28" s="368">
        <f t="shared" si="13"/>
        <v>6.9712292970216649E-5</v>
      </c>
      <c r="Q28" s="369">
        <f t="shared" si="14"/>
        <v>62.610835610122955</v>
      </c>
      <c r="R28" s="370">
        <f t="shared" si="15"/>
        <v>-86.587126839723908</v>
      </c>
      <c r="S28" s="392">
        <f t="shared" si="16"/>
        <v>93.412873160276092</v>
      </c>
      <c r="U28" s="345">
        <f t="shared" si="23"/>
        <v>1000000000</v>
      </c>
      <c r="V28" s="345">
        <f t="shared" si="24"/>
        <v>15.849157210000001</v>
      </c>
      <c r="X28" s="371">
        <f t="shared" si="17"/>
        <v>63.72372613108088</v>
      </c>
      <c r="Y28" s="372">
        <f t="shared" si="18"/>
        <v>-86.259693919229917</v>
      </c>
      <c r="AA28" s="371">
        <f t="shared" si="19"/>
        <v>59.447683951046947</v>
      </c>
      <c r="AB28" s="372">
        <f t="shared" si="20"/>
        <v>-0.32743292049399231</v>
      </c>
      <c r="AD28">
        <f t="shared" si="25"/>
        <v>0</v>
      </c>
      <c r="AE28">
        <f t="shared" si="21"/>
        <v>0</v>
      </c>
    </row>
    <row r="29" spans="1:31" x14ac:dyDescent="0.2">
      <c r="A29" s="373">
        <v>4.3651999999999997</v>
      </c>
      <c r="B29" s="390">
        <f t="shared" si="22"/>
        <v>4.3651999999999996E-3</v>
      </c>
      <c r="C29" s="363">
        <f t="shared" si="0"/>
        <v>1.0000188839944171</v>
      </c>
      <c r="D29" s="364">
        <f t="shared" si="1"/>
        <v>6.1455182451758327E-3</v>
      </c>
      <c r="E29" s="364">
        <f t="shared" si="2"/>
        <v>1.0000000014745802</v>
      </c>
      <c r="F29" s="365">
        <f t="shared" si="3"/>
        <v>5.4306173680302926E-5</v>
      </c>
      <c r="G29" s="364">
        <f t="shared" si="4"/>
        <v>1.0000000048497908</v>
      </c>
      <c r="H29" s="365">
        <f t="shared" si="5"/>
        <v>-9.8486455030356919E-5</v>
      </c>
      <c r="I29" s="363">
        <f t="shared" si="6"/>
        <v>18.135116540734522</v>
      </c>
      <c r="J29" s="366">
        <f t="shared" si="7"/>
        <v>1.5156267082771997</v>
      </c>
      <c r="K29" s="374">
        <f t="shared" si="8"/>
        <v>1.0000149429569514</v>
      </c>
      <c r="L29" s="375">
        <f t="shared" si="9"/>
        <v>5.4667670294422108E-3</v>
      </c>
      <c r="M29" s="363">
        <f t="shared" si="10"/>
        <v>1.0000000206002535</v>
      </c>
      <c r="N29" s="366">
        <f t="shared" si="11"/>
        <v>2.0297907793025328E-4</v>
      </c>
      <c r="O29" s="367">
        <f t="shared" si="12"/>
        <v>1.0000000017018806</v>
      </c>
      <c r="P29" s="368">
        <f t="shared" si="13"/>
        <v>7.6438195784158717E-5</v>
      </c>
      <c r="Q29" s="369">
        <f t="shared" si="14"/>
        <v>61.813478820190426</v>
      </c>
      <c r="R29" s="370">
        <f t="shared" si="15"/>
        <v>-86.896444155049679</v>
      </c>
      <c r="S29" s="392">
        <f t="shared" si="16"/>
        <v>93.103555844950321</v>
      </c>
      <c r="U29" s="345">
        <f t="shared" si="23"/>
        <v>1000000000</v>
      </c>
      <c r="V29" s="345">
        <f t="shared" si="24"/>
        <v>19.054971039999998</v>
      </c>
      <c r="X29" s="371">
        <f t="shared" si="17"/>
        <v>62.926396929193594</v>
      </c>
      <c r="Y29" s="372">
        <f t="shared" si="18"/>
        <v>-86.537420966599143</v>
      </c>
      <c r="AA29" s="371">
        <f t="shared" si="19"/>
        <v>59.447656363001691</v>
      </c>
      <c r="AB29" s="372">
        <f t="shared" si="20"/>
        <v>-0.35902318845054848</v>
      </c>
      <c r="AD29">
        <f t="shared" si="25"/>
        <v>0</v>
      </c>
      <c r="AE29">
        <f t="shared" si="21"/>
        <v>0</v>
      </c>
    </row>
    <row r="30" spans="1:31" x14ac:dyDescent="0.2">
      <c r="A30" s="373">
        <v>4.7862999999999998</v>
      </c>
      <c r="B30" s="390">
        <f t="shared" si="22"/>
        <v>4.7862999999999994E-3</v>
      </c>
      <c r="C30" s="363">
        <f t="shared" si="0"/>
        <v>1.0000227030692297</v>
      </c>
      <c r="D30" s="364">
        <f t="shared" si="1"/>
        <v>6.738343967713477E-3</v>
      </c>
      <c r="E30" s="364">
        <f t="shared" si="2"/>
        <v>1.0000000017728008</v>
      </c>
      <c r="F30" s="365">
        <f t="shared" si="3"/>
        <v>5.9544955336377963E-5</v>
      </c>
      <c r="G30" s="364">
        <f t="shared" si="4"/>
        <v>1.0000000058306175</v>
      </c>
      <c r="H30" s="365">
        <f t="shared" si="5"/>
        <v>-1.0798719861714597E-4</v>
      </c>
      <c r="I30" s="363">
        <f t="shared" si="6"/>
        <v>19.879480155288714</v>
      </c>
      <c r="J30" s="366">
        <f t="shared" si="7"/>
        <v>1.5204719618107105</v>
      </c>
      <c r="K30" s="374">
        <f t="shared" si="8"/>
        <v>1.0000179650085603</v>
      </c>
      <c r="L30" s="375">
        <f t="shared" si="9"/>
        <v>5.9941203880399902E-3</v>
      </c>
      <c r="M30" s="363">
        <f t="shared" si="10"/>
        <v>1.0000000247664695</v>
      </c>
      <c r="N30" s="366">
        <f t="shared" si="11"/>
        <v>2.2255996472079169E-4</v>
      </c>
      <c r="O30" s="367">
        <f t="shared" si="12"/>
        <v>1.0000000020460706</v>
      </c>
      <c r="P30" s="368">
        <f t="shared" si="13"/>
        <v>8.3811998631871926E-5</v>
      </c>
      <c r="Q30" s="369">
        <f t="shared" si="14"/>
        <v>61.0157784159084</v>
      </c>
      <c r="R30" s="370">
        <f t="shared" si="15"/>
        <v>-87.179596606028184</v>
      </c>
      <c r="S30" s="392">
        <f t="shared" si="16"/>
        <v>92.820403393971816</v>
      </c>
      <c r="U30" s="345">
        <f t="shared" si="23"/>
        <v>1000000000</v>
      </c>
      <c r="V30" s="345">
        <f t="shared" si="24"/>
        <v>22.908667689999998</v>
      </c>
      <c r="X30" s="371">
        <f t="shared" si="17"/>
        <v>62.1287296881641</v>
      </c>
      <c r="Y30" s="372">
        <f t="shared" si="18"/>
        <v>-86.785940325436655</v>
      </c>
      <c r="AA30" s="371">
        <f t="shared" si="19"/>
        <v>59.447623199749167</v>
      </c>
      <c r="AB30" s="372">
        <f t="shared" si="20"/>
        <v>-0.39365628059153401</v>
      </c>
      <c r="AD30">
        <f t="shared" si="25"/>
        <v>0</v>
      </c>
      <c r="AE30">
        <f t="shared" si="21"/>
        <v>0</v>
      </c>
    </row>
    <row r="31" spans="1:31" x14ac:dyDescent="0.2">
      <c r="A31" s="373">
        <v>5.2481</v>
      </c>
      <c r="B31" s="390">
        <f t="shared" si="22"/>
        <v>5.2481000000000003E-3</v>
      </c>
      <c r="C31" s="363">
        <f t="shared" si="0"/>
        <v>1.0000272953047331</v>
      </c>
      <c r="D31" s="364">
        <f t="shared" si="1"/>
        <v>7.3884618001556482E-3</v>
      </c>
      <c r="E31" s="364">
        <f t="shared" si="2"/>
        <v>1.0000000021313968</v>
      </c>
      <c r="F31" s="365">
        <f t="shared" si="3"/>
        <v>6.5290073757628701E-5</v>
      </c>
      <c r="G31" s="364">
        <f t="shared" si="4"/>
        <v>1.0000000070100146</v>
      </c>
      <c r="H31" s="365">
        <f t="shared" si="5"/>
        <v>-1.1840620450390612E-4</v>
      </c>
      <c r="I31" s="363">
        <f t="shared" si="6"/>
        <v>21.792885841219217</v>
      </c>
      <c r="J31" s="366">
        <f t="shared" si="7"/>
        <v>1.5248936744698953</v>
      </c>
      <c r="K31" s="374">
        <f t="shared" si="8"/>
        <v>1.0000215988689984</v>
      </c>
      <c r="L31" s="375">
        <f t="shared" si="9"/>
        <v>6.5724394628359053E-3</v>
      </c>
      <c r="M31" s="363">
        <f t="shared" si="10"/>
        <v>1.0000000297761451</v>
      </c>
      <c r="N31" s="366">
        <f t="shared" si="11"/>
        <v>2.4403337587494789E-4</v>
      </c>
      <c r="O31" s="367">
        <f t="shared" si="12"/>
        <v>1.0000000024599429</v>
      </c>
      <c r="P31" s="368">
        <f t="shared" si="13"/>
        <v>9.1898491515794503E-5</v>
      </c>
      <c r="Q31" s="369">
        <f t="shared" si="14"/>
        <v>60.217575650523273</v>
      </c>
      <c r="R31" s="370">
        <f t="shared" si="15"/>
        <v>-87.439017297472759</v>
      </c>
      <c r="S31" s="392">
        <f t="shared" si="16"/>
        <v>92.560982702527241</v>
      </c>
      <c r="U31" s="345">
        <f t="shared" si="23"/>
        <v>1000000000</v>
      </c>
      <c r="V31" s="345">
        <f t="shared" si="24"/>
        <v>27.542553609999999</v>
      </c>
      <c r="X31" s="371">
        <f t="shared" si="17"/>
        <v>61.330566799668631</v>
      </c>
      <c r="Y31" s="372">
        <f t="shared" si="18"/>
        <v>-87.007380892913702</v>
      </c>
      <c r="AA31" s="371">
        <f t="shared" si="19"/>
        <v>59.447583322859515</v>
      </c>
      <c r="AB31" s="372">
        <f t="shared" si="20"/>
        <v>-0.43163640455906638</v>
      </c>
      <c r="AD31">
        <f t="shared" si="25"/>
        <v>0</v>
      </c>
      <c r="AE31">
        <f t="shared" si="21"/>
        <v>0</v>
      </c>
    </row>
    <row r="32" spans="1:31" x14ac:dyDescent="0.2">
      <c r="A32" s="373">
        <v>5.7544000000000004</v>
      </c>
      <c r="B32" s="390">
        <f t="shared" si="22"/>
        <v>5.7544000000000007E-3</v>
      </c>
      <c r="C32" s="363">
        <f t="shared" si="0"/>
        <v>1.0000328157730631</v>
      </c>
      <c r="D32" s="364">
        <f t="shared" si="1"/>
        <v>8.101219129550162E-3</v>
      </c>
      <c r="E32" s="364">
        <f t="shared" si="2"/>
        <v>1.0000000025624785</v>
      </c>
      <c r="F32" s="365">
        <f t="shared" si="3"/>
        <v>7.1588803628537095E-5</v>
      </c>
      <c r="G32" s="364">
        <f t="shared" si="4"/>
        <v>1.0000000084278116</v>
      </c>
      <c r="H32" s="365">
        <f t="shared" si="5"/>
        <v>-1.2982920724705329E-4</v>
      </c>
      <c r="I32" s="363">
        <f t="shared" si="6"/>
        <v>23.891078678528395</v>
      </c>
      <c r="J32" s="366">
        <f t="shared" si="7"/>
        <v>1.5289274668690225</v>
      </c>
      <c r="K32" s="374">
        <f t="shared" si="8"/>
        <v>1.0000259672496308</v>
      </c>
      <c r="L32" s="375">
        <f t="shared" si="9"/>
        <v>7.2064814893560382E-3</v>
      </c>
      <c r="M32" s="363">
        <f t="shared" si="10"/>
        <v>1.0000000357984613</v>
      </c>
      <c r="N32" s="366">
        <f t="shared" si="11"/>
        <v>2.6757600893596644E-4</v>
      </c>
      <c r="O32" s="367">
        <f t="shared" si="12"/>
        <v>1.0000000029574738</v>
      </c>
      <c r="P32" s="368">
        <f t="shared" si="13"/>
        <v>1.0076421551912677E-4</v>
      </c>
      <c r="Q32" s="369">
        <f t="shared" si="14"/>
        <v>59.419145310615747</v>
      </c>
      <c r="R32" s="370">
        <f t="shared" si="15"/>
        <v>-87.676797093573597</v>
      </c>
      <c r="S32" s="392">
        <f t="shared" si="16"/>
        <v>92.323202906426403</v>
      </c>
      <c r="U32" s="345">
        <f t="shared" si="23"/>
        <v>1000000000</v>
      </c>
      <c r="V32" s="345">
        <f t="shared" si="24"/>
        <v>33.113119360000006</v>
      </c>
      <c r="X32" s="371">
        <f t="shared" si="17"/>
        <v>60.532184396760982</v>
      </c>
      <c r="Y32" s="372">
        <f t="shared" si="18"/>
        <v>-87.203521134399267</v>
      </c>
      <c r="AA32" s="371">
        <f t="shared" si="19"/>
        <v>59.447535385859638</v>
      </c>
      <c r="AB32" s="372">
        <f t="shared" si="20"/>
        <v>-0.4732759591743394</v>
      </c>
      <c r="AD32">
        <f t="shared" si="25"/>
        <v>0</v>
      </c>
      <c r="AE32">
        <f t="shared" si="21"/>
        <v>0</v>
      </c>
    </row>
    <row r="33" spans="1:31" x14ac:dyDescent="0.2">
      <c r="A33" s="373">
        <v>6.3095999999999997</v>
      </c>
      <c r="B33" s="390">
        <f t="shared" si="22"/>
        <v>6.3095999999999994E-3</v>
      </c>
      <c r="C33" s="363">
        <f t="shared" si="0"/>
        <v>1.0000394534294141</v>
      </c>
      <c r="D33" s="364">
        <f t="shared" si="1"/>
        <v>8.8828072492526926E-3</v>
      </c>
      <c r="E33" s="364">
        <f t="shared" si="2"/>
        <v>1.0000000030808018</v>
      </c>
      <c r="F33" s="365">
        <f t="shared" si="3"/>
        <v>7.849588405716222E-5</v>
      </c>
      <c r="G33" s="364">
        <f t="shared" si="4"/>
        <v>1.0000000101325413</v>
      </c>
      <c r="H33" s="365">
        <f t="shared" si="5"/>
        <v>-1.4235547843650622E-4</v>
      </c>
      <c r="I33" s="363">
        <f t="shared" si="6"/>
        <v>26.192293204739752</v>
      </c>
      <c r="J33" s="366">
        <f t="shared" si="7"/>
        <v>1.5326078759719148</v>
      </c>
      <c r="K33" s="374">
        <f t="shared" si="8"/>
        <v>1.0000312196746968</v>
      </c>
      <c r="L33" s="375">
        <f t="shared" si="9"/>
        <v>7.9017545513505542E-3</v>
      </c>
      <c r="M33" s="363">
        <f t="shared" si="10"/>
        <v>1.0000000430395697</v>
      </c>
      <c r="N33" s="366">
        <f t="shared" si="11"/>
        <v>2.9339246104411875E-4</v>
      </c>
      <c r="O33" s="367">
        <f t="shared" si="12"/>
        <v>1.0000000035556948</v>
      </c>
      <c r="P33" s="368">
        <f t="shared" si="13"/>
        <v>1.1048621821158938E-4</v>
      </c>
      <c r="Q33" s="369">
        <f t="shared" si="14"/>
        <v>58.620377926605876</v>
      </c>
      <c r="R33" s="370">
        <f t="shared" si="15"/>
        <v>-87.894972650200629</v>
      </c>
      <c r="S33" s="392">
        <f t="shared" si="16"/>
        <v>92.105027349799371</v>
      </c>
      <c r="U33" s="345">
        <f t="shared" si="23"/>
        <v>1000000000</v>
      </c>
      <c r="V33" s="345">
        <f t="shared" si="24"/>
        <v>39.811052159999996</v>
      </c>
      <c r="X33" s="371">
        <f t="shared" si="17"/>
        <v>59.733474650505293</v>
      </c>
      <c r="Y33" s="372">
        <f t="shared" si="18"/>
        <v>-87.376036004760039</v>
      </c>
      <c r="AA33" s="371">
        <f t="shared" si="19"/>
        <v>59.447477748105449</v>
      </c>
      <c r="AB33" s="372">
        <f t="shared" si="20"/>
        <v>-0.51893664544060236</v>
      </c>
      <c r="AD33">
        <f t="shared" si="25"/>
        <v>0</v>
      </c>
      <c r="AE33">
        <f t="shared" si="21"/>
        <v>0</v>
      </c>
    </row>
    <row r="34" spans="1:31" x14ac:dyDescent="0.2">
      <c r="A34" s="373">
        <v>6.9183000000000003</v>
      </c>
      <c r="B34" s="390">
        <f t="shared" si="22"/>
        <v>6.9183000000000005E-3</v>
      </c>
      <c r="C34" s="363">
        <f t="shared" si="0"/>
        <v>1.0000474327333713</v>
      </c>
      <c r="D34" s="364">
        <f t="shared" si="1"/>
        <v>9.7396979994646155E-3</v>
      </c>
      <c r="E34" s="364">
        <f t="shared" si="2"/>
        <v>1.000000003703897</v>
      </c>
      <c r="F34" s="365">
        <f t="shared" si="3"/>
        <v>8.6068542292234193E-5</v>
      </c>
      <c r="G34" s="364">
        <f t="shared" si="4"/>
        <v>1.0000000121818573</v>
      </c>
      <c r="H34" s="365">
        <f t="shared" si="5"/>
        <v>-1.5608880200357515E-4</v>
      </c>
      <c r="I34" s="363">
        <f t="shared" si="6"/>
        <v>28.71559582467636</v>
      </c>
      <c r="J34" s="366">
        <f t="shared" si="7"/>
        <v>1.5359650024422058</v>
      </c>
      <c r="K34" s="374">
        <f t="shared" si="8"/>
        <v>1.0000375337647631</v>
      </c>
      <c r="L34" s="375">
        <f t="shared" si="9"/>
        <v>8.6640164836460261E-3</v>
      </c>
      <c r="M34" s="363">
        <f t="shared" si="10"/>
        <v>1.0000000517443628</v>
      </c>
      <c r="N34" s="366">
        <f t="shared" si="11"/>
        <v>3.2169662917813088E-4</v>
      </c>
      <c r="O34" s="367">
        <f t="shared" si="12"/>
        <v>1.0000000042748374</v>
      </c>
      <c r="P34" s="368">
        <f t="shared" si="13"/>
        <v>1.2114504932453303E-4</v>
      </c>
      <c r="Q34" s="369">
        <f t="shared" si="14"/>
        <v>57.821477240513943</v>
      </c>
      <c r="R34" s="370">
        <f t="shared" si="15"/>
        <v>-88.095329055892364</v>
      </c>
      <c r="S34" s="392">
        <f t="shared" si="16"/>
        <v>91.904670944107636</v>
      </c>
      <c r="U34" s="345">
        <f t="shared" si="23"/>
        <v>1000000000</v>
      </c>
      <c r="V34" s="345">
        <f t="shared" si="24"/>
        <v>47.862874890000008</v>
      </c>
      <c r="X34" s="371">
        <f t="shared" si="17"/>
        <v>58.934643251790249</v>
      </c>
      <c r="Y34" s="372">
        <f t="shared" si="18"/>
        <v>-87.526332500743791</v>
      </c>
      <c r="AA34" s="371">
        <f t="shared" si="19"/>
        <v>59.447408460728568</v>
      </c>
      <c r="AB34" s="372">
        <f t="shared" si="20"/>
        <v>-0.56899655514857661</v>
      </c>
      <c r="AD34">
        <f t="shared" si="25"/>
        <v>0</v>
      </c>
      <c r="AE34">
        <f t="shared" si="21"/>
        <v>0</v>
      </c>
    </row>
    <row r="35" spans="1:31" x14ac:dyDescent="0.2">
      <c r="A35" s="373">
        <v>7.5857999999999999</v>
      </c>
      <c r="B35" s="390">
        <f t="shared" si="22"/>
        <v>7.5858000000000002E-3</v>
      </c>
      <c r="C35" s="363">
        <f t="shared" si="0"/>
        <v>1.0000570269394748</v>
      </c>
      <c r="D35" s="364">
        <f t="shared" si="1"/>
        <v>1.0679347315896143E-2</v>
      </c>
      <c r="E35" s="364">
        <f t="shared" si="2"/>
        <v>1.0000000044531046</v>
      </c>
      <c r="F35" s="365">
        <f t="shared" si="3"/>
        <v>9.4372714076337499E-5</v>
      </c>
      <c r="G35" s="364">
        <f t="shared" si="4"/>
        <v>1.0000000146459485</v>
      </c>
      <c r="H35" s="365">
        <f t="shared" si="5"/>
        <v>-1.7114875508342152E-4</v>
      </c>
      <c r="I35" s="363">
        <f t="shared" si="6"/>
        <v>31.482957254966269</v>
      </c>
      <c r="J35" s="366">
        <f t="shared" si="7"/>
        <v>1.539027766471549</v>
      </c>
      <c r="K35" s="374">
        <f t="shared" si="8"/>
        <v>1.0000451257543468</v>
      </c>
      <c r="L35" s="375">
        <f t="shared" si="9"/>
        <v>9.4999007855252875E-3</v>
      </c>
      <c r="M35" s="363">
        <f t="shared" si="10"/>
        <v>1.0000000622109793</v>
      </c>
      <c r="N35" s="366">
        <f t="shared" si="11"/>
        <v>3.5273495982994279E-4</v>
      </c>
      <c r="O35" s="367">
        <f t="shared" si="12"/>
        <v>1.0000000051395324</v>
      </c>
      <c r="P35" s="368">
        <f t="shared" si="13"/>
        <v>1.32833516156583E-4</v>
      </c>
      <c r="Q35" s="369">
        <f t="shared" si="14"/>
        <v>57.022306025332909</v>
      </c>
      <c r="R35" s="370">
        <f t="shared" si="15"/>
        <v>-88.279592948947212</v>
      </c>
      <c r="S35" s="392">
        <f t="shared" si="16"/>
        <v>91.720407051052788</v>
      </c>
      <c r="U35" s="345">
        <f t="shared" si="23"/>
        <v>1000000000</v>
      </c>
      <c r="V35" s="345">
        <f t="shared" si="24"/>
        <v>57.544361639999998</v>
      </c>
      <c r="X35" s="371">
        <f t="shared" si="17"/>
        <v>58.135555346072579</v>
      </c>
      <c r="Y35" s="372">
        <f t="shared" si="18"/>
        <v>-87.655701676108023</v>
      </c>
      <c r="AA35" s="371">
        <f t="shared" si="19"/>
        <v>59.447325151265204</v>
      </c>
      <c r="AB35" s="372">
        <f t="shared" si="20"/>
        <v>-0.62389127283919688</v>
      </c>
      <c r="AD35">
        <f t="shared" si="25"/>
        <v>0</v>
      </c>
      <c r="AE35">
        <f t="shared" si="21"/>
        <v>0</v>
      </c>
    </row>
    <row r="36" spans="1:31" x14ac:dyDescent="0.2">
      <c r="A36" s="373">
        <v>8.3176000000000005</v>
      </c>
      <c r="B36" s="390">
        <f t="shared" si="22"/>
        <v>8.3176000000000014E-3</v>
      </c>
      <c r="C36" s="363">
        <f t="shared" si="0"/>
        <v>1.0000685600057688</v>
      </c>
      <c r="D36" s="364">
        <f t="shared" si="1"/>
        <v>1.170949093137095E-2</v>
      </c>
      <c r="E36" s="364">
        <f t="shared" si="2"/>
        <v>1.0000000053537264</v>
      </c>
      <c r="F36" s="365">
        <f t="shared" si="3"/>
        <v>1.0347682329221001E-4</v>
      </c>
      <c r="G36" s="364">
        <f t="shared" si="4"/>
        <v>1.0000000176080306</v>
      </c>
      <c r="H36" s="365">
        <f t="shared" si="5"/>
        <v>-1.8765942714951071E-4</v>
      </c>
      <c r="I36" s="363">
        <f t="shared" si="6"/>
        <v>34.51717980187712</v>
      </c>
      <c r="J36" s="366">
        <f t="shared" si="7"/>
        <v>1.5418211919242546</v>
      </c>
      <c r="K36" s="374">
        <f t="shared" si="8"/>
        <v>1.0000542520031717</v>
      </c>
      <c r="L36" s="375">
        <f t="shared" si="9"/>
        <v>1.0416290179537154E-2</v>
      </c>
      <c r="M36" s="363">
        <f t="shared" si="10"/>
        <v>1.0000000747928908</v>
      </c>
      <c r="N36" s="366">
        <f t="shared" si="11"/>
        <v>3.8676319930291904E-4</v>
      </c>
      <c r="O36" s="367">
        <f t="shared" si="12"/>
        <v>1.0000000061789813</v>
      </c>
      <c r="P36" s="368">
        <f t="shared" si="13"/>
        <v>1.4564792816745505E-4</v>
      </c>
      <c r="Q36" s="369">
        <f t="shared" si="14"/>
        <v>56.223089335718029</v>
      </c>
      <c r="R36" s="370">
        <f t="shared" si="15"/>
        <v>-88.449270325780404</v>
      </c>
      <c r="S36" s="392">
        <f t="shared" si="16"/>
        <v>91.550729674219596</v>
      </c>
      <c r="U36" s="345">
        <f t="shared" si="23"/>
        <v>1000000000</v>
      </c>
      <c r="V36" s="345">
        <f t="shared" si="24"/>
        <v>69.182469760000004</v>
      </c>
      <c r="X36" s="371">
        <f t="shared" si="17"/>
        <v>57.336438800586308</v>
      </c>
      <c r="Y36" s="372">
        <f t="shared" si="18"/>
        <v>-87.765197594896222</v>
      </c>
      <c r="AA36" s="371">
        <f t="shared" si="19"/>
        <v>59.447225007136602</v>
      </c>
      <c r="AB36" s="372">
        <f t="shared" si="20"/>
        <v>-0.68407273088419873</v>
      </c>
      <c r="AD36">
        <f t="shared" si="25"/>
        <v>0</v>
      </c>
      <c r="AE36">
        <f t="shared" si="21"/>
        <v>0</v>
      </c>
    </row>
    <row r="37" spans="1:31" x14ac:dyDescent="0.2">
      <c r="A37" s="373">
        <v>9.1201000000000008</v>
      </c>
      <c r="B37" s="390">
        <f t="shared" si="22"/>
        <v>9.1201000000000008E-3</v>
      </c>
      <c r="C37" s="363">
        <f t="shared" si="0"/>
        <v>1.0000824272807818</v>
      </c>
      <c r="D37" s="364">
        <f t="shared" si="1"/>
        <v>1.2839129199396898E-2</v>
      </c>
      <c r="E37" s="364">
        <f t="shared" si="2"/>
        <v>1.0000000064366414</v>
      </c>
      <c r="F37" s="365">
        <f t="shared" si="3"/>
        <v>1.1346049045709974E-4</v>
      </c>
      <c r="G37" s="364">
        <f t="shared" si="4"/>
        <v>1.0000000211696618</v>
      </c>
      <c r="H37" s="365">
        <f t="shared" si="5"/>
        <v>-2.0576521322045977E-4</v>
      </c>
      <c r="I37" s="363">
        <f t="shared" si="6"/>
        <v>37.844799499295128</v>
      </c>
      <c r="J37" s="366">
        <f t="shared" si="7"/>
        <v>1.5443695411189295</v>
      </c>
      <c r="K37" s="374">
        <f t="shared" si="8"/>
        <v>1.0000652253674485</v>
      </c>
      <c r="L37" s="375">
        <f t="shared" si="9"/>
        <v>1.1421192788441756E-2</v>
      </c>
      <c r="M37" s="363">
        <f t="shared" si="10"/>
        <v>1.0000000899214818</v>
      </c>
      <c r="N37" s="366">
        <f t="shared" si="11"/>
        <v>4.2407894325129563E-4</v>
      </c>
      <c r="O37" s="367">
        <f t="shared" si="12"/>
        <v>1.0000000074288233</v>
      </c>
      <c r="P37" s="368">
        <f t="shared" si="13"/>
        <v>1.5970035454575352E-4</v>
      </c>
      <c r="Q37" s="369">
        <f t="shared" si="14"/>
        <v>55.423646023325226</v>
      </c>
      <c r="R37" s="370">
        <f t="shared" si="15"/>
        <v>-88.605835348857241</v>
      </c>
      <c r="S37" s="392">
        <f t="shared" si="16"/>
        <v>91.394164651142759</v>
      </c>
      <c r="U37" s="345">
        <f t="shared" si="23"/>
        <v>1000000000</v>
      </c>
      <c r="V37" s="345">
        <f t="shared" si="24"/>
        <v>83.176224010000013</v>
      </c>
      <c r="X37" s="371">
        <f t="shared" si="17"/>
        <v>56.537115899235324</v>
      </c>
      <c r="Y37" s="372">
        <f t="shared" si="18"/>
        <v>-87.855768604905862</v>
      </c>
      <c r="AA37" s="371">
        <f t="shared" si="19"/>
        <v>59.447104596094775</v>
      </c>
      <c r="AB37" s="372">
        <f t="shared" si="20"/>
        <v>-0.75006674395137818</v>
      </c>
      <c r="AD37">
        <f t="shared" si="25"/>
        <v>0</v>
      </c>
      <c r="AE37">
        <f t="shared" si="21"/>
        <v>0</v>
      </c>
    </row>
    <row r="38" spans="1:31" x14ac:dyDescent="0.2">
      <c r="A38" s="373">
        <v>10</v>
      </c>
      <c r="B38" s="390">
        <f t="shared" si="22"/>
        <v>0.01</v>
      </c>
      <c r="C38" s="363">
        <f t="shared" si="0"/>
        <v>1.0000990987445091</v>
      </c>
      <c r="D38" s="364">
        <f t="shared" si="1"/>
        <v>1.407768172677476E-2</v>
      </c>
      <c r="E38" s="364">
        <f t="shared" si="2"/>
        <v>1.0000000077385593</v>
      </c>
      <c r="F38" s="365">
        <f t="shared" si="3"/>
        <v>1.2440706829817903E-4</v>
      </c>
      <c r="G38" s="364">
        <f t="shared" si="4"/>
        <v>1.0000000254515784</v>
      </c>
      <c r="H38" s="365">
        <f t="shared" si="5"/>
        <v>-2.2561727682051744E-4</v>
      </c>
      <c r="I38" s="363">
        <f t="shared" si="6"/>
        <v>41.493598426709973</v>
      </c>
      <c r="J38" s="366">
        <f t="shared" si="7"/>
        <v>1.5466938901365994</v>
      </c>
      <c r="K38" s="374">
        <f t="shared" si="8"/>
        <v>1.000078417766618</v>
      </c>
      <c r="L38" s="375">
        <f t="shared" si="9"/>
        <v>1.2522990258386232E-2</v>
      </c>
      <c r="M38" s="363">
        <f t="shared" si="10"/>
        <v>1.0000001081095975</v>
      </c>
      <c r="N38" s="366">
        <f t="shared" si="11"/>
        <v>4.6499373703047633E-4</v>
      </c>
      <c r="O38" s="367">
        <f t="shared" si="12"/>
        <v>1.0000000089314265</v>
      </c>
      <c r="P38" s="368">
        <f t="shared" si="13"/>
        <v>1.7510811772139954E-4</v>
      </c>
      <c r="Q38" s="369">
        <f t="shared" si="14"/>
        <v>54.624117870004902</v>
      </c>
      <c r="R38" s="370">
        <f t="shared" si="15"/>
        <v>-88.750583517021909</v>
      </c>
      <c r="S38" s="392">
        <f t="shared" si="16"/>
        <v>91.249416482978091</v>
      </c>
      <c r="U38" s="345">
        <f t="shared" si="23"/>
        <v>1000000000</v>
      </c>
      <c r="V38" s="345">
        <f t="shared" si="24"/>
        <v>100</v>
      </c>
      <c r="X38" s="371">
        <f t="shared" si="17"/>
        <v>55.737732503818037</v>
      </c>
      <c r="Y38" s="372">
        <f t="shared" si="18"/>
        <v>-87.928159893913616</v>
      </c>
      <c r="AA38" s="371">
        <f t="shared" si="19"/>
        <v>59.446959838191738</v>
      </c>
      <c r="AB38" s="372">
        <f t="shared" si="20"/>
        <v>-0.82242362310827577</v>
      </c>
      <c r="AD38">
        <f t="shared" si="25"/>
        <v>0</v>
      </c>
      <c r="AE38">
        <f t="shared" si="21"/>
        <v>0</v>
      </c>
    </row>
    <row r="39" spans="1:31" x14ac:dyDescent="0.2">
      <c r="A39" s="373">
        <v>10.965</v>
      </c>
      <c r="B39" s="390">
        <f t="shared" si="22"/>
        <v>1.0964999999999999E-2</v>
      </c>
      <c r="C39" s="363">
        <f t="shared" si="0"/>
        <v>1.0001191464402364</v>
      </c>
      <c r="D39" s="364">
        <f t="shared" si="1"/>
        <v>1.5435971724761488E-2</v>
      </c>
      <c r="E39" s="364">
        <f t="shared" si="2"/>
        <v>1.0000000093041648</v>
      </c>
      <c r="F39" s="365">
        <f t="shared" si="3"/>
        <v>1.364123502465747E-4</v>
      </c>
      <c r="G39" s="364">
        <f t="shared" si="4"/>
        <v>1.0000000306007444</v>
      </c>
      <c r="H39" s="365">
        <f t="shared" si="5"/>
        <v>-2.4738934318446483E-4</v>
      </c>
      <c r="I39" s="363">
        <f t="shared" si="6"/>
        <v>45.495507298134363</v>
      </c>
      <c r="J39" s="366">
        <f t="shared" si="7"/>
        <v>1.5488143642148733</v>
      </c>
      <c r="K39" s="374">
        <f t="shared" si="8"/>
        <v>1.0000942818936018</v>
      </c>
      <c r="L39" s="375">
        <f t="shared" si="9"/>
        <v>1.3731313603212929E-2</v>
      </c>
      <c r="M39" s="363">
        <f t="shared" si="10"/>
        <v>1.000000129981492</v>
      </c>
      <c r="N39" s="366">
        <f t="shared" si="11"/>
        <v>5.0986562521943305E-4</v>
      </c>
      <c r="O39" s="367">
        <f t="shared" si="12"/>
        <v>1.0000000107383635</v>
      </c>
      <c r="P39" s="368">
        <f t="shared" si="13"/>
        <v>1.9200605093308906E-4</v>
      </c>
      <c r="Q39" s="369">
        <f t="shared" si="14"/>
        <v>53.824333142686179</v>
      </c>
      <c r="R39" s="370">
        <f t="shared" si="15"/>
        <v>-88.884768934314948</v>
      </c>
      <c r="S39" s="392">
        <f t="shared" si="16"/>
        <v>91.115231065685052</v>
      </c>
      <c r="U39" s="345">
        <f t="shared" si="23"/>
        <v>1000000000</v>
      </c>
      <c r="V39" s="345">
        <f t="shared" si="24"/>
        <v>120.23122499999999</v>
      </c>
      <c r="X39" s="371">
        <f t="shared" si="17"/>
        <v>54.938121846943332</v>
      </c>
      <c r="Y39" s="372">
        <f t="shared" si="18"/>
        <v>-87.98299325109457</v>
      </c>
      <c r="AA39" s="371">
        <f t="shared" si="19"/>
        <v>59.446785767747727</v>
      </c>
      <c r="AB39" s="372">
        <f t="shared" si="20"/>
        <v>-0.90177568322037027</v>
      </c>
      <c r="AD39">
        <f t="shared" si="25"/>
        <v>0</v>
      </c>
      <c r="AE39">
        <f t="shared" si="21"/>
        <v>0</v>
      </c>
    </row>
    <row r="40" spans="1:31" x14ac:dyDescent="0.2">
      <c r="A40" s="373">
        <v>12.023</v>
      </c>
      <c r="B40" s="390">
        <f t="shared" si="22"/>
        <v>1.2022999999999999E-2</v>
      </c>
      <c r="C40" s="363">
        <f t="shared" si="0"/>
        <v>1.0001432465795388</v>
      </c>
      <c r="D40" s="364">
        <f t="shared" si="1"/>
        <v>1.6925098639390374E-2</v>
      </c>
      <c r="E40" s="364">
        <f t="shared" si="2"/>
        <v>1.0000000111862832</v>
      </c>
      <c r="F40" s="365">
        <f t="shared" si="3"/>
        <v>1.4957461787110598E-4</v>
      </c>
      <c r="G40" s="364">
        <f t="shared" si="4"/>
        <v>1.0000000367908999</v>
      </c>
      <c r="H40" s="365">
        <f t="shared" si="5"/>
        <v>-2.7125964987070791E-4</v>
      </c>
      <c r="I40" s="363">
        <f t="shared" si="6"/>
        <v>49.883287911435303</v>
      </c>
      <c r="J40" s="366">
        <f t="shared" si="7"/>
        <v>1.5507481897738726</v>
      </c>
      <c r="K40" s="374">
        <f t="shared" si="8"/>
        <v>1.0001133528849111</v>
      </c>
      <c r="L40" s="375">
        <f t="shared" si="9"/>
        <v>1.5056040551857906E-2</v>
      </c>
      <c r="M40" s="363">
        <f t="shared" si="10"/>
        <v>1.0000001562751535</v>
      </c>
      <c r="N40" s="366">
        <f t="shared" si="11"/>
        <v>5.5906195208005663E-4</v>
      </c>
      <c r="O40" s="367">
        <f t="shared" si="12"/>
        <v>1.000000012910603</v>
      </c>
      <c r="P40" s="368">
        <f t="shared" si="13"/>
        <v>2.1053248957804283E-4</v>
      </c>
      <c r="Q40" s="369">
        <f t="shared" si="14"/>
        <v>53.024558113079394</v>
      </c>
      <c r="R40" s="370">
        <f t="shared" si="15"/>
        <v>-89.009482155591144</v>
      </c>
      <c r="S40" s="392">
        <f t="shared" si="16"/>
        <v>90.990517844408856</v>
      </c>
      <c r="U40" s="345">
        <f t="shared" si="23"/>
        <v>1000000000</v>
      </c>
      <c r="V40" s="345">
        <f t="shared" si="24"/>
        <v>144.55252899999999</v>
      </c>
      <c r="X40" s="371">
        <f t="shared" si="17"/>
        <v>54.138556069779831</v>
      </c>
      <c r="Y40" s="372">
        <f t="shared" si="18"/>
        <v>-88.020710772714935</v>
      </c>
      <c r="AA40" s="371">
        <f t="shared" si="19"/>
        <v>59.446576515304429</v>
      </c>
      <c r="AB40" s="372">
        <f t="shared" si="20"/>
        <v>-0.9887713828762118</v>
      </c>
      <c r="AD40">
        <f t="shared" si="25"/>
        <v>0</v>
      </c>
      <c r="AE40">
        <f t="shared" si="21"/>
        <v>0</v>
      </c>
    </row>
    <row r="41" spans="1:31" x14ac:dyDescent="0.2">
      <c r="A41" s="373">
        <v>13.183</v>
      </c>
      <c r="B41" s="390">
        <f t="shared" si="22"/>
        <v>1.3183E-2</v>
      </c>
      <c r="C41" s="363">
        <f t="shared" si="0"/>
        <v>1.0001722188876399</v>
      </c>
      <c r="D41" s="364">
        <f t="shared" si="1"/>
        <v>1.8557703260401841E-2</v>
      </c>
      <c r="E41" s="364">
        <f t="shared" si="2"/>
        <v>1.0000000134489575</v>
      </c>
      <c r="F41" s="365">
        <f t="shared" si="3"/>
        <v>1.6400583751313033E-4</v>
      </c>
      <c r="G41" s="364">
        <f t="shared" si="4"/>
        <v>1.0000000442326766</v>
      </c>
      <c r="H41" s="365">
        <f t="shared" si="5"/>
        <v>-2.9743125230843122E-4</v>
      </c>
      <c r="I41" s="363">
        <f t="shared" si="6"/>
        <v>54.694265405988062</v>
      </c>
      <c r="J41" s="366">
        <f t="shared" si="7"/>
        <v>1.5525118555607582</v>
      </c>
      <c r="K41" s="374">
        <f t="shared" si="8"/>
        <v>1.0001362794617203</v>
      </c>
      <c r="L41" s="375">
        <f t="shared" si="9"/>
        <v>1.6508421291983457E-2</v>
      </c>
      <c r="M41" s="363">
        <f t="shared" si="10"/>
        <v>1.0000001878852718</v>
      </c>
      <c r="N41" s="366">
        <f t="shared" si="11"/>
        <v>6.1300121092555638E-4</v>
      </c>
      <c r="O41" s="367">
        <f t="shared" si="12"/>
        <v>1.0000000155220592</v>
      </c>
      <c r="P41" s="368">
        <f t="shared" si="13"/>
        <v>2.3084503094124496E-4</v>
      </c>
      <c r="Q41" s="369">
        <f t="shared" si="14"/>
        <v>52.22477094777237</v>
      </c>
      <c r="R41" s="370">
        <f t="shared" si="15"/>
        <v>-89.125785818683696</v>
      </c>
      <c r="S41" s="392">
        <f t="shared" si="16"/>
        <v>90.874214181316304</v>
      </c>
      <c r="U41" s="345">
        <f t="shared" si="23"/>
        <v>1000000000</v>
      </c>
      <c r="V41" s="345">
        <f t="shared" si="24"/>
        <v>173.79148899999998</v>
      </c>
      <c r="X41" s="371">
        <f t="shared" si="17"/>
        <v>53.339020453447361</v>
      </c>
      <c r="Y41" s="372">
        <f t="shared" si="18"/>
        <v>-88.041636584025625</v>
      </c>
      <c r="AA41" s="371">
        <f t="shared" si="19"/>
        <v>59.446324966329875</v>
      </c>
      <c r="AB41" s="372">
        <f t="shared" si="20"/>
        <v>-1.0841492346580672</v>
      </c>
      <c r="AD41">
        <f t="shared" si="25"/>
        <v>0</v>
      </c>
      <c r="AE41">
        <f t="shared" si="21"/>
        <v>0</v>
      </c>
    </row>
    <row r="42" spans="1:31" x14ac:dyDescent="0.2">
      <c r="A42" s="373">
        <v>14.454000000000001</v>
      </c>
      <c r="B42" s="390">
        <f t="shared" si="22"/>
        <v>1.4454E-2</v>
      </c>
      <c r="C42" s="363">
        <f t="shared" si="0"/>
        <v>1.0002070240589933</v>
      </c>
      <c r="D42" s="364">
        <f t="shared" si="1"/>
        <v>2.0346417350529455E-2</v>
      </c>
      <c r="E42" s="364">
        <f t="shared" si="2"/>
        <v>1.0000000161672524</v>
      </c>
      <c r="F42" s="365">
        <f t="shared" si="3"/>
        <v>1.7981797550776761E-4</v>
      </c>
      <c r="G42" s="364">
        <f t="shared" si="4"/>
        <v>1.0000000531729571</v>
      </c>
      <c r="H42" s="365">
        <f t="shared" si="5"/>
        <v>-3.2610720588961516E-4</v>
      </c>
      <c r="I42" s="363">
        <f t="shared" si="6"/>
        <v>59.965766162211679</v>
      </c>
      <c r="J42" s="366">
        <f t="shared" si="7"/>
        <v>1.5541193722760871</v>
      </c>
      <c r="K42" s="374">
        <f t="shared" si="8"/>
        <v>1.0001638219253652</v>
      </c>
      <c r="L42" s="375">
        <f t="shared" si="9"/>
        <v>1.8099699655247315E-2</v>
      </c>
      <c r="M42" s="363">
        <f t="shared" si="10"/>
        <v>1.000000225860521</v>
      </c>
      <c r="N42" s="366">
        <f t="shared" si="11"/>
        <v>6.7210189474344235E-4</v>
      </c>
      <c r="O42" s="367">
        <f t="shared" si="12"/>
        <v>1.0000000186593681</v>
      </c>
      <c r="P42" s="368">
        <f t="shared" si="13"/>
        <v>2.5310127230117736E-4</v>
      </c>
      <c r="Q42" s="369">
        <f t="shared" si="14"/>
        <v>51.425475767295467</v>
      </c>
      <c r="R42" s="370">
        <f t="shared" si="15"/>
        <v>-89.234600426755904</v>
      </c>
      <c r="S42" s="392">
        <f t="shared" si="16"/>
        <v>90.765399573244096</v>
      </c>
      <c r="U42" s="345">
        <f t="shared" si="23"/>
        <v>1000000000</v>
      </c>
      <c r="V42" s="345">
        <f t="shared" si="24"/>
        <v>208.91811600000003</v>
      </c>
      <c r="X42" s="371">
        <f t="shared" si="17"/>
        <v>52.540027455518583</v>
      </c>
      <c r="Y42" s="372">
        <f t="shared" si="18"/>
        <v>-88.04595319281924</v>
      </c>
      <c r="AA42" s="371">
        <f t="shared" si="19"/>
        <v>59.446022783781757</v>
      </c>
      <c r="AB42" s="372">
        <f t="shared" si="20"/>
        <v>-1.1886472339366612</v>
      </c>
      <c r="AD42">
        <f t="shared" si="25"/>
        <v>0</v>
      </c>
      <c r="AE42">
        <f t="shared" si="21"/>
        <v>0</v>
      </c>
    </row>
    <row r="43" spans="1:31" x14ac:dyDescent="0.2">
      <c r="A43" s="373">
        <v>15.849</v>
      </c>
      <c r="B43" s="390">
        <f t="shared" si="22"/>
        <v>1.5848999999999999E-2</v>
      </c>
      <c r="C43" s="363">
        <f t="shared" si="0"/>
        <v>1.0002489082866191</v>
      </c>
      <c r="D43" s="364">
        <f t="shared" si="1"/>
        <v>2.2309489825493325E-2</v>
      </c>
      <c r="E43" s="364">
        <f t="shared" si="2"/>
        <v>1.0000000194385492</v>
      </c>
      <c r="F43" s="365">
        <f t="shared" si="3"/>
        <v>1.9717276100783776E-4</v>
      </c>
      <c r="G43" s="364">
        <f t="shared" si="4"/>
        <v>1.0000000639320223</v>
      </c>
      <c r="H43" s="365">
        <f t="shared" si="5"/>
        <v>-3.5758081285959271E-4</v>
      </c>
      <c r="I43" s="363">
        <f t="shared" si="6"/>
        <v>65.751708050842794</v>
      </c>
      <c r="J43" s="366">
        <f t="shared" si="7"/>
        <v>1.5555870100399121</v>
      </c>
      <c r="K43" s="374">
        <f t="shared" si="8"/>
        <v>1.0001969665414807</v>
      </c>
      <c r="L43" s="375">
        <f t="shared" si="9"/>
        <v>1.9846118868186439E-2</v>
      </c>
      <c r="M43" s="363">
        <f t="shared" si="10"/>
        <v>1.0000002715613416</v>
      </c>
      <c r="N43" s="366">
        <f t="shared" si="11"/>
        <v>7.3696849351375163E-4</v>
      </c>
      <c r="O43" s="367">
        <f t="shared" si="12"/>
        <v>1.0000000224349217</v>
      </c>
      <c r="P43" s="368">
        <f t="shared" si="13"/>
        <v>2.7752885417338239E-4</v>
      </c>
      <c r="Q43" s="369">
        <f t="shared" si="14"/>
        <v>50.625326534813681</v>
      </c>
      <c r="R43" s="370">
        <f t="shared" si="15"/>
        <v>-89.337028322693712</v>
      </c>
      <c r="S43" s="392">
        <f t="shared" si="16"/>
        <v>90.662971677306288</v>
      </c>
      <c r="U43" s="345">
        <f t="shared" si="23"/>
        <v>1000000000</v>
      </c>
      <c r="V43" s="345">
        <f t="shared" si="24"/>
        <v>251.19080099999999</v>
      </c>
      <c r="X43" s="371">
        <f t="shared" si="17"/>
        <v>51.740241852827864</v>
      </c>
      <c r="Y43" s="372">
        <f t="shared" si="18"/>
        <v>-88.033696774705348</v>
      </c>
      <c r="AA43" s="371">
        <f t="shared" si="19"/>
        <v>59.44565915399069</v>
      </c>
      <c r="AB43" s="372">
        <f t="shared" si="20"/>
        <v>-1.3033315479883503</v>
      </c>
      <c r="AD43">
        <f t="shared" si="25"/>
        <v>0</v>
      </c>
      <c r="AE43">
        <f t="shared" si="21"/>
        <v>0</v>
      </c>
    </row>
    <row r="44" spans="1:31" x14ac:dyDescent="0.2">
      <c r="A44" s="373">
        <v>17.378</v>
      </c>
      <c r="B44" s="390">
        <f t="shared" si="22"/>
        <v>1.7378000000000001E-2</v>
      </c>
      <c r="C44" s="363">
        <f t="shared" si="0"/>
        <v>1.0002992431940774</v>
      </c>
      <c r="D44" s="364">
        <f t="shared" si="1"/>
        <v>2.446093175057688E-2</v>
      </c>
      <c r="E44" s="364">
        <f t="shared" si="2"/>
        <v>1.0000000233700532</v>
      </c>
      <c r="F44" s="365">
        <f t="shared" si="3"/>
        <v>2.1619460103561249E-4</v>
      </c>
      <c r="G44" s="364">
        <f t="shared" si="4"/>
        <v>1.0000000768624626</v>
      </c>
      <c r="H44" s="365">
        <f t="shared" si="5"/>
        <v>-3.9207769022065505E-4</v>
      </c>
      <c r="I44" s="363">
        <f t="shared" si="6"/>
        <v>72.093567489963505</v>
      </c>
      <c r="J44" s="366">
        <f t="shared" si="7"/>
        <v>1.5569250189320591</v>
      </c>
      <c r="K44" s="374">
        <f t="shared" si="8"/>
        <v>1.0002367988918313</v>
      </c>
      <c r="L44" s="375">
        <f t="shared" si="9"/>
        <v>2.1760155016709862E-2</v>
      </c>
      <c r="M44" s="363">
        <f t="shared" si="10"/>
        <v>1.0000003264854178</v>
      </c>
      <c r="N44" s="366">
        <f t="shared" si="11"/>
        <v>8.0806599857018841E-4</v>
      </c>
      <c r="O44" s="367">
        <f t="shared" si="12"/>
        <v>1.0000000269724512</v>
      </c>
      <c r="P44" s="368">
        <f t="shared" si="13"/>
        <v>3.0430288462760029E-4</v>
      </c>
      <c r="Q44" s="369">
        <f t="shared" si="14"/>
        <v>49.825445432415265</v>
      </c>
      <c r="R44" s="370">
        <f t="shared" si="15"/>
        <v>-89.433787214550421</v>
      </c>
      <c r="S44" s="392">
        <f t="shared" si="16"/>
        <v>90.566212785449579</v>
      </c>
      <c r="U44" s="345">
        <f t="shared" si="23"/>
        <v>1000000000</v>
      </c>
      <c r="V44" s="345">
        <f t="shared" si="24"/>
        <v>301.99488400000001</v>
      </c>
      <c r="X44" s="371">
        <f t="shared" si="17"/>
        <v>50.940797727038138</v>
      </c>
      <c r="Y44" s="372">
        <f t="shared" si="18"/>
        <v>-88.004766430971074</v>
      </c>
      <c r="AA44" s="371">
        <f t="shared" si="19"/>
        <v>59.445222177382</v>
      </c>
      <c r="AB44" s="372">
        <f t="shared" si="20"/>
        <v>-1.4290207835793458</v>
      </c>
      <c r="AD44">
        <f t="shared" si="25"/>
        <v>0</v>
      </c>
      <c r="AE44">
        <f t="shared" si="21"/>
        <v>0</v>
      </c>
    </row>
    <row r="45" spans="1:31" x14ac:dyDescent="0.2">
      <c r="A45" s="373">
        <v>19.055</v>
      </c>
      <c r="B45" s="390">
        <f t="shared" si="22"/>
        <v>1.9054999999999999E-2</v>
      </c>
      <c r="C45" s="363">
        <f t="shared" si="0"/>
        <v>1.0003597737394898</v>
      </c>
      <c r="D45" s="364">
        <f t="shared" si="1"/>
        <v>2.6820361977727365E-2</v>
      </c>
      <c r="E45" s="364">
        <f t="shared" si="2"/>
        <v>1.0000000280981691</v>
      </c>
      <c r="F45" s="365">
        <f t="shared" si="3"/>
        <v>2.3705766542457909E-4</v>
      </c>
      <c r="G45" s="364">
        <f t="shared" si="4"/>
        <v>1.0000000924129027</v>
      </c>
      <c r="H45" s="365">
        <f t="shared" si="5"/>
        <v>-4.2991370178976923E-4</v>
      </c>
      <c r="I45" s="363">
        <f t="shared" si="6"/>
        <v>79.049412504595537</v>
      </c>
      <c r="J45" s="366">
        <f t="shared" si="7"/>
        <v>1.558145673969243</v>
      </c>
      <c r="K45" s="374">
        <f t="shared" si="8"/>
        <v>1.000284700077807</v>
      </c>
      <c r="L45" s="375">
        <f t="shared" si="9"/>
        <v>2.385927698405068E-2</v>
      </c>
      <c r="M45" s="363">
        <f t="shared" si="10"/>
        <v>1.000000392538352</v>
      </c>
      <c r="N45" s="366">
        <f t="shared" si="11"/>
        <v>8.8604539790039494E-4</v>
      </c>
      <c r="O45" s="367">
        <f t="shared" si="12"/>
        <v>1.0000000324293867</v>
      </c>
      <c r="P45" s="368">
        <f t="shared" si="13"/>
        <v>3.3366851496387224E-4</v>
      </c>
      <c r="Q45" s="369">
        <f t="shared" si="14"/>
        <v>49.025292757974263</v>
      </c>
      <c r="R45" s="370">
        <f t="shared" si="15"/>
        <v>-89.525763056577958</v>
      </c>
      <c r="S45" s="392">
        <f t="shared" si="16"/>
        <v>90.474236943422042</v>
      </c>
      <c r="U45" s="345">
        <f t="shared" si="23"/>
        <v>1000000000</v>
      </c>
      <c r="V45" s="345">
        <f t="shared" si="24"/>
        <v>363.09302500000001</v>
      </c>
      <c r="X45" s="371">
        <f t="shared" si="17"/>
        <v>50.141170512309685</v>
      </c>
      <c r="Y45" s="372">
        <f t="shared" si="18"/>
        <v>-87.958901873849456</v>
      </c>
      <c r="AA45" s="371">
        <f t="shared" si="19"/>
        <v>59.444696717669451</v>
      </c>
      <c r="AB45" s="372">
        <f t="shared" si="20"/>
        <v>-1.5668611827284979</v>
      </c>
      <c r="AD45">
        <f t="shared" si="25"/>
        <v>0</v>
      </c>
      <c r="AE45">
        <f t="shared" ref="AE45:AE76" si="26">IF(AD45&gt;0,S43,0)</f>
        <v>0</v>
      </c>
    </row>
    <row r="46" spans="1:31" x14ac:dyDescent="0.2">
      <c r="A46" s="373">
        <v>20.893000000000001</v>
      </c>
      <c r="B46" s="390">
        <f t="shared" si="22"/>
        <v>2.0893000000000002E-2</v>
      </c>
      <c r="C46" s="363">
        <f t="shared" si="0"/>
        <v>1.0004325112127792</v>
      </c>
      <c r="D46" s="364">
        <f t="shared" si="1"/>
        <v>2.9405964769120059E-2</v>
      </c>
      <c r="E46" s="364">
        <f t="shared" si="2"/>
        <v>1.0000000337801616</v>
      </c>
      <c r="F46" s="365">
        <f t="shared" si="3"/>
        <v>2.5992368328283267E-4</v>
      </c>
      <c r="G46" s="364">
        <f t="shared" si="4"/>
        <v>1.0000001111005759</v>
      </c>
      <c r="H46" s="365">
        <f t="shared" si="5"/>
        <v>-4.7138214954550202E-4</v>
      </c>
      <c r="I46" s="363">
        <f t="shared" si="6"/>
        <v>86.673164353743203</v>
      </c>
      <c r="J46" s="366">
        <f t="shared" si="7"/>
        <v>1.5592584742795561</v>
      </c>
      <c r="K46" s="374">
        <f t="shared" si="8"/>
        <v>1.0003422620842211</v>
      </c>
      <c r="L46" s="375">
        <f t="shared" si="9"/>
        <v>2.6159682462844319E-2</v>
      </c>
      <c r="M46" s="363">
        <f t="shared" si="10"/>
        <v>1.0000004719171713</v>
      </c>
      <c r="N46" s="366">
        <f t="shared" si="11"/>
        <v>9.7151117914904585E-4</v>
      </c>
      <c r="O46" s="367">
        <f t="shared" si="12"/>
        <v>1.000000038987235</v>
      </c>
      <c r="P46" s="368">
        <f t="shared" si="13"/>
        <v>3.6585338565111626E-4</v>
      </c>
      <c r="Q46" s="369">
        <f t="shared" si="14"/>
        <v>48.225440385798805</v>
      </c>
      <c r="R46" s="370">
        <f t="shared" si="15"/>
        <v>-89.613669146775294</v>
      </c>
      <c r="S46" s="392">
        <f t="shared" si="16"/>
        <v>90.386330853224706</v>
      </c>
      <c r="U46" s="345">
        <f t="shared" si="23"/>
        <v>1000000000</v>
      </c>
      <c r="V46" s="345">
        <f t="shared" si="24"/>
        <v>436.51744900000006</v>
      </c>
      <c r="X46" s="371">
        <f t="shared" si="17"/>
        <v>49.341949524908976</v>
      </c>
      <c r="Y46" s="372">
        <f t="shared" si="18"/>
        <v>-87.89575393845378</v>
      </c>
      <c r="AA46" s="371">
        <f t="shared" si="19"/>
        <v>59.444065332894702</v>
      </c>
      <c r="AB46" s="372">
        <f t="shared" si="20"/>
        <v>-1.7179152083215152</v>
      </c>
      <c r="AD46">
        <f t="shared" si="25"/>
        <v>0</v>
      </c>
      <c r="AE46">
        <f t="shared" si="26"/>
        <v>0</v>
      </c>
    </row>
    <row r="47" spans="1:31" x14ac:dyDescent="0.2">
      <c r="A47" s="373">
        <v>22.909000000000002</v>
      </c>
      <c r="B47" s="390">
        <f t="shared" si="22"/>
        <v>2.2909000000000002E-2</v>
      </c>
      <c r="C47" s="363">
        <f t="shared" si="0"/>
        <v>1.0005199828705291</v>
      </c>
      <c r="D47" s="364">
        <f t="shared" si="1"/>
        <v>3.2241515224126903E-2</v>
      </c>
      <c r="E47" s="364">
        <f t="shared" si="2"/>
        <v>1.0000000406136831</v>
      </c>
      <c r="F47" s="365">
        <f t="shared" si="3"/>
        <v>2.8500414651793401E-4</v>
      </c>
      <c r="G47" s="364">
        <f t="shared" si="4"/>
        <v>1.0000001335755468</v>
      </c>
      <c r="H47" s="365">
        <f t="shared" si="5"/>
        <v>-5.1686658221101361E-4</v>
      </c>
      <c r="I47" s="363">
        <f t="shared" si="6"/>
        <v>95.035336509635599</v>
      </c>
      <c r="J47" s="366">
        <f t="shared" si="7"/>
        <v>1.5602737307675947</v>
      </c>
      <c r="K47" s="374">
        <f t="shared" si="8"/>
        <v>1.0004114853879311</v>
      </c>
      <c r="L47" s="375">
        <f t="shared" si="9"/>
        <v>2.8682550000700972E-2</v>
      </c>
      <c r="M47" s="363">
        <f t="shared" si="10"/>
        <v>1.0000005673831251</v>
      </c>
      <c r="N47" s="366">
        <f t="shared" si="11"/>
        <v>1.0652538260012274E-3</v>
      </c>
      <c r="O47" s="367">
        <f t="shared" si="12"/>
        <v>1.0000000468741161</v>
      </c>
      <c r="P47" s="368">
        <f t="shared" si="13"/>
        <v>4.0115518037630275E-4</v>
      </c>
      <c r="Q47" s="369">
        <f t="shared" si="14"/>
        <v>47.425272088278014</v>
      </c>
      <c r="R47" s="370">
        <f t="shared" si="15"/>
        <v>-89.698317233444115</v>
      </c>
      <c r="S47" s="392">
        <f t="shared" si="16"/>
        <v>90.301682766555885</v>
      </c>
      <c r="U47" s="345">
        <f t="shared" si="23"/>
        <v>1000000000</v>
      </c>
      <c r="V47" s="345">
        <f t="shared" si="24"/>
        <v>524.82228100000009</v>
      </c>
      <c r="X47" s="371">
        <f t="shared" si="17"/>
        <v>48.542540448823033</v>
      </c>
      <c r="Y47" s="372">
        <f t="shared" si="18"/>
        <v>-87.814745246084343</v>
      </c>
      <c r="AA47" s="371">
        <f t="shared" si="19"/>
        <v>59.443306111459854</v>
      </c>
      <c r="AB47" s="372">
        <f t="shared" si="20"/>
        <v>-1.8835719873597649</v>
      </c>
      <c r="AD47">
        <f t="shared" si="25"/>
        <v>0</v>
      </c>
      <c r="AE47">
        <f t="shared" si="26"/>
        <v>0</v>
      </c>
    </row>
    <row r="48" spans="1:31" x14ac:dyDescent="0.2">
      <c r="A48" s="373">
        <v>25.119</v>
      </c>
      <c r="B48" s="390">
        <f t="shared" si="22"/>
        <v>2.5118999999999999E-2</v>
      </c>
      <c r="C48" s="363">
        <f t="shared" si="0"/>
        <v>1.0006251131607324</v>
      </c>
      <c r="D48" s="364">
        <f t="shared" si="1"/>
        <v>3.5349333674730844E-2</v>
      </c>
      <c r="E48" s="364">
        <f t="shared" si="2"/>
        <v>1.0000000488275351</v>
      </c>
      <c r="F48" s="365">
        <f t="shared" si="3"/>
        <v>3.1249810629804451E-4</v>
      </c>
      <c r="G48" s="364">
        <f t="shared" si="4"/>
        <v>1.0000001605903268</v>
      </c>
      <c r="H48" s="365">
        <f t="shared" si="5"/>
        <v>-5.6672798658751833E-4</v>
      </c>
      <c r="I48" s="363">
        <f t="shared" si="6"/>
        <v>104.20229543645802</v>
      </c>
      <c r="J48" s="366">
        <f t="shared" si="7"/>
        <v>1.5611994619087097</v>
      </c>
      <c r="K48" s="374">
        <f t="shared" si="8"/>
        <v>1.0004946850466538</v>
      </c>
      <c r="L48" s="375">
        <f t="shared" si="9"/>
        <v>3.1447772733688442E-2</v>
      </c>
      <c r="M48" s="363">
        <f t="shared" si="10"/>
        <v>1.0000006821326188</v>
      </c>
      <c r="N48" s="366">
        <f t="shared" si="11"/>
        <v>1.1680173210676765E-3</v>
      </c>
      <c r="O48" s="367">
        <f t="shared" si="12"/>
        <v>1.0000000563540998</v>
      </c>
      <c r="P48" s="368">
        <f t="shared" si="13"/>
        <v>4.3985407198067695E-4</v>
      </c>
      <c r="Q48" s="369">
        <f t="shared" si="14"/>
        <v>46.625237640448525</v>
      </c>
      <c r="R48" s="370">
        <f t="shared" si="15"/>
        <v>-89.780373767476249</v>
      </c>
      <c r="S48" s="392">
        <f t="shared" si="16"/>
        <v>90.219626232523751</v>
      </c>
      <c r="U48" s="345">
        <f t="shared" si="23"/>
        <v>1000000000</v>
      </c>
      <c r="V48" s="345">
        <f t="shared" si="24"/>
        <v>630.96416099999999</v>
      </c>
      <c r="X48" s="371">
        <f t="shared" si="17"/>
        <v>47.743418404919709</v>
      </c>
      <c r="Y48" s="372">
        <f t="shared" si="18"/>
        <v>-87.715238055861889</v>
      </c>
      <c r="AA48" s="371">
        <f t="shared" si="19"/>
        <v>59.442393707533682</v>
      </c>
      <c r="AB48" s="372">
        <f t="shared" si="20"/>
        <v>-2.0651357116143552</v>
      </c>
      <c r="AD48">
        <f t="shared" si="25"/>
        <v>0</v>
      </c>
      <c r="AE48">
        <f t="shared" si="26"/>
        <v>0</v>
      </c>
    </row>
    <row r="49" spans="1:31" x14ac:dyDescent="0.2">
      <c r="A49" s="373">
        <v>27.542000000000002</v>
      </c>
      <c r="B49" s="390">
        <f t="shared" si="22"/>
        <v>2.7542000000000001E-2</v>
      </c>
      <c r="C49" s="363">
        <f t="shared" si="0"/>
        <v>1.000751480070813</v>
      </c>
      <c r="D49" s="364">
        <f t="shared" si="1"/>
        <v>3.8755896854062548E-2</v>
      </c>
      <c r="E49" s="364">
        <f t="shared" si="2"/>
        <v>1.000000058701751</v>
      </c>
      <c r="F49" s="365">
        <f t="shared" si="3"/>
        <v>3.4264193586542701E-4</v>
      </c>
      <c r="G49" s="364">
        <f t="shared" si="4"/>
        <v>1.0000001930659255</v>
      </c>
      <c r="H49" s="365">
        <f t="shared" si="5"/>
        <v>-6.2139503438258885E-4</v>
      </c>
      <c r="I49" s="363">
        <f t="shared" si="6"/>
        <v>114.25285205659442</v>
      </c>
      <c r="J49" s="366">
        <f t="shared" si="7"/>
        <v>1.5620436983029355</v>
      </c>
      <c r="K49" s="374">
        <f t="shared" si="8"/>
        <v>1.0005946936867507</v>
      </c>
      <c r="L49" s="375">
        <f t="shared" si="9"/>
        <v>3.447895355382001E-2</v>
      </c>
      <c r="M49" s="363">
        <f t="shared" si="10"/>
        <v>1.0000008200777777</v>
      </c>
      <c r="N49" s="366">
        <f t="shared" si="11"/>
        <v>1.2806851426580203E-3</v>
      </c>
      <c r="O49" s="367">
        <f t="shared" si="12"/>
        <v>1.0000000677503857</v>
      </c>
      <c r="P49" s="368">
        <f t="shared" si="13"/>
        <v>4.8228276569244239E-4</v>
      </c>
      <c r="Q49" s="369">
        <f t="shared" si="14"/>
        <v>45.825212767453287</v>
      </c>
      <c r="R49" s="370">
        <f t="shared" si="15"/>
        <v>-89.860544227402684</v>
      </c>
      <c r="S49" s="392">
        <f t="shared" si="16"/>
        <v>90.139455772597316</v>
      </c>
      <c r="U49" s="345">
        <f t="shared" si="23"/>
        <v>1000000000</v>
      </c>
      <c r="V49" s="345">
        <f t="shared" si="24"/>
        <v>758.56176400000004</v>
      </c>
      <c r="X49" s="371">
        <f t="shared" si="17"/>
        <v>46.944490117140973</v>
      </c>
      <c r="Y49" s="372">
        <f t="shared" si="18"/>
        <v>-87.596390760756094</v>
      </c>
      <c r="AA49" s="371">
        <f t="shared" si="19"/>
        <v>59.441297122317195</v>
      </c>
      <c r="AB49" s="372">
        <f t="shared" si="20"/>
        <v>-2.2641534666466021</v>
      </c>
      <c r="AD49">
        <f t="shared" si="25"/>
        <v>0</v>
      </c>
      <c r="AE49">
        <f t="shared" si="26"/>
        <v>0</v>
      </c>
    </row>
    <row r="50" spans="1:31" x14ac:dyDescent="0.2">
      <c r="A50" s="373">
        <v>30.2</v>
      </c>
      <c r="B50" s="390">
        <f t="shared" si="22"/>
        <v>3.0199999999999998E-2</v>
      </c>
      <c r="C50" s="363">
        <f t="shared" si="0"/>
        <v>1.0009034568559989</v>
      </c>
      <c r="D50" s="364">
        <f t="shared" si="1"/>
        <v>4.2491815323450338E-2</v>
      </c>
      <c r="E50" s="364">
        <f t="shared" si="2"/>
        <v>1.0000000705787546</v>
      </c>
      <c r="F50" s="365">
        <f t="shared" si="3"/>
        <v>3.7570933052073562E-4</v>
      </c>
      <c r="G50" s="364">
        <f t="shared" si="4"/>
        <v>1.000000232128551</v>
      </c>
      <c r="H50" s="365">
        <f t="shared" si="5"/>
        <v>-6.8136408211645454E-4</v>
      </c>
      <c r="I50" s="363">
        <f t="shared" si="6"/>
        <v>125.27826198628962</v>
      </c>
      <c r="J50" s="366">
        <f t="shared" si="7"/>
        <v>1.5628140112376401</v>
      </c>
      <c r="K50" s="374">
        <f t="shared" si="8"/>
        <v>1.0007149738471102</v>
      </c>
      <c r="L50" s="375">
        <f t="shared" si="9"/>
        <v>3.7803389191478798E-2</v>
      </c>
      <c r="M50" s="363">
        <f t="shared" si="10"/>
        <v>1.00000098600234</v>
      </c>
      <c r="N50" s="366">
        <f t="shared" si="11"/>
        <v>1.4042802639604929E-3</v>
      </c>
      <c r="O50" s="367">
        <f t="shared" si="12"/>
        <v>1.0000000814581813</v>
      </c>
      <c r="P50" s="368">
        <f t="shared" si="13"/>
        <v>5.2882649911038348E-4</v>
      </c>
      <c r="Q50" s="369">
        <f t="shared" si="14"/>
        <v>45.024763350742418</v>
      </c>
      <c r="R50" s="370">
        <f t="shared" si="15"/>
        <v>-89.939545726646017</v>
      </c>
      <c r="S50" s="392">
        <f t="shared" si="16"/>
        <v>90.060454273353983</v>
      </c>
      <c r="U50" s="345">
        <f t="shared" si="23"/>
        <v>1000000000</v>
      </c>
      <c r="V50" s="345">
        <f t="shared" si="24"/>
        <v>912.04</v>
      </c>
      <c r="X50" s="371">
        <f t="shared" si="17"/>
        <v>46.145359339225166</v>
      </c>
      <c r="Y50" s="372">
        <f t="shared" si="18"/>
        <v>-87.45713178817816</v>
      </c>
      <c r="AA50" s="371">
        <f t="shared" si="19"/>
        <v>59.439978483522118</v>
      </c>
      <c r="AB50" s="372">
        <f t="shared" si="20"/>
        <v>-2.4824139384678525</v>
      </c>
      <c r="AD50">
        <f t="shared" si="25"/>
        <v>0</v>
      </c>
      <c r="AE50">
        <f t="shared" si="26"/>
        <v>0</v>
      </c>
    </row>
    <row r="51" spans="1:31" x14ac:dyDescent="0.2">
      <c r="A51" s="373">
        <v>33.113</v>
      </c>
      <c r="B51" s="390">
        <f t="shared" si="22"/>
        <v>3.3112999999999997E-2</v>
      </c>
      <c r="C51" s="363">
        <f t="shared" si="0"/>
        <v>1.0010860528503833</v>
      </c>
      <c r="D51" s="364">
        <f t="shared" si="1"/>
        <v>4.6584779377012948E-2</v>
      </c>
      <c r="E51" s="364">
        <f t="shared" si="2"/>
        <v>1.0000000848510382</v>
      </c>
      <c r="F51" s="365">
        <f t="shared" si="3"/>
        <v>4.1194910407814931E-4</v>
      </c>
      <c r="G51" s="364">
        <f t="shared" si="4"/>
        <v>1.0000002790690814</v>
      </c>
      <c r="H51" s="365">
        <f t="shared" si="5"/>
        <v>-7.4708636241966437E-4</v>
      </c>
      <c r="I51" s="363">
        <f t="shared" si="6"/>
        <v>137.36148541792062</v>
      </c>
      <c r="J51" s="366">
        <f t="shared" si="7"/>
        <v>1.5635162014352808</v>
      </c>
      <c r="K51" s="374">
        <f t="shared" si="8"/>
        <v>1.0008594922381071</v>
      </c>
      <c r="L51" s="375">
        <f t="shared" si="9"/>
        <v>4.1445797941869429E-2</v>
      </c>
      <c r="M51" s="363">
        <f t="shared" si="10"/>
        <v>1.0000011853894963</v>
      </c>
      <c r="N51" s="366">
        <f t="shared" si="11"/>
        <v>1.539732655613784E-3</v>
      </c>
      <c r="O51" s="367">
        <f t="shared" si="12"/>
        <v>1.0000000979304793</v>
      </c>
      <c r="P51" s="368">
        <f t="shared" si="13"/>
        <v>5.7983548813383241E-4</v>
      </c>
      <c r="Q51" s="369">
        <f t="shared" si="14"/>
        <v>44.224646679949785</v>
      </c>
      <c r="R51" s="370">
        <f t="shared" si="15"/>
        <v>-90.017965852145849</v>
      </c>
      <c r="S51" s="392">
        <f t="shared" si="16"/>
        <v>89.982034147854151</v>
      </c>
      <c r="U51" s="345">
        <f t="shared" si="23"/>
        <v>1000000000</v>
      </c>
      <c r="V51" s="345">
        <f t="shared" si="24"/>
        <v>1096.470769</v>
      </c>
      <c r="X51" s="371">
        <f t="shared" si="17"/>
        <v>45.346826712359459</v>
      </c>
      <c r="Y51" s="372">
        <f t="shared" si="18"/>
        <v>-87.296430524442584</v>
      </c>
      <c r="AA51" s="371">
        <f t="shared" si="19"/>
        <v>59.438394439595193</v>
      </c>
      <c r="AB51" s="372">
        <f t="shared" si="20"/>
        <v>-2.7215353277032563</v>
      </c>
      <c r="AD51">
        <f t="shared" si="25"/>
        <v>0</v>
      </c>
      <c r="AE51">
        <f t="shared" si="26"/>
        <v>0</v>
      </c>
    </row>
    <row r="52" spans="1:31" x14ac:dyDescent="0.2">
      <c r="A52" s="373">
        <v>36.308</v>
      </c>
      <c r="B52" s="390">
        <f t="shared" si="22"/>
        <v>3.6308E-2</v>
      </c>
      <c r="C52" s="363">
        <f t="shared" si="0"/>
        <v>1.0013056023075595</v>
      </c>
      <c r="D52" s="364">
        <f t="shared" si="1"/>
        <v>5.1072172276848592E-2</v>
      </c>
      <c r="E52" s="364">
        <f t="shared" si="2"/>
        <v>1.0000001020151688</v>
      </c>
      <c r="F52" s="365">
        <f t="shared" si="3"/>
        <v>4.5169715518737785E-4</v>
      </c>
      <c r="G52" s="364">
        <f t="shared" si="4"/>
        <v>1.0000003355206897</v>
      </c>
      <c r="H52" s="365">
        <f t="shared" si="5"/>
        <v>-8.1917103934684885E-4</v>
      </c>
      <c r="I52" s="363">
        <f t="shared" si="6"/>
        <v>150.61451925548576</v>
      </c>
      <c r="J52" s="366">
        <f t="shared" si="7"/>
        <v>1.5641568118784459</v>
      </c>
      <c r="K52" s="374">
        <f t="shared" si="8"/>
        <v>1.001033265283471</v>
      </c>
      <c r="L52" s="375">
        <f t="shared" si="9"/>
        <v>4.5439550385284591E-2</v>
      </c>
      <c r="M52" s="363">
        <f t="shared" si="10"/>
        <v>1.0000014251763862</v>
      </c>
      <c r="N52" s="366">
        <f t="shared" si="11"/>
        <v>1.6882977780098142E-3</v>
      </c>
      <c r="O52" s="367">
        <f t="shared" si="12"/>
        <v>1.0000001177403908</v>
      </c>
      <c r="P52" s="368">
        <f t="shared" si="13"/>
        <v>6.3578252422747978E-4</v>
      </c>
      <c r="Q52" s="369">
        <f t="shared" si="14"/>
        <v>43.42421108015224</v>
      </c>
      <c r="R52" s="370">
        <f t="shared" si="15"/>
        <v>-90.096524077414415</v>
      </c>
      <c r="S52" s="392">
        <f t="shared" si="16"/>
        <v>89.903475922585585</v>
      </c>
      <c r="U52" s="345">
        <f t="shared" si="23"/>
        <v>1000000000</v>
      </c>
      <c r="V52" s="345">
        <f t="shared" si="24"/>
        <v>1318.2708640000001</v>
      </c>
      <c r="X52" s="371">
        <f t="shared" si="17"/>
        <v>44.548295349874998</v>
      </c>
      <c r="Y52" s="372">
        <f t="shared" si="18"/>
        <v>-87.112821794006535</v>
      </c>
      <c r="AA52" s="371">
        <f t="shared" si="19"/>
        <v>59.436490202282116</v>
      </c>
      <c r="AB52" s="372">
        <f t="shared" si="20"/>
        <v>-2.9837022834078746</v>
      </c>
      <c r="AD52">
        <f t="shared" si="25"/>
        <v>0</v>
      </c>
      <c r="AE52">
        <f t="shared" si="26"/>
        <v>0</v>
      </c>
    </row>
    <row r="53" spans="1:31" x14ac:dyDescent="0.2">
      <c r="A53" s="373">
        <v>39.811</v>
      </c>
      <c r="B53" s="390">
        <f t="shared" si="22"/>
        <v>3.9810999999999999E-2</v>
      </c>
      <c r="C53" s="363">
        <f t="shared" si="0"/>
        <v>1.0015694777746056</v>
      </c>
      <c r="D53" s="364">
        <f t="shared" si="1"/>
        <v>5.5989781263416014E-2</v>
      </c>
      <c r="E53" s="364">
        <f t="shared" si="2"/>
        <v>1.0000001226496371</v>
      </c>
      <c r="F53" s="365">
        <f t="shared" si="3"/>
        <v>4.9527694166000941E-4</v>
      </c>
      <c r="G53" s="364">
        <f t="shared" si="4"/>
        <v>1.0000004033859902</v>
      </c>
      <c r="H53" s="365">
        <f t="shared" si="5"/>
        <v>-8.982047144418555E-4</v>
      </c>
      <c r="I53" s="363">
        <f t="shared" si="6"/>
        <v>165.14521293477324</v>
      </c>
      <c r="J53" s="366">
        <f t="shared" si="7"/>
        <v>1.564741012847898</v>
      </c>
      <c r="K53" s="374">
        <f t="shared" si="8"/>
        <v>1.0012421327952226</v>
      </c>
      <c r="L53" s="375">
        <f t="shared" si="9"/>
        <v>4.9816631995333399E-2</v>
      </c>
      <c r="M53" s="363">
        <f t="shared" si="10"/>
        <v>1.0000017134446311</v>
      </c>
      <c r="N53" s="366">
        <f t="shared" si="11"/>
        <v>1.8511845853113136E-3</v>
      </c>
      <c r="O53" s="367">
        <f t="shared" si="12"/>
        <v>1.0000001415555788</v>
      </c>
      <c r="P53" s="368">
        <f t="shared" si="13"/>
        <v>6.9712288790737642E-4</v>
      </c>
      <c r="Q53" s="369">
        <f t="shared" si="14"/>
        <v>42.623749585595199</v>
      </c>
      <c r="R53" s="370">
        <f t="shared" si="15"/>
        <v>-90.175844893562683</v>
      </c>
      <c r="S53" s="392">
        <f t="shared" si="16"/>
        <v>89.824155106437317</v>
      </c>
      <c r="U53" s="345">
        <f t="shared" si="23"/>
        <v>1000000000</v>
      </c>
      <c r="V53" s="345">
        <f t="shared" si="24"/>
        <v>1584.9157210000001</v>
      </c>
      <c r="X53" s="371">
        <f t="shared" si="17"/>
        <v>43.750121996570911</v>
      </c>
      <c r="Y53" s="372">
        <f t="shared" si="18"/>
        <v>-86.904838467462554</v>
      </c>
      <c r="AA53" s="371">
        <f t="shared" si="19"/>
        <v>59.434202061029168</v>
      </c>
      <c r="AB53" s="372">
        <f t="shared" si="20"/>
        <v>-3.271006426100131</v>
      </c>
      <c r="AD53">
        <f t="shared" si="25"/>
        <v>0</v>
      </c>
      <c r="AE53">
        <f t="shared" si="26"/>
        <v>0</v>
      </c>
    </row>
    <row r="54" spans="1:31" x14ac:dyDescent="0.2">
      <c r="A54" s="373">
        <v>43.652000000000001</v>
      </c>
      <c r="B54" s="390">
        <f t="shared" si="22"/>
        <v>4.3652000000000003E-2</v>
      </c>
      <c r="C54" s="363">
        <f t="shared" si="0"/>
        <v>1.0018866375713138</v>
      </c>
      <c r="D54" s="364">
        <f t="shared" si="1"/>
        <v>6.137876132730942E-2</v>
      </c>
      <c r="E54" s="364">
        <f t="shared" si="2"/>
        <v>1.0000001474580145</v>
      </c>
      <c r="F54" s="365">
        <f t="shared" si="3"/>
        <v>5.4306168395102316E-4</v>
      </c>
      <c r="G54" s="364">
        <f t="shared" si="4"/>
        <v>1.0000004849789768</v>
      </c>
      <c r="H54" s="365">
        <f t="shared" si="5"/>
        <v>-9.8486423506219996E-4</v>
      </c>
      <c r="I54" s="363">
        <f t="shared" si="6"/>
        <v>181.07800858912239</v>
      </c>
      <c r="J54" s="366">
        <f t="shared" si="7"/>
        <v>1.5652738169615446</v>
      </c>
      <c r="K54" s="374">
        <f t="shared" si="8"/>
        <v>1.0014931920484873</v>
      </c>
      <c r="L54" s="375">
        <f t="shared" si="9"/>
        <v>5.4613851615487097E-2</v>
      </c>
      <c r="M54" s="363">
        <f t="shared" si="10"/>
        <v>1.0000020600232387</v>
      </c>
      <c r="N54" s="366">
        <f t="shared" si="11"/>
        <v>2.0297880195718674E-3</v>
      </c>
      <c r="O54" s="367">
        <f t="shared" si="12"/>
        <v>1.0000001701880674</v>
      </c>
      <c r="P54" s="368">
        <f t="shared" si="13"/>
        <v>7.6438190274492163E-4</v>
      </c>
      <c r="Q54" s="369">
        <f t="shared" si="14"/>
        <v>41.823180475237784</v>
      </c>
      <c r="R54" s="370">
        <f t="shared" si="15"/>
        <v>-90.256591937985021</v>
      </c>
      <c r="S54" s="392">
        <f t="shared" si="16"/>
        <v>89.743408062014979</v>
      </c>
      <c r="U54" s="345">
        <f t="shared" si="23"/>
        <v>1000000000</v>
      </c>
      <c r="V54" s="345">
        <f t="shared" si="24"/>
        <v>1905.497104</v>
      </c>
      <c r="X54" s="371">
        <f t="shared" si="17"/>
        <v>42.952302273469741</v>
      </c>
      <c r="Y54" s="372">
        <f t="shared" si="18"/>
        <v>-86.670738679571727</v>
      </c>
      <c r="AA54" s="371">
        <f t="shared" si="19"/>
        <v>59.431452673772903</v>
      </c>
      <c r="AB54" s="372">
        <f t="shared" si="20"/>
        <v>-3.585853258413306</v>
      </c>
      <c r="AD54">
        <f t="shared" si="25"/>
        <v>0</v>
      </c>
      <c r="AE54">
        <f t="shared" si="26"/>
        <v>0</v>
      </c>
    </row>
    <row r="55" spans="1:31" x14ac:dyDescent="0.2">
      <c r="A55" s="373">
        <v>47.863</v>
      </c>
      <c r="B55" s="390">
        <f t="shared" si="22"/>
        <v>4.7863000000000003E-2</v>
      </c>
      <c r="C55" s="363">
        <f t="shared" si="0"/>
        <v>1.0022677613237319</v>
      </c>
      <c r="D55" s="364">
        <f t="shared" si="1"/>
        <v>6.7282746419591977E-2</v>
      </c>
      <c r="E55" s="364">
        <f t="shared" si="2"/>
        <v>1.00000017728007</v>
      </c>
      <c r="F55" s="365">
        <f t="shared" si="3"/>
        <v>5.9544948369330509E-4</v>
      </c>
      <c r="G55" s="364">
        <f t="shared" si="4"/>
        <v>1.0000005830615877</v>
      </c>
      <c r="H55" s="365">
        <f t="shared" si="5"/>
        <v>-1.0798715706145932E-3</v>
      </c>
      <c r="I55" s="363">
        <f t="shared" si="6"/>
        <v>198.54564493952461</v>
      </c>
      <c r="J55" s="366">
        <f t="shared" si="7"/>
        <v>1.5657596802933573</v>
      </c>
      <c r="K55" s="374">
        <f t="shared" si="8"/>
        <v>1.0017949061490659</v>
      </c>
      <c r="L55" s="375">
        <f t="shared" si="9"/>
        <v>5.9870285028079014E-2</v>
      </c>
      <c r="M55" s="363">
        <f t="shared" si="10"/>
        <v>1.0000024766439097</v>
      </c>
      <c r="N55" s="366">
        <f t="shared" si="11"/>
        <v>2.225596009282516E-3</v>
      </c>
      <c r="O55" s="367">
        <f t="shared" si="12"/>
        <v>1.0000002046070731</v>
      </c>
      <c r="P55" s="368">
        <f t="shared" si="13"/>
        <v>8.381199136892933E-4</v>
      </c>
      <c r="Q55" s="369">
        <f t="shared" si="14"/>
        <v>41.02259737261268</v>
      </c>
      <c r="R55" s="370">
        <f t="shared" si="15"/>
        <v>-90.33941760242449</v>
      </c>
      <c r="S55" s="392">
        <f t="shared" si="16"/>
        <v>89.66058239757551</v>
      </c>
      <c r="U55" s="345">
        <f t="shared" si="23"/>
        <v>1000000000</v>
      </c>
      <c r="V55" s="345">
        <f t="shared" si="24"/>
        <v>2290.8667689999997</v>
      </c>
      <c r="X55" s="371">
        <f t="shared" si="17"/>
        <v>42.155021895626021</v>
      </c>
      <c r="Y55" s="372">
        <f t="shared" si="18"/>
        <v>-86.408624119177546</v>
      </c>
      <c r="AA55" s="371">
        <f t="shared" si="19"/>
        <v>59.428149948991532</v>
      </c>
      <c r="AB55" s="372">
        <f t="shared" si="20"/>
        <v>-3.9307934832469313</v>
      </c>
      <c r="AD55">
        <f t="shared" si="25"/>
        <v>0</v>
      </c>
      <c r="AE55">
        <f t="shared" si="26"/>
        <v>0</v>
      </c>
    </row>
    <row r="56" spans="1:31" x14ac:dyDescent="0.2">
      <c r="A56" s="373">
        <v>52.481000000000002</v>
      </c>
      <c r="B56" s="390">
        <f t="shared" si="22"/>
        <v>5.2481E-2</v>
      </c>
      <c r="C56" s="363">
        <f t="shared" si="0"/>
        <v>1.0027258525888254</v>
      </c>
      <c r="D56" s="364">
        <f t="shared" si="1"/>
        <v>7.3751949992372598E-2</v>
      </c>
      <c r="E56" s="364">
        <f t="shared" si="2"/>
        <v>1.0000002131396644</v>
      </c>
      <c r="F56" s="365">
        <f t="shared" si="3"/>
        <v>6.5290064573133167E-4</v>
      </c>
      <c r="G56" s="364">
        <f t="shared" si="4"/>
        <v>1.000000701001224</v>
      </c>
      <c r="H56" s="365">
        <f t="shared" si="5"/>
        <v>-1.1840614972202295E-3</v>
      </c>
      <c r="I56" s="363">
        <f t="shared" si="6"/>
        <v>217.70160157619722</v>
      </c>
      <c r="J56" s="366">
        <f t="shared" si="7"/>
        <v>1.5662028671721209</v>
      </c>
      <c r="K56" s="374">
        <f t="shared" si="8"/>
        <v>1.0021575826439684</v>
      </c>
      <c r="L56" s="375">
        <f t="shared" si="9"/>
        <v>6.5630944995769464E-2</v>
      </c>
      <c r="M56" s="363">
        <f t="shared" si="10"/>
        <v>1.0000029776101123</v>
      </c>
      <c r="N56" s="366">
        <f t="shared" si="11"/>
        <v>2.4403289629603159E-3</v>
      </c>
      <c r="O56" s="367">
        <f t="shared" si="12"/>
        <v>1.0000002459942803</v>
      </c>
      <c r="P56" s="368">
        <f t="shared" si="13"/>
        <v>9.1898481941227325E-4</v>
      </c>
      <c r="Q56" s="369">
        <f t="shared" si="14"/>
        <v>40.221743757939585</v>
      </c>
      <c r="R56" s="370">
        <f t="shared" si="15"/>
        <v>-90.425021342109829</v>
      </c>
      <c r="S56" s="392">
        <f t="shared" si="16"/>
        <v>89.574978657890171</v>
      </c>
      <c r="U56" s="345">
        <f t="shared" si="23"/>
        <v>1000000000</v>
      </c>
      <c r="V56" s="345">
        <f t="shared" si="24"/>
        <v>2754.255361</v>
      </c>
      <c r="X56" s="371">
        <f t="shared" si="17"/>
        <v>41.358136324919471</v>
      </c>
      <c r="Y56" s="372">
        <f t="shared" si="18"/>
        <v>-86.116258645141684</v>
      </c>
      <c r="AA56" s="371">
        <f t="shared" si="19"/>
        <v>59.42418190502498</v>
      </c>
      <c r="AB56" s="372">
        <f t="shared" si="20"/>
        <v>-4.3087626969681372</v>
      </c>
      <c r="AD56">
        <f t="shared" si="25"/>
        <v>0</v>
      </c>
      <c r="AE56">
        <f t="shared" si="26"/>
        <v>0</v>
      </c>
    </row>
    <row r="57" spans="1:31" x14ac:dyDescent="0.2">
      <c r="A57" s="373">
        <v>57.544000000000004</v>
      </c>
      <c r="B57" s="390">
        <f t="shared" si="22"/>
        <v>5.7544000000000005E-2</v>
      </c>
      <c r="C57" s="363">
        <f t="shared" si="0"/>
        <v>1.003276264196522</v>
      </c>
      <c r="D57" s="364">
        <f t="shared" si="1"/>
        <v>8.083741968369676E-2</v>
      </c>
      <c r="E57" s="364">
        <f t="shared" si="2"/>
        <v>1.0000002562478083</v>
      </c>
      <c r="F57" s="365">
        <f t="shared" si="3"/>
        <v>7.1588791521186431E-4</v>
      </c>
      <c r="G57" s="364">
        <f t="shared" si="4"/>
        <v>1.0000008427808071</v>
      </c>
      <c r="H57" s="365">
        <f t="shared" si="5"/>
        <v>-1.2982913503150396E-3</v>
      </c>
      <c r="I57" s="363">
        <f t="shared" si="6"/>
        <v>238.70350655648818</v>
      </c>
      <c r="J57" s="366">
        <f t="shared" si="7"/>
        <v>1.5666070170546058</v>
      </c>
      <c r="K57" s="374">
        <f t="shared" si="8"/>
        <v>1.0025933958270257</v>
      </c>
      <c r="L57" s="375">
        <f t="shared" si="9"/>
        <v>7.1941690986249265E-2</v>
      </c>
      <c r="M57" s="363">
        <f t="shared" si="10"/>
        <v>1.0000035798397913</v>
      </c>
      <c r="N57" s="366">
        <f t="shared" si="11"/>
        <v>2.6757537673726176E-3</v>
      </c>
      <c r="O57" s="367">
        <f t="shared" si="12"/>
        <v>1.0000002957473726</v>
      </c>
      <c r="P57" s="368">
        <f t="shared" si="13"/>
        <v>1.007642028975688E-3</v>
      </c>
      <c r="Q57" s="369">
        <f t="shared" si="14"/>
        <v>39.42080614924874</v>
      </c>
      <c r="R57" s="370">
        <f t="shared" si="15"/>
        <v>-90.514070338505164</v>
      </c>
      <c r="S57" s="392">
        <f t="shared" si="16"/>
        <v>89.485929661494836</v>
      </c>
      <c r="U57" s="345">
        <f t="shared" si="23"/>
        <v>1000000000</v>
      </c>
      <c r="V57" s="345">
        <f t="shared" si="24"/>
        <v>3311.3119360000005</v>
      </c>
      <c r="X57" s="371">
        <f t="shared" si="17"/>
        <v>40.561964052490048</v>
      </c>
      <c r="Y57" s="372">
        <f t="shared" si="18"/>
        <v>-85.791324464179411</v>
      </c>
      <c r="AA57" s="371">
        <f t="shared" si="19"/>
        <v>59.419416568763559</v>
      </c>
      <c r="AB57" s="372">
        <f t="shared" si="20"/>
        <v>-4.7227458743257529</v>
      </c>
      <c r="AD57">
        <f t="shared" si="25"/>
        <v>0</v>
      </c>
      <c r="AE57">
        <f t="shared" si="26"/>
        <v>0</v>
      </c>
    </row>
    <row r="58" spans="1:31" x14ac:dyDescent="0.2">
      <c r="A58" s="373">
        <v>63.095999999999997</v>
      </c>
      <c r="B58" s="390">
        <f t="shared" si="22"/>
        <v>6.3095999999999999E-2</v>
      </c>
      <c r="C58" s="363">
        <f t="shared" si="0"/>
        <v>1.003937668154832</v>
      </c>
      <c r="D58" s="364">
        <f t="shared" si="1"/>
        <v>8.8597859992295538E-2</v>
      </c>
      <c r="E58" s="364">
        <f t="shared" si="2"/>
        <v>1.0000003080801445</v>
      </c>
      <c r="F58" s="365">
        <f t="shared" si="3"/>
        <v>7.8495868096370306E-4</v>
      </c>
      <c r="G58" s="364">
        <f t="shared" si="4"/>
        <v>1.0000010132536123</v>
      </c>
      <c r="H58" s="365">
        <f t="shared" si="5"/>
        <v>-1.4235538323672044E-3</v>
      </c>
      <c r="I58" s="363">
        <f t="shared" si="6"/>
        <v>261.73387692903952</v>
      </c>
      <c r="J58" s="366">
        <f t="shared" si="7"/>
        <v>1.5669756428059725</v>
      </c>
      <c r="K58" s="374">
        <f t="shared" si="8"/>
        <v>1.0031171578664884</v>
      </c>
      <c r="L58" s="375">
        <f t="shared" si="9"/>
        <v>7.8855337409540857E-2</v>
      </c>
      <c r="M58" s="363">
        <f t="shared" si="10"/>
        <v>1.0000043039477948</v>
      </c>
      <c r="N58" s="366">
        <f t="shared" si="11"/>
        <v>2.933916276343972E-3</v>
      </c>
      <c r="O58" s="367">
        <f t="shared" si="12"/>
        <v>1.0000003555694581</v>
      </c>
      <c r="P58" s="368">
        <f t="shared" si="13"/>
        <v>1.1048620157293183E-3</v>
      </c>
      <c r="Q58" s="369">
        <f t="shared" si="14"/>
        <v>38.61959063585374</v>
      </c>
      <c r="R58" s="370">
        <f t="shared" si="15"/>
        <v>-90.607290219435882</v>
      </c>
      <c r="S58" s="392">
        <f t="shared" si="16"/>
        <v>89.392709780564118</v>
      </c>
      <c r="U58" s="345">
        <f t="shared" si="23"/>
        <v>1000000000</v>
      </c>
      <c r="V58" s="345">
        <f t="shared" si="24"/>
        <v>3981.1052159999995</v>
      </c>
      <c r="X58" s="371">
        <f t="shared" si="17"/>
        <v>39.766471362660894</v>
      </c>
      <c r="Y58" s="372">
        <f t="shared" si="18"/>
        <v>-85.431114024633203</v>
      </c>
      <c r="AA58" s="371">
        <f t="shared" si="19"/>
        <v>59.413693745197719</v>
      </c>
      <c r="AB58" s="372">
        <f t="shared" si="20"/>
        <v>-5.1761761948026912</v>
      </c>
      <c r="AD58">
        <f t="shared" si="25"/>
        <v>0</v>
      </c>
      <c r="AE58">
        <f t="shared" si="26"/>
        <v>0</v>
      </c>
    </row>
    <row r="59" spans="1:31" x14ac:dyDescent="0.2">
      <c r="A59" s="373">
        <v>69.183000000000007</v>
      </c>
      <c r="B59" s="390">
        <f t="shared" si="22"/>
        <v>6.9183000000000008E-2</v>
      </c>
      <c r="C59" s="363">
        <f t="shared" si="0"/>
        <v>1.0047321890238641</v>
      </c>
      <c r="D59" s="364">
        <f t="shared" si="1"/>
        <v>9.7093797202617155E-2</v>
      </c>
      <c r="E59" s="364">
        <f t="shared" si="2"/>
        <v>1.0000003703896319</v>
      </c>
      <c r="F59" s="365">
        <f t="shared" si="3"/>
        <v>8.606852125216855E-4</v>
      </c>
      <c r="G59" s="364">
        <f t="shared" si="4"/>
        <v>1.0000012181849833</v>
      </c>
      <c r="H59" s="365">
        <f t="shared" si="5"/>
        <v>-1.5608867650796013E-3</v>
      </c>
      <c r="I59" s="363">
        <f t="shared" si="6"/>
        <v>286.98352628089481</v>
      </c>
      <c r="J59" s="366">
        <f t="shared" si="7"/>
        <v>1.5673117991754277</v>
      </c>
      <c r="K59" s="374">
        <f t="shared" si="8"/>
        <v>1.0037464290501701</v>
      </c>
      <c r="L59" s="375">
        <f t="shared" si="9"/>
        <v>8.6426499170141849E-2</v>
      </c>
      <c r="M59" s="363">
        <f t="shared" si="10"/>
        <v>1.0000051744230309</v>
      </c>
      <c r="N59" s="366">
        <f t="shared" si="11"/>
        <v>3.2169553054980549E-3</v>
      </c>
      <c r="O59" s="367">
        <f t="shared" si="12"/>
        <v>1.0000004274837078</v>
      </c>
      <c r="P59" s="368">
        <f t="shared" si="13"/>
        <v>1.2114502739088145E-3</v>
      </c>
      <c r="Q59" s="369">
        <f t="shared" si="14"/>
        <v>37.818219935552456</v>
      </c>
      <c r="R59" s="370">
        <f t="shared" si="15"/>
        <v>-90.705390076965017</v>
      </c>
      <c r="S59" s="392">
        <f t="shared" si="16"/>
        <v>89.294609923034983</v>
      </c>
      <c r="U59" s="345">
        <f t="shared" si="23"/>
        <v>1000000000</v>
      </c>
      <c r="V59" s="345">
        <f t="shared" si="24"/>
        <v>4786.2874890000012</v>
      </c>
      <c r="X59" s="371">
        <f t="shared" si="17"/>
        <v>38.971970299976562</v>
      </c>
      <c r="Y59" s="372">
        <f t="shared" si="18"/>
        <v>-85.032795692319027</v>
      </c>
      <c r="AA59" s="371">
        <f t="shared" si="19"/>
        <v>59.406824107580761</v>
      </c>
      <c r="AB59" s="372">
        <f t="shared" si="20"/>
        <v>-5.6725943846459845</v>
      </c>
      <c r="AD59">
        <f t="shared" si="25"/>
        <v>0</v>
      </c>
      <c r="AE59">
        <f t="shared" si="26"/>
        <v>0</v>
      </c>
    </row>
    <row r="60" spans="1:31" x14ac:dyDescent="0.2">
      <c r="A60" s="373">
        <v>75.858000000000004</v>
      </c>
      <c r="B60" s="390">
        <f t="shared" si="22"/>
        <v>7.5858000000000009E-2</v>
      </c>
      <c r="C60" s="363">
        <f t="shared" si="0"/>
        <v>1.0056866873445889</v>
      </c>
      <c r="D60" s="364">
        <f t="shared" si="1"/>
        <v>0.10639425543901923</v>
      </c>
      <c r="E60" s="364">
        <f t="shared" si="2"/>
        <v>1.0000004453103615</v>
      </c>
      <c r="F60" s="365">
        <f t="shared" si="3"/>
        <v>9.4372686339748901E-4</v>
      </c>
      <c r="G60" s="364">
        <f t="shared" si="4"/>
        <v>1.0000014645937745</v>
      </c>
      <c r="H60" s="365">
        <f t="shared" si="5"/>
        <v>-1.7114858964574764E-3</v>
      </c>
      <c r="I60" s="363">
        <f t="shared" si="6"/>
        <v>314.67230534605892</v>
      </c>
      <c r="J60" s="366">
        <f t="shared" si="7"/>
        <v>1.5676184122908148</v>
      </c>
      <c r="K60" s="374">
        <f t="shared" si="8"/>
        <v>1.0045025408144748</v>
      </c>
      <c r="L60" s="375">
        <f t="shared" si="9"/>
        <v>9.4717595085595116E-2</v>
      </c>
      <c r="M60" s="363">
        <f t="shared" si="10"/>
        <v>1.0000062210787595</v>
      </c>
      <c r="N60" s="366">
        <f t="shared" si="11"/>
        <v>3.5273351153760004E-3</v>
      </c>
      <c r="O60" s="367">
        <f t="shared" si="12"/>
        <v>1.0000005139531758</v>
      </c>
      <c r="P60" s="368">
        <f t="shared" si="13"/>
        <v>1.3283348724200241E-3</v>
      </c>
      <c r="Q60" s="369">
        <f t="shared" si="14"/>
        <v>37.016474625475567</v>
      </c>
      <c r="R60" s="370">
        <f t="shared" si="15"/>
        <v>-90.809141121372633</v>
      </c>
      <c r="S60" s="392">
        <f t="shared" si="16"/>
        <v>89.190858878627367</v>
      </c>
      <c r="U60" s="345">
        <f t="shared" si="23"/>
        <v>1000000000</v>
      </c>
      <c r="V60" s="345">
        <f t="shared" si="24"/>
        <v>5754.4361640000006</v>
      </c>
      <c r="X60" s="371">
        <f t="shared" si="17"/>
        <v>38.178470651737726</v>
      </c>
      <c r="Y60" s="372">
        <f t="shared" si="18"/>
        <v>-84.593101978930065</v>
      </c>
      <c r="AA60" s="371">
        <f t="shared" si="19"/>
        <v>59.398578445742714</v>
      </c>
      <c r="AB60" s="372">
        <f t="shared" si="20"/>
        <v>-6.2160391424425638</v>
      </c>
      <c r="AD60">
        <f t="shared" si="25"/>
        <v>0</v>
      </c>
      <c r="AE60">
        <f t="shared" si="26"/>
        <v>0</v>
      </c>
    </row>
    <row r="61" spans="1:31" x14ac:dyDescent="0.2">
      <c r="A61" s="373">
        <v>83.176000000000002</v>
      </c>
      <c r="B61" s="390">
        <f t="shared" si="22"/>
        <v>8.3176E-2</v>
      </c>
      <c r="C61" s="363">
        <f t="shared" si="0"/>
        <v>1.006832891398167</v>
      </c>
      <c r="D61" s="364">
        <f t="shared" si="1"/>
        <v>0.11656937770457337</v>
      </c>
      <c r="E61" s="364">
        <f t="shared" si="2"/>
        <v>1.0000005353725085</v>
      </c>
      <c r="F61" s="365">
        <f t="shared" si="3"/>
        <v>1.0347678672911714E-3</v>
      </c>
      <c r="G61" s="364">
        <f t="shared" si="4"/>
        <v>1.000001760801521</v>
      </c>
      <c r="H61" s="365">
        <f t="shared" si="5"/>
        <v>-1.876592090653184E-3</v>
      </c>
      <c r="I61" s="363">
        <f t="shared" si="6"/>
        <v>345.02836136687574</v>
      </c>
      <c r="J61" s="366">
        <f t="shared" si="7"/>
        <v>1.5678980102736706</v>
      </c>
      <c r="K61" s="374">
        <f t="shared" si="8"/>
        <v>1.0054107095920302</v>
      </c>
      <c r="L61" s="375">
        <f t="shared" si="9"/>
        <v>0.10379234291630281</v>
      </c>
      <c r="M61" s="363">
        <f t="shared" si="10"/>
        <v>1.0000074792613929</v>
      </c>
      <c r="N61" s="366">
        <f t="shared" si="11"/>
        <v>3.867612901289679E-3</v>
      </c>
      <c r="O61" s="367">
        <f t="shared" si="12"/>
        <v>1.0000006178980554</v>
      </c>
      <c r="P61" s="368">
        <f t="shared" si="13"/>
        <v>1.4564789005150213E-3</v>
      </c>
      <c r="Q61" s="369">
        <f t="shared" si="14"/>
        <v>36.214496153355348</v>
      </c>
      <c r="R61" s="370">
        <f t="shared" si="15"/>
        <v>-90.919289932665009</v>
      </c>
      <c r="S61" s="392">
        <f t="shared" si="16"/>
        <v>89.080710067334991</v>
      </c>
      <c r="U61" s="345">
        <f t="shared" si="23"/>
        <v>1000000000</v>
      </c>
      <c r="V61" s="345">
        <f t="shared" si="24"/>
        <v>6918.2469760000004</v>
      </c>
      <c r="X61" s="371">
        <f t="shared" si="17"/>
        <v>37.386383596827336</v>
      </c>
      <c r="Y61" s="372">
        <f t="shared" si="18"/>
        <v>-84.108673492904416</v>
      </c>
      <c r="AA61" s="371">
        <f t="shared" si="19"/>
        <v>59.388687028532885</v>
      </c>
      <c r="AB61" s="372">
        <f t="shared" si="20"/>
        <v>-6.8106164397606008</v>
      </c>
      <c r="AD61">
        <f t="shared" si="25"/>
        <v>0</v>
      </c>
      <c r="AE61">
        <f t="shared" si="26"/>
        <v>0</v>
      </c>
    </row>
    <row r="62" spans="1:31" x14ac:dyDescent="0.2">
      <c r="A62" s="373">
        <v>91.201000000000008</v>
      </c>
      <c r="B62" s="390">
        <f t="shared" si="22"/>
        <v>9.1201000000000004E-2</v>
      </c>
      <c r="C62" s="363">
        <f t="shared" si="0"/>
        <v>1.0082093709056674</v>
      </c>
      <c r="D62" s="364">
        <f t="shared" si="1"/>
        <v>0.12769964814664558</v>
      </c>
      <c r="E62" s="364">
        <f t="shared" si="2"/>
        <v>1.0000006436639433</v>
      </c>
      <c r="F62" s="365">
        <f t="shared" si="3"/>
        <v>1.1346044225704003E-3</v>
      </c>
      <c r="G62" s="364">
        <f t="shared" si="4"/>
        <v>1.0000021169639675</v>
      </c>
      <c r="H62" s="365">
        <f t="shared" si="5"/>
        <v>-2.0576492572651119E-3</v>
      </c>
      <c r="I62" s="363">
        <f t="shared" si="6"/>
        <v>378.31717501877296</v>
      </c>
      <c r="J62" s="366">
        <f t="shared" si="7"/>
        <v>1.568153039018056</v>
      </c>
      <c r="K62" s="374">
        <f t="shared" si="8"/>
        <v>1.0065016139701721</v>
      </c>
      <c r="L62" s="375">
        <f t="shared" si="9"/>
        <v>0.11372407383294536</v>
      </c>
      <c r="M62" s="363">
        <f t="shared" si="10"/>
        <v>1.0000089921081545</v>
      </c>
      <c r="N62" s="366">
        <f t="shared" si="11"/>
        <v>4.2407642644720061E-3</v>
      </c>
      <c r="O62" s="367">
        <f t="shared" si="12"/>
        <v>1.0000007428822022</v>
      </c>
      <c r="P62" s="368">
        <f t="shared" si="13"/>
        <v>1.597003042986031E-3</v>
      </c>
      <c r="Q62" s="369">
        <f t="shared" si="14"/>
        <v>35.412013385324158</v>
      </c>
      <c r="R62" s="370">
        <f t="shared" si="15"/>
        <v>-91.036658296645669</v>
      </c>
      <c r="S62" s="392">
        <f t="shared" si="16"/>
        <v>88.963341703354331</v>
      </c>
      <c r="U62" s="345">
        <f t="shared" si="23"/>
        <v>1000000000</v>
      </c>
      <c r="V62" s="345">
        <f t="shared" si="24"/>
        <v>8317.6224010000005</v>
      </c>
      <c r="X62" s="371">
        <f t="shared" si="17"/>
        <v>36.595764580149549</v>
      </c>
      <c r="Y62" s="372">
        <f t="shared" si="18"/>
        <v>-83.575619296449787</v>
      </c>
      <c r="AA62" s="371">
        <f t="shared" si="19"/>
        <v>59.376823277179469</v>
      </c>
      <c r="AB62" s="372">
        <f t="shared" si="20"/>
        <v>-7.4610390001958846</v>
      </c>
      <c r="AD62">
        <f t="shared" si="25"/>
        <v>0</v>
      </c>
      <c r="AE62">
        <f t="shared" si="26"/>
        <v>0</v>
      </c>
    </row>
    <row r="63" spans="1:31" x14ac:dyDescent="0.2">
      <c r="A63" s="373">
        <v>100</v>
      </c>
      <c r="B63" s="390">
        <f t="shared" si="22"/>
        <v>0.1</v>
      </c>
      <c r="C63" s="363">
        <f t="shared" si="0"/>
        <v>1.0098617385355024</v>
      </c>
      <c r="D63" s="364">
        <f t="shared" si="1"/>
        <v>0.13986686417085067</v>
      </c>
      <c r="E63" s="364">
        <f t="shared" si="2"/>
        <v>1.0000007738556407</v>
      </c>
      <c r="F63" s="365">
        <f t="shared" si="3"/>
        <v>1.2440700475796007E-3</v>
      </c>
      <c r="G63" s="364">
        <f t="shared" si="4"/>
        <v>1.0000025451546275</v>
      </c>
      <c r="H63" s="365">
        <f t="shared" si="5"/>
        <v>-2.2561689782883273E-3</v>
      </c>
      <c r="I63" s="363">
        <f t="shared" si="6"/>
        <v>414.8166716028984</v>
      </c>
      <c r="J63" s="366">
        <f t="shared" si="7"/>
        <v>1.5683856209649687</v>
      </c>
      <c r="K63" s="374">
        <f t="shared" si="8"/>
        <v>1.0078115737865976</v>
      </c>
      <c r="L63" s="375">
        <f t="shared" si="9"/>
        <v>0.12458779948412006</v>
      </c>
      <c r="M63" s="363">
        <f t="shared" si="10"/>
        <v>1.0000108109018946</v>
      </c>
      <c r="N63" s="366">
        <f t="shared" si="11"/>
        <v>4.6499041923467157E-3</v>
      </c>
      <c r="O63" s="367">
        <f t="shared" si="12"/>
        <v>1.0000008931424622</v>
      </c>
      <c r="P63" s="368">
        <f t="shared" si="13"/>
        <v>1.7510805148258169E-3</v>
      </c>
      <c r="Q63" s="369">
        <f t="shared" si="14"/>
        <v>34.609071794824082</v>
      </c>
      <c r="R63" s="370">
        <f t="shared" si="15"/>
        <v>-91.162041161550491</v>
      </c>
      <c r="S63" s="392">
        <f t="shared" si="16"/>
        <v>88.837958838449509</v>
      </c>
      <c r="U63" s="345">
        <f t="shared" si="23"/>
        <v>1000000000</v>
      </c>
      <c r="V63" s="345">
        <f t="shared" si="24"/>
        <v>10000</v>
      </c>
      <c r="X63" s="371">
        <f t="shared" si="17"/>
        <v>35.807043211215756</v>
      </c>
      <c r="Y63" s="372">
        <f t="shared" si="18"/>
        <v>-82.989941621226777</v>
      </c>
      <c r="AA63" s="371">
        <f t="shared" si="19"/>
        <v>59.362603055613192</v>
      </c>
      <c r="AB63" s="372">
        <f t="shared" si="20"/>
        <v>-8.1720995403237069</v>
      </c>
      <c r="AD63">
        <f t="shared" si="25"/>
        <v>0</v>
      </c>
      <c r="AE63">
        <f t="shared" si="26"/>
        <v>0</v>
      </c>
    </row>
    <row r="64" spans="1:31" x14ac:dyDescent="0.2">
      <c r="A64" s="373">
        <v>109.65</v>
      </c>
      <c r="B64" s="390">
        <f t="shared" si="22"/>
        <v>0.10965000000000001</v>
      </c>
      <c r="C64" s="363">
        <f t="shared" si="0"/>
        <v>1.0118451994424318</v>
      </c>
      <c r="D64" s="364">
        <f t="shared" si="1"/>
        <v>0.15316295426668611</v>
      </c>
      <c r="E64" s="364">
        <f t="shared" si="2"/>
        <v>1.0000009304160438</v>
      </c>
      <c r="F64" s="365">
        <f t="shared" si="3"/>
        <v>1.3641226647927178E-3</v>
      </c>
      <c r="G64" s="364">
        <f t="shared" si="4"/>
        <v>1.0000030600697989</v>
      </c>
      <c r="H64" s="365">
        <f t="shared" si="5"/>
        <v>-2.4738884354662924E-3</v>
      </c>
      <c r="I64" s="363">
        <f t="shared" si="6"/>
        <v>454.84625801633206</v>
      </c>
      <c r="J64" s="366">
        <f t="shared" si="7"/>
        <v>1.5685977799497208</v>
      </c>
      <c r="K64" s="374">
        <f t="shared" si="8"/>
        <v>1.0093845984697396</v>
      </c>
      <c r="L64" s="375">
        <f t="shared" si="9"/>
        <v>0.13646823224745752</v>
      </c>
      <c r="M64" s="363">
        <f t="shared" si="10"/>
        <v>1.000012998065567</v>
      </c>
      <c r="N64" s="366">
        <f t="shared" si="11"/>
        <v>5.0986125126342768E-3</v>
      </c>
      <c r="O64" s="367">
        <f t="shared" si="12"/>
        <v>1.0000010738360763</v>
      </c>
      <c r="P64" s="368">
        <f t="shared" si="13"/>
        <v>1.9200596360812716E-3</v>
      </c>
      <c r="Q64" s="369">
        <f t="shared" si="14"/>
        <v>33.805392082706788</v>
      </c>
      <c r="R64" s="370">
        <f t="shared" si="15"/>
        <v>-91.296294947691862</v>
      </c>
      <c r="S64" s="392">
        <f t="shared" si="16"/>
        <v>88.703705052308138</v>
      </c>
      <c r="U64" s="345">
        <f t="shared" si="23"/>
        <v>1000000000</v>
      </c>
      <c r="V64" s="345">
        <f t="shared" si="24"/>
        <v>12023.122500000001</v>
      </c>
      <c r="X64" s="371">
        <f t="shared" si="17"/>
        <v>35.020402386990931</v>
      </c>
      <c r="Y64" s="372">
        <f t="shared" si="18"/>
        <v>-82.347107871761011</v>
      </c>
      <c r="AA64" s="371">
        <f t="shared" si="19"/>
        <v>59.345564167720724</v>
      </c>
      <c r="AB64" s="372">
        <f t="shared" si="20"/>
        <v>-8.9491870759308547</v>
      </c>
      <c r="AD64">
        <f t="shared" si="25"/>
        <v>0</v>
      </c>
      <c r="AE64">
        <f t="shared" si="26"/>
        <v>0</v>
      </c>
    </row>
    <row r="65" spans="1:31" x14ac:dyDescent="0.2">
      <c r="A65" s="373">
        <v>120.23</v>
      </c>
      <c r="B65" s="390">
        <f t="shared" si="22"/>
        <v>0.12023</v>
      </c>
      <c r="C65" s="363">
        <f t="shared" si="0"/>
        <v>1.0142245155122207</v>
      </c>
      <c r="D65" s="364">
        <f t="shared" si="1"/>
        <v>0.16767780490322182</v>
      </c>
      <c r="E65" s="364">
        <f t="shared" si="2"/>
        <v>1.0000011186277067</v>
      </c>
      <c r="F65" s="365">
        <f t="shared" si="3"/>
        <v>1.4957450744110734E-3</v>
      </c>
      <c r="G65" s="364">
        <f t="shared" si="4"/>
        <v>1.0000036790832949</v>
      </c>
      <c r="H65" s="365">
        <f t="shared" si="5"/>
        <v>-2.7125899120109846E-3</v>
      </c>
      <c r="I65" s="363">
        <f t="shared" si="6"/>
        <v>498.73363761181656</v>
      </c>
      <c r="J65" s="366">
        <f t="shared" si="7"/>
        <v>1.5687912471398602</v>
      </c>
      <c r="K65" s="374">
        <f t="shared" si="8"/>
        <v>1.011272397462657</v>
      </c>
      <c r="L65" s="375">
        <f t="shared" si="9"/>
        <v>0.14944910173792358</v>
      </c>
      <c r="M65" s="363">
        <f t="shared" si="10"/>
        <v>1.0000156273944618</v>
      </c>
      <c r="N65" s="366">
        <f t="shared" si="11"/>
        <v>5.5905618593372272E-3</v>
      </c>
      <c r="O65" s="367">
        <f t="shared" si="12"/>
        <v>1.0000012910598919</v>
      </c>
      <c r="P65" s="368">
        <f t="shared" si="13"/>
        <v>2.1053237445799889E-3</v>
      </c>
      <c r="Q65" s="369">
        <f t="shared" si="14"/>
        <v>33.001122703098929</v>
      </c>
      <c r="R65" s="370">
        <f t="shared" si="15"/>
        <v>-91.440207098269596</v>
      </c>
      <c r="S65" s="392">
        <f t="shared" si="16"/>
        <v>88.559792901730404</v>
      </c>
      <c r="U65" s="345">
        <f t="shared" si="23"/>
        <v>1000000000</v>
      </c>
      <c r="V65" s="345">
        <f t="shared" si="24"/>
        <v>14455.252900000001</v>
      </c>
      <c r="X65" s="371">
        <f t="shared" si="17"/>
        <v>34.236528450516957</v>
      </c>
      <c r="Y65" s="372">
        <f t="shared" si="18"/>
        <v>-81.642630309511731</v>
      </c>
      <c r="AA65" s="371">
        <f t="shared" si="19"/>
        <v>59.325168724586845</v>
      </c>
      <c r="AB65" s="372">
        <f t="shared" si="20"/>
        <v>-9.7975767887578638</v>
      </c>
      <c r="AD65">
        <f t="shared" si="25"/>
        <v>0</v>
      </c>
      <c r="AE65">
        <f t="shared" si="26"/>
        <v>0</v>
      </c>
    </row>
    <row r="66" spans="1:31" x14ac:dyDescent="0.2">
      <c r="A66" s="373">
        <v>131.83000000000001</v>
      </c>
      <c r="B66" s="390">
        <f t="shared" si="22"/>
        <v>0.13183</v>
      </c>
      <c r="C66" s="363">
        <f t="shared" si="0"/>
        <v>1.0170775503679652</v>
      </c>
      <c r="D66" s="364">
        <f t="shared" si="1"/>
        <v>0.1835102428351218</v>
      </c>
      <c r="E66" s="364">
        <f t="shared" si="2"/>
        <v>1.0000013448948568</v>
      </c>
      <c r="F66" s="365">
        <f t="shared" si="3"/>
        <v>1.6400569193666759E-3</v>
      </c>
      <c r="G66" s="364">
        <f t="shared" si="4"/>
        <v>1.0000044232579708</v>
      </c>
      <c r="H66" s="365">
        <f t="shared" si="5"/>
        <v>-2.9743038400513624E-3</v>
      </c>
      <c r="I66" s="363">
        <f t="shared" si="6"/>
        <v>546.85214348127624</v>
      </c>
      <c r="J66" s="366">
        <f t="shared" si="7"/>
        <v>1.5689676779192421</v>
      </c>
      <c r="K66" s="374">
        <f t="shared" si="8"/>
        <v>1.0135372462584804</v>
      </c>
      <c r="L66" s="375">
        <f t="shared" si="9"/>
        <v>0.16362319908547204</v>
      </c>
      <c r="M66" s="363">
        <f t="shared" si="10"/>
        <v>1.0000187883524354</v>
      </c>
      <c r="N66" s="366">
        <f t="shared" si="11"/>
        <v>6.12993609619645E-3</v>
      </c>
      <c r="O66" s="367">
        <f t="shared" si="12"/>
        <v>1.0000015522053352</v>
      </c>
      <c r="P66" s="368">
        <f t="shared" si="13"/>
        <v>2.3084487918203687E-3</v>
      </c>
      <c r="Q66" s="369">
        <f t="shared" si="14"/>
        <v>32.196108153062319</v>
      </c>
      <c r="R66" s="370">
        <f t="shared" si="15"/>
        <v>-91.594600473096591</v>
      </c>
      <c r="S66" s="392">
        <f t="shared" si="16"/>
        <v>88.405399526903409</v>
      </c>
      <c r="U66" s="345">
        <f t="shared" si="23"/>
        <v>1000000000</v>
      </c>
      <c r="V66" s="345">
        <f t="shared" si="24"/>
        <v>17379.148900000004</v>
      </c>
      <c r="X66" s="371">
        <f t="shared" si="17"/>
        <v>33.455907027759466</v>
      </c>
      <c r="Y66" s="372">
        <f t="shared" si="18"/>
        <v>-80.871526958593421</v>
      </c>
      <c r="AA66" s="371">
        <f t="shared" si="19"/>
        <v>59.300775597307727</v>
      </c>
      <c r="AB66" s="372">
        <f t="shared" si="20"/>
        <v>-10.72307351450317</v>
      </c>
      <c r="AD66">
        <f t="shared" si="25"/>
        <v>0</v>
      </c>
      <c r="AE66">
        <f t="shared" si="26"/>
        <v>0</v>
      </c>
    </row>
    <row r="67" spans="1:31" x14ac:dyDescent="0.2">
      <c r="A67" s="373">
        <v>144.54</v>
      </c>
      <c r="B67" s="390">
        <f t="shared" si="22"/>
        <v>0.14454</v>
      </c>
      <c r="C67" s="363">
        <f t="shared" si="0"/>
        <v>1.0204945358475825</v>
      </c>
      <c r="D67" s="364">
        <f t="shared" si="1"/>
        <v>0.20075123076453105</v>
      </c>
      <c r="E67" s="364">
        <f t="shared" si="2"/>
        <v>1.0000016167239438</v>
      </c>
      <c r="F67" s="365">
        <f t="shared" si="3"/>
        <v>1.798177836354089E-3</v>
      </c>
      <c r="G67" s="364">
        <f t="shared" si="4"/>
        <v>1.0000053172817269</v>
      </c>
      <c r="H67" s="365">
        <f t="shared" si="5"/>
        <v>-3.2610606145134194E-3</v>
      </c>
      <c r="I67" s="363">
        <f t="shared" si="6"/>
        <v>599.57510884134035</v>
      </c>
      <c r="J67" s="366">
        <f t="shared" si="7"/>
        <v>1.5691284782653732</v>
      </c>
      <c r="K67" s="374">
        <f t="shared" si="8"/>
        <v>1.0162514791307022</v>
      </c>
      <c r="L67" s="375">
        <f t="shared" si="9"/>
        <v>0.17907761802577171</v>
      </c>
      <c r="M67" s="363">
        <f t="shared" si="10"/>
        <v>1.0000225857995886</v>
      </c>
      <c r="N67" s="366">
        <f t="shared" si="11"/>
        <v>6.7209187613030347E-3</v>
      </c>
      <c r="O67" s="367">
        <f t="shared" si="12"/>
        <v>1.0000018659359637</v>
      </c>
      <c r="P67" s="368">
        <f t="shared" si="13"/>
        <v>2.5310107227984554E-3</v>
      </c>
      <c r="Q67" s="369">
        <f t="shared" si="14"/>
        <v>31.390706292654563</v>
      </c>
      <c r="R67" s="370">
        <f t="shared" si="15"/>
        <v>-91.760159480876922</v>
      </c>
      <c r="S67" s="392">
        <f t="shared" si="16"/>
        <v>88.239840519123078</v>
      </c>
      <c r="U67" s="345">
        <f t="shared" si="23"/>
        <v>1000000000</v>
      </c>
      <c r="V67" s="345">
        <f t="shared" si="24"/>
        <v>20891.811599999997</v>
      </c>
      <c r="X67" s="371">
        <f t="shared" si="17"/>
        <v>32.679630071788907</v>
      </c>
      <c r="Y67" s="372">
        <f t="shared" si="18"/>
        <v>-80.02912797117817</v>
      </c>
      <c r="AA67" s="371">
        <f t="shared" si="19"/>
        <v>59.27165069287053</v>
      </c>
      <c r="AB67" s="372">
        <f t="shared" si="20"/>
        <v>-11.731031509698747</v>
      </c>
      <c r="AD67">
        <f t="shared" si="25"/>
        <v>0</v>
      </c>
      <c r="AE67">
        <f t="shared" si="26"/>
        <v>0</v>
      </c>
    </row>
    <row r="68" spans="1:31" x14ac:dyDescent="0.2">
      <c r="A68" s="373">
        <v>158.49</v>
      </c>
      <c r="B68" s="390">
        <f t="shared" si="22"/>
        <v>0.15849000000000002</v>
      </c>
      <c r="C68" s="363">
        <f t="shared" si="0"/>
        <v>1.0245915541606438</v>
      </c>
      <c r="D68" s="364">
        <f t="shared" si="1"/>
        <v>0.21953566531305013</v>
      </c>
      <c r="E68" s="364">
        <f t="shared" si="2"/>
        <v>1.0000019438530452</v>
      </c>
      <c r="F68" s="365">
        <f t="shared" si="3"/>
        <v>1.9717250804676912E-3</v>
      </c>
      <c r="G68" s="364">
        <f t="shared" si="4"/>
        <v>1.0000063931819949</v>
      </c>
      <c r="H68" s="365">
        <f t="shared" si="5"/>
        <v>-3.5757930405411484E-3</v>
      </c>
      <c r="I68" s="363">
        <f t="shared" si="6"/>
        <v>657.44179298271467</v>
      </c>
      <c r="J68" s="366">
        <f t="shared" si="7"/>
        <v>1.569275279005919</v>
      </c>
      <c r="K68" s="374">
        <f t="shared" si="8"/>
        <v>1.0195083069195694</v>
      </c>
      <c r="L68" s="375">
        <f t="shared" si="9"/>
        <v>0.19594056899704351</v>
      </c>
      <c r="M68" s="363">
        <f t="shared" si="10"/>
        <v>1.0000271557691365</v>
      </c>
      <c r="N68" s="366">
        <f t="shared" si="11"/>
        <v>7.369552852222027E-3</v>
      </c>
      <c r="O68" s="367">
        <f t="shared" si="12"/>
        <v>1.0000022434909681</v>
      </c>
      <c r="P68" s="368">
        <f t="shared" si="13"/>
        <v>2.7752859046884615E-3</v>
      </c>
      <c r="Q68" s="369">
        <f t="shared" si="14"/>
        <v>30.583391040919391</v>
      </c>
      <c r="R68" s="370">
        <f t="shared" si="15"/>
        <v>-91.937912691196189</v>
      </c>
      <c r="S68" s="392">
        <f t="shared" si="16"/>
        <v>88.062087308803811</v>
      </c>
      <c r="U68" s="345">
        <f t="shared" si="23"/>
        <v>1000000000</v>
      </c>
      <c r="V68" s="345">
        <f t="shared" si="24"/>
        <v>25119.080100000003</v>
      </c>
      <c r="X68" s="371">
        <f t="shared" si="17"/>
        <v>31.907107671852248</v>
      </c>
      <c r="Y68" s="372">
        <f t="shared" si="18"/>
        <v>-79.108527108056961</v>
      </c>
      <c r="AA68" s="371">
        <f t="shared" si="19"/>
        <v>59.236857841072009</v>
      </c>
      <c r="AB68" s="372">
        <f t="shared" si="20"/>
        <v>-12.829385583139228</v>
      </c>
      <c r="AD68">
        <f t="shared" si="25"/>
        <v>0</v>
      </c>
      <c r="AE68">
        <f t="shared" si="26"/>
        <v>0</v>
      </c>
    </row>
    <row r="69" spans="1:31" x14ac:dyDescent="0.2">
      <c r="A69" s="373">
        <v>173.78</v>
      </c>
      <c r="B69" s="390">
        <f t="shared" si="22"/>
        <v>0.17377999999999999</v>
      </c>
      <c r="C69" s="363">
        <f t="shared" si="0"/>
        <v>1.029493853048383</v>
      </c>
      <c r="D69" s="364">
        <f t="shared" si="1"/>
        <v>0.23994472233409683</v>
      </c>
      <c r="E69" s="364">
        <f t="shared" si="2"/>
        <v>1.0000023370026179</v>
      </c>
      <c r="F69" s="365">
        <f t="shared" si="3"/>
        <v>2.1619426757291207E-3</v>
      </c>
      <c r="G69" s="364">
        <f t="shared" si="4"/>
        <v>1.0000076862170071</v>
      </c>
      <c r="H69" s="365">
        <f t="shared" si="5"/>
        <v>-3.920757012592588E-3</v>
      </c>
      <c r="I69" s="363">
        <f t="shared" si="6"/>
        <v>720.86701085775326</v>
      </c>
      <c r="J69" s="366">
        <f t="shared" si="7"/>
        <v>1.5694091079241932</v>
      </c>
      <c r="K69" s="374">
        <f t="shared" si="8"/>
        <v>1.0234087090394395</v>
      </c>
      <c r="L69" s="375">
        <f t="shared" si="9"/>
        <v>0.21429423133060171</v>
      </c>
      <c r="M69" s="363">
        <f t="shared" si="10"/>
        <v>1.0000326480141681</v>
      </c>
      <c r="N69" s="366">
        <f t="shared" si="11"/>
        <v>8.0804858701602426E-3</v>
      </c>
      <c r="O69" s="367">
        <f t="shared" si="12"/>
        <v>1.0000026972433591</v>
      </c>
      <c r="P69" s="368">
        <f t="shared" si="13"/>
        <v>3.0430253700244811E-3</v>
      </c>
      <c r="Q69" s="369">
        <f t="shared" si="14"/>
        <v>29.775104251429966</v>
      </c>
      <c r="R69" s="370">
        <f t="shared" si="15"/>
        <v>-92.128286081536558</v>
      </c>
      <c r="S69" s="392">
        <f t="shared" si="16"/>
        <v>87.871713918463442</v>
      </c>
      <c r="U69" s="345">
        <f t="shared" si="23"/>
        <v>1000000000</v>
      </c>
      <c r="V69" s="345">
        <f t="shared" si="24"/>
        <v>30199.488400000002</v>
      </c>
      <c r="X69" s="371">
        <f t="shared" si="17"/>
        <v>31.140269902574708</v>
      </c>
      <c r="Y69" s="372">
        <f t="shared" si="18"/>
        <v>-78.105341010227804</v>
      </c>
      <c r="AA69" s="371">
        <f t="shared" si="19"/>
        <v>59.195408820860123</v>
      </c>
      <c r="AB69" s="372">
        <f t="shared" si="20"/>
        <v>-14.022945071308738</v>
      </c>
      <c r="AD69">
        <f t="shared" si="25"/>
        <v>0</v>
      </c>
      <c r="AE69">
        <f t="shared" si="26"/>
        <v>0</v>
      </c>
    </row>
    <row r="70" spans="1:31" x14ac:dyDescent="0.2">
      <c r="A70" s="373">
        <v>190.55</v>
      </c>
      <c r="B70" s="390">
        <f t="shared" si="22"/>
        <v>0.19055000000000002</v>
      </c>
      <c r="C70" s="363">
        <f t="shared" si="0"/>
        <v>1.0353587260521462</v>
      </c>
      <c r="D70" s="364">
        <f t="shared" si="1"/>
        <v>0.26209676654498459</v>
      </c>
      <c r="E70" s="364">
        <f t="shared" si="2"/>
        <v>1.0000028098129945</v>
      </c>
      <c r="F70" s="365">
        <f t="shared" si="3"/>
        <v>2.370572258075626E-3</v>
      </c>
      <c r="G70" s="364">
        <f t="shared" si="4"/>
        <v>1.0000092412479877</v>
      </c>
      <c r="H70" s="365">
        <f t="shared" si="5"/>
        <v>-4.2991107966703383E-3</v>
      </c>
      <c r="I70" s="363">
        <f t="shared" si="6"/>
        <v>790.43150350436474</v>
      </c>
      <c r="J70" s="366">
        <f t="shared" si="7"/>
        <v>1.5695311946963828</v>
      </c>
      <c r="K70" s="374">
        <f t="shared" si="8"/>
        <v>1.02807982227785</v>
      </c>
      <c r="L70" s="375">
        <f t="shared" si="9"/>
        <v>0.23425681319520203</v>
      </c>
      <c r="M70" s="363">
        <f t="shared" si="10"/>
        <v>1.0000392530725</v>
      </c>
      <c r="N70" s="366">
        <f t="shared" si="11"/>
        <v>8.8602244373311521E-3</v>
      </c>
      <c r="O70" s="367">
        <f t="shared" si="12"/>
        <v>1.0000032429361301</v>
      </c>
      <c r="P70" s="368">
        <f t="shared" si="13"/>
        <v>3.3366805667591737E-3</v>
      </c>
      <c r="Q70" s="369">
        <f t="shared" si="14"/>
        <v>28.965090694824632</v>
      </c>
      <c r="R70" s="370">
        <f t="shared" si="15"/>
        <v>-92.331953503263094</v>
      </c>
      <c r="S70" s="392">
        <f t="shared" si="16"/>
        <v>87.668046496736906</v>
      </c>
      <c r="U70" s="345">
        <f t="shared" si="23"/>
        <v>1000000000</v>
      </c>
      <c r="V70" s="345">
        <f t="shared" si="24"/>
        <v>36309.302500000005</v>
      </c>
      <c r="X70" s="371">
        <f t="shared" si="17"/>
        <v>30.379585277288889</v>
      </c>
      <c r="Y70" s="372">
        <f t="shared" si="18"/>
        <v>-77.01324010575722</v>
      </c>
      <c r="AA70" s="371">
        <f t="shared" si="19"/>
        <v>59.146079889540609</v>
      </c>
      <c r="AB70" s="372">
        <f t="shared" si="20"/>
        <v>-15.318713397505855</v>
      </c>
      <c r="AD70">
        <f t="shared" si="25"/>
        <v>0</v>
      </c>
      <c r="AE70">
        <f t="shared" si="26"/>
        <v>0</v>
      </c>
    </row>
    <row r="71" spans="1:31" x14ac:dyDescent="0.2">
      <c r="A71" s="373">
        <v>208.93</v>
      </c>
      <c r="B71" s="390">
        <f t="shared" si="22"/>
        <v>0.20893</v>
      </c>
      <c r="C71" s="363">
        <f t="shared" si="0"/>
        <v>1.0423631560789099</v>
      </c>
      <c r="D71" s="364">
        <f t="shared" si="1"/>
        <v>0.28607609747865748</v>
      </c>
      <c r="E71" s="364">
        <f t="shared" si="2"/>
        <v>1.0000033780105033</v>
      </c>
      <c r="F71" s="365">
        <f t="shared" si="3"/>
        <v>2.5992310378775817E-3</v>
      </c>
      <c r="G71" s="364">
        <f t="shared" si="4"/>
        <v>1.0000111099964752</v>
      </c>
      <c r="H71" s="365">
        <f t="shared" si="5"/>
        <v>-4.7137869311693432E-3</v>
      </c>
      <c r="I71" s="363">
        <f t="shared" si="6"/>
        <v>866.6745305529048</v>
      </c>
      <c r="J71" s="366">
        <f t="shared" si="7"/>
        <v>1.5696424908546023</v>
      </c>
      <c r="K71" s="374">
        <f t="shared" si="8"/>
        <v>1.0336653864658734</v>
      </c>
      <c r="L71" s="375">
        <f t="shared" si="9"/>
        <v>0.25591905555387517</v>
      </c>
      <c r="M71" s="363">
        <f t="shared" si="10"/>
        <v>1.0000471906147776</v>
      </c>
      <c r="N71" s="366">
        <f t="shared" si="11"/>
        <v>9.7148092165769574E-3</v>
      </c>
      <c r="O71" s="367">
        <f t="shared" si="12"/>
        <v>1.0000038987198419</v>
      </c>
      <c r="P71" s="368">
        <f t="shared" si="13"/>
        <v>3.6585278154432194E-3</v>
      </c>
      <c r="Q71" s="369">
        <f t="shared" si="14"/>
        <v>28.153700051475361</v>
      </c>
      <c r="R71" s="370">
        <f t="shared" si="15"/>
        <v>-92.549152299183461</v>
      </c>
      <c r="S71" s="372">
        <f t="shared" si="16"/>
        <v>87.450847700816539</v>
      </c>
      <c r="U71" s="345">
        <f t="shared" si="23"/>
        <v>1000000000</v>
      </c>
      <c r="V71" s="345">
        <f t="shared" si="24"/>
        <v>43651.744900000005</v>
      </c>
      <c r="X71" s="371">
        <f t="shared" si="17"/>
        <v>29.626743244479815</v>
      </c>
      <c r="Y71" s="372">
        <f t="shared" si="18"/>
        <v>-75.827425943689647</v>
      </c>
      <c r="AA71" s="371">
        <f t="shared" si="19"/>
        <v>59.087531279000416</v>
      </c>
      <c r="AB71" s="372">
        <f t="shared" si="20"/>
        <v>-16.721726355493807</v>
      </c>
      <c r="AD71">
        <f t="shared" si="25"/>
        <v>0</v>
      </c>
      <c r="AE71">
        <f t="shared" si="26"/>
        <v>0</v>
      </c>
    </row>
    <row r="72" spans="1:31" x14ac:dyDescent="0.2">
      <c r="A72" s="373">
        <v>229.09</v>
      </c>
      <c r="B72" s="390">
        <f t="shared" si="22"/>
        <v>0.22909000000000002</v>
      </c>
      <c r="C72" s="363">
        <f t="shared" si="0"/>
        <v>1.0507252791878443</v>
      </c>
      <c r="D72" s="364">
        <f t="shared" si="1"/>
        <v>0.31199345674386497</v>
      </c>
      <c r="E72" s="364">
        <f t="shared" si="2"/>
        <v>1.0000040613601493</v>
      </c>
      <c r="F72" s="365">
        <f t="shared" si="3"/>
        <v>2.8500338256716357E-3</v>
      </c>
      <c r="G72" s="364">
        <f t="shared" si="4"/>
        <v>1.0000133574663583</v>
      </c>
      <c r="H72" s="365">
        <f t="shared" si="5"/>
        <v>-5.168620255954744E-3</v>
      </c>
      <c r="I72" s="363">
        <f t="shared" si="6"/>
        <v>950.30127777982477</v>
      </c>
      <c r="J72" s="366">
        <f t="shared" si="7"/>
        <v>1.5697440287417028</v>
      </c>
      <c r="K72" s="374">
        <f t="shared" si="8"/>
        <v>1.040343217216636</v>
      </c>
      <c r="L72" s="375">
        <f t="shared" si="9"/>
        <v>0.27939940562513743</v>
      </c>
      <c r="M72" s="363">
        <f t="shared" si="10"/>
        <v>1.000056736719086</v>
      </c>
      <c r="N72" s="366">
        <f t="shared" si="11"/>
        <v>1.065213937852807E-2</v>
      </c>
      <c r="O72" s="367">
        <f t="shared" si="12"/>
        <v>1.0000046874063164</v>
      </c>
      <c r="P72" s="368">
        <f t="shared" si="13"/>
        <v>4.0115438397974896E-3</v>
      </c>
      <c r="Q72" s="369">
        <f t="shared" si="14"/>
        <v>27.340060910377211</v>
      </c>
      <c r="R72" s="370">
        <f t="shared" si="15"/>
        <v>-92.780221812534165</v>
      </c>
      <c r="S72" s="372">
        <f t="shared" si="16"/>
        <v>87.219778187465835</v>
      </c>
      <c r="U72" s="345">
        <f t="shared" si="23"/>
        <v>1000000000</v>
      </c>
      <c r="V72" s="345">
        <f t="shared" si="24"/>
        <v>52482.2281</v>
      </c>
      <c r="X72" s="371">
        <f t="shared" si="17"/>
        <v>28.882488073562058</v>
      </c>
      <c r="Y72" s="372">
        <f t="shared" si="18"/>
        <v>-74.541623736329029</v>
      </c>
      <c r="AA72" s="371">
        <f t="shared" si="19"/>
        <v>59.018147308820026</v>
      </c>
      <c r="AB72" s="372">
        <f t="shared" si="20"/>
        <v>-18.238598076205136</v>
      </c>
      <c r="AD72">
        <f t="shared" si="25"/>
        <v>0</v>
      </c>
      <c r="AE72">
        <f t="shared" si="26"/>
        <v>0</v>
      </c>
    </row>
    <row r="73" spans="1:31" x14ac:dyDescent="0.2">
      <c r="A73" s="373">
        <v>251.19</v>
      </c>
      <c r="B73" s="390">
        <f t="shared" si="22"/>
        <v>0.25119000000000002</v>
      </c>
      <c r="C73" s="363">
        <f t="shared" si="0"/>
        <v>1.0606892611848584</v>
      </c>
      <c r="D73" s="364">
        <f t="shared" si="1"/>
        <v>0.3399144705660388</v>
      </c>
      <c r="E73" s="364">
        <f t="shared" si="2"/>
        <v>1.0000048827417192</v>
      </c>
      <c r="F73" s="365">
        <f t="shared" si="3"/>
        <v>3.1249709924213581E-3</v>
      </c>
      <c r="G73" s="364">
        <f t="shared" si="4"/>
        <v>1.0000160589050333</v>
      </c>
      <c r="H73" s="365">
        <f t="shared" si="5"/>
        <v>-5.6672197997514979E-3</v>
      </c>
      <c r="I73" s="363">
        <f t="shared" si="6"/>
        <v>1041.9754495297325</v>
      </c>
      <c r="J73" s="366">
        <f t="shared" si="7"/>
        <v>1.5698366111375264</v>
      </c>
      <c r="K73" s="374">
        <f t="shared" si="8"/>
        <v>1.0483136365898791</v>
      </c>
      <c r="L73" s="375">
        <f t="shared" si="9"/>
        <v>0.30477999908540393</v>
      </c>
      <c r="M73" s="363">
        <f t="shared" si="10"/>
        <v>1.0000682109587888</v>
      </c>
      <c r="N73" s="366">
        <f t="shared" si="11"/>
        <v>1.1679647403537141E-2</v>
      </c>
      <c r="O73" s="367">
        <f t="shared" si="12"/>
        <v>1.0000056354023423</v>
      </c>
      <c r="P73" s="368">
        <f t="shared" si="13"/>
        <v>4.3985302215397669E-3</v>
      </c>
      <c r="Q73" s="369">
        <f t="shared" si="14"/>
        <v>26.524372236702014</v>
      </c>
      <c r="R73" s="370">
        <f t="shared" si="15"/>
        <v>-93.024941228170448</v>
      </c>
      <c r="S73" s="372">
        <f t="shared" si="16"/>
        <v>86.975058771829552</v>
      </c>
      <c r="U73" s="345">
        <f t="shared" si="23"/>
        <v>1000000000</v>
      </c>
      <c r="V73" s="345">
        <f t="shared" si="24"/>
        <v>63096.416100000002</v>
      </c>
      <c r="X73" s="371">
        <f t="shared" si="17"/>
        <v>28.148756854129218</v>
      </c>
      <c r="Y73" s="372">
        <f t="shared" si="18"/>
        <v>-73.151599301716828</v>
      </c>
      <c r="AA73" s="371">
        <f t="shared" si="19"/>
        <v>58.93618985457767</v>
      </c>
      <c r="AB73" s="372">
        <f t="shared" si="20"/>
        <v>-19.873341926453627</v>
      </c>
      <c r="AD73">
        <f t="shared" si="25"/>
        <v>0</v>
      </c>
      <c r="AE73">
        <f t="shared" si="26"/>
        <v>0</v>
      </c>
    </row>
    <row r="74" spans="1:31" x14ac:dyDescent="0.2">
      <c r="A74" s="373">
        <v>275.42</v>
      </c>
      <c r="B74" s="390">
        <f t="shared" si="22"/>
        <v>0.27542</v>
      </c>
      <c r="C74" s="363">
        <f t="shared" si="0"/>
        <v>1.0725448645125764</v>
      </c>
      <c r="D74" s="364">
        <f t="shared" si="1"/>
        <v>0.36990434931741445</v>
      </c>
      <c r="E74" s="364">
        <f t="shared" si="2"/>
        <v>1.0000058701580408</v>
      </c>
      <c r="F74" s="365">
        <f t="shared" si="3"/>
        <v>3.4264060837179552E-3</v>
      </c>
      <c r="G74" s="364">
        <f t="shared" si="4"/>
        <v>1.0000193064080392</v>
      </c>
      <c r="H74" s="365">
        <f t="shared" si="5"/>
        <v>-6.2138711653239222E-3</v>
      </c>
      <c r="I74" s="363">
        <f t="shared" si="6"/>
        <v>1142.4851947866132</v>
      </c>
      <c r="J74" s="366">
        <f t="shared" si="7"/>
        <v>1.5699210418176817</v>
      </c>
      <c r="K74" s="374">
        <f t="shared" si="8"/>
        <v>1.0578157228025451</v>
      </c>
      <c r="L74" s="375">
        <f t="shared" si="9"/>
        <v>0.3321476248366339</v>
      </c>
      <c r="M74" s="363">
        <f t="shared" si="10"/>
        <v>1.0000820044490368</v>
      </c>
      <c r="N74" s="366">
        <f t="shared" si="11"/>
        <v>1.28061583222648E-2</v>
      </c>
      <c r="O74" s="367">
        <f t="shared" si="12"/>
        <v>1.0000067750275228</v>
      </c>
      <c r="P74" s="368">
        <f t="shared" si="13"/>
        <v>4.8228138181854356E-3</v>
      </c>
      <c r="Q74" s="369">
        <f t="shared" si="14"/>
        <v>25.706247170537932</v>
      </c>
      <c r="R74" s="370">
        <f t="shared" si="15"/>
        <v>-93.282926618030274</v>
      </c>
      <c r="S74" s="372">
        <f t="shared" si="16"/>
        <v>86.717073381969726</v>
      </c>
      <c r="U74" s="345">
        <f t="shared" si="23"/>
        <v>1000000000</v>
      </c>
      <c r="V74" s="345">
        <f t="shared" si="24"/>
        <v>75856.176400000011</v>
      </c>
      <c r="X74" s="371">
        <f t="shared" si="17"/>
        <v>27.427150819966162</v>
      </c>
      <c r="Y74" s="372">
        <f t="shared" si="18"/>
        <v>-71.652931692018129</v>
      </c>
      <c r="AA74" s="371">
        <f t="shared" si="19"/>
        <v>58.839670822576636</v>
      </c>
      <c r="AB74" s="372">
        <f t="shared" si="20"/>
        <v>-21.629994926012145</v>
      </c>
      <c r="AD74">
        <f t="shared" si="25"/>
        <v>0</v>
      </c>
      <c r="AE74">
        <f t="shared" si="26"/>
        <v>0</v>
      </c>
    </row>
    <row r="75" spans="1:31" x14ac:dyDescent="0.2">
      <c r="A75" s="373">
        <v>302</v>
      </c>
      <c r="B75" s="390">
        <f t="shared" si="22"/>
        <v>0.30199999999999999</v>
      </c>
      <c r="C75" s="363">
        <f t="shared" si="0"/>
        <v>1.0866337904873311</v>
      </c>
      <c r="D75" s="364">
        <f t="shared" si="1"/>
        <v>0.40201808186669952</v>
      </c>
      <c r="E75" s="364">
        <f t="shared" si="2"/>
        <v>1.0000070578508096</v>
      </c>
      <c r="F75" s="365">
        <f t="shared" si="3"/>
        <v>3.7570758040718221E-3</v>
      </c>
      <c r="G75" s="364">
        <f t="shared" si="4"/>
        <v>1.0000232125883923</v>
      </c>
      <c r="H75" s="365">
        <f t="shared" si="5"/>
        <v>-6.813536435795315E-3</v>
      </c>
      <c r="I75" s="363">
        <f t="shared" si="6"/>
        <v>1252.7431071973783</v>
      </c>
      <c r="J75" s="366">
        <f t="shared" si="7"/>
        <v>1.5699980784545506</v>
      </c>
      <c r="K75" s="374">
        <f t="shared" si="8"/>
        <v>1.0691332415476833</v>
      </c>
      <c r="L75" s="375">
        <f t="shared" si="9"/>
        <v>0.36158550953112883</v>
      </c>
      <c r="M75" s="363">
        <f t="shared" si="10"/>
        <v>1.0000985954220856</v>
      </c>
      <c r="N75" s="366">
        <f t="shared" si="11"/>
        <v>1.4041888896153557E-2</v>
      </c>
      <c r="O75" s="367">
        <f t="shared" si="12"/>
        <v>1.0000081458021413</v>
      </c>
      <c r="P75" s="368">
        <f t="shared" si="13"/>
        <v>5.2882467466717972E-3</v>
      </c>
      <c r="Q75" s="369">
        <f t="shared" si="14"/>
        <v>24.884988130448029</v>
      </c>
      <c r="R75" s="370">
        <f t="shared" si="15"/>
        <v>-93.553537079875895</v>
      </c>
      <c r="S75" s="372">
        <f t="shared" si="16"/>
        <v>86.446462920124105</v>
      </c>
      <c r="U75" s="345">
        <f t="shared" si="23"/>
        <v>1000000000</v>
      </c>
      <c r="V75" s="345">
        <f t="shared" si="24"/>
        <v>91204</v>
      </c>
      <c r="X75" s="371">
        <f t="shared" si="17"/>
        <v>26.719214205729635</v>
      </c>
      <c r="Y75" s="372">
        <f t="shared" si="18"/>
        <v>-70.041481160049031</v>
      </c>
      <c r="AA75" s="371">
        <f t="shared" si="19"/>
        <v>58.726348396723267</v>
      </c>
      <c r="AB75" s="372">
        <f t="shared" si="20"/>
        <v>-23.51205591982686</v>
      </c>
      <c r="AD75">
        <f t="shared" si="25"/>
        <v>0</v>
      </c>
      <c r="AE75">
        <f t="shared" si="26"/>
        <v>0</v>
      </c>
    </row>
    <row r="76" spans="1:31" x14ac:dyDescent="0.2">
      <c r="A76" s="373">
        <v>331.13</v>
      </c>
      <c r="B76" s="390">
        <f t="shared" si="22"/>
        <v>0.33112999999999998</v>
      </c>
      <c r="C76" s="363">
        <f t="shared" si="0"/>
        <v>1.1033261173180069</v>
      </c>
      <c r="D76" s="364">
        <f t="shared" si="1"/>
        <v>0.43623161658676096</v>
      </c>
      <c r="E76" s="364">
        <f t="shared" si="2"/>
        <v>1.0000084850681794</v>
      </c>
      <c r="F76" s="365">
        <f t="shared" si="3"/>
        <v>4.1194679711724124E-3</v>
      </c>
      <c r="G76" s="364">
        <f t="shared" si="4"/>
        <v>1.0000279065226425</v>
      </c>
      <c r="H76" s="365">
        <f t="shared" si="5"/>
        <v>-7.4707260262606096E-3</v>
      </c>
      <c r="I76" s="363">
        <f t="shared" si="6"/>
        <v>1373.5788174042877</v>
      </c>
      <c r="J76" s="366">
        <f t="shared" si="7"/>
        <v>1.5700683015256758</v>
      </c>
      <c r="K76" s="374">
        <f t="shared" si="8"/>
        <v>1.0825767041240741</v>
      </c>
      <c r="L76" s="375">
        <f t="shared" si="9"/>
        <v>0.39311033260636241</v>
      </c>
      <c r="M76" s="363">
        <f t="shared" si="10"/>
        <v>1.0001185319949741</v>
      </c>
      <c r="N76" s="366">
        <f t="shared" si="11"/>
        <v>1.5396122106784538E-2</v>
      </c>
      <c r="O76" s="367">
        <f t="shared" si="12"/>
        <v>1.0000097930248222</v>
      </c>
      <c r="P76" s="368">
        <f t="shared" si="13"/>
        <v>5.7983308319290716E-3</v>
      </c>
      <c r="Q76" s="369">
        <f t="shared" si="14"/>
        <v>24.061145617815303</v>
      </c>
      <c r="R76" s="370">
        <f t="shared" si="15"/>
        <v>-93.835320556271867</v>
      </c>
      <c r="S76" s="372">
        <f t="shared" si="16"/>
        <v>86.164679443728133</v>
      </c>
      <c r="U76" s="345">
        <f t="shared" si="23"/>
        <v>1000000000</v>
      </c>
      <c r="V76" s="345">
        <f t="shared" si="24"/>
        <v>109647.0769</v>
      </c>
      <c r="X76" s="371">
        <f t="shared" si="17"/>
        <v>26.027746688817651</v>
      </c>
      <c r="Y76" s="372">
        <f t="shared" si="18"/>
        <v>-68.316857179016367</v>
      </c>
      <c r="AA76" s="371">
        <f t="shared" si="19"/>
        <v>58.593973401002522</v>
      </c>
      <c r="AB76" s="372">
        <f t="shared" si="20"/>
        <v>-25.518463377255504</v>
      </c>
      <c r="AD76">
        <f t="shared" si="25"/>
        <v>0</v>
      </c>
      <c r="AE76">
        <f t="shared" si="26"/>
        <v>0</v>
      </c>
    </row>
    <row r="77" spans="1:31" x14ac:dyDescent="0.2">
      <c r="A77" s="373">
        <v>363.08</v>
      </c>
      <c r="B77" s="390">
        <f t="shared" si="22"/>
        <v>0.36307999999999996</v>
      </c>
      <c r="C77" s="363">
        <f t="shared" ref="C77:C140" si="27">SQRT(1+(A77/pole1)^2)</f>
        <v>1.1230720908518965</v>
      </c>
      <c r="D77" s="364">
        <f t="shared" ref="D77:D140" si="28">ATAN(A77/pole1)</f>
        <v>0.47254064195645318</v>
      </c>
      <c r="E77" s="364">
        <f t="shared" ref="E77:E140" si="29">SQRT(1+(A77/Zero1)^2)</f>
        <v>1.0000102014653529</v>
      </c>
      <c r="F77" s="365">
        <f t="shared" ref="F77:F140" si="30">ATAN(A77/Zero1)</f>
        <v>4.5169411394716088E-3</v>
      </c>
      <c r="G77" s="364">
        <f t="shared" ref="G77:G140" si="31">IF(VIN_nom&gt;Vout, 1, SQRT(1+(A77/z_RHP)^2))</f>
        <v>1.0000335515117431</v>
      </c>
      <c r="H77" s="365">
        <f t="shared" ref="H77:H140" si="32">IF(VIN_nom&gt;Vout, 0, -ATAN(A77/z_RHP))</f>
        <v>-8.1915290005446229E-3</v>
      </c>
      <c r="I77" s="363">
        <f t="shared" ref="I77:I140" si="33">SQRT(1+(A77/Pole2)^2)</f>
        <v>1506.1123268389078</v>
      </c>
      <c r="J77" s="366">
        <f t="shared" ref="J77:J140" si="34">ATAN(A77/Pole2)</f>
        <v>1.5701323656442878</v>
      </c>
      <c r="K77" s="374">
        <f t="shared" ref="K77:K140" si="35">SQRT(1+(A77/Zero2)^2)</f>
        <v>1.0985262037879806</v>
      </c>
      <c r="L77" s="375">
        <f t="shared" ref="L77:L140" si="36">ATAN(A77/Zero2)</f>
        <v>0.42676261193705856</v>
      </c>
      <c r="M77" s="363">
        <f t="shared" ref="M77:M140" si="37">SQRT(1+(A77/pole4)^2)</f>
        <v>1.0001425075859725</v>
      </c>
      <c r="N77" s="366">
        <f t="shared" ref="N77:N140" si="38">ATAN(A77/pole4)</f>
        <v>1.6881390011103704E-2</v>
      </c>
      <c r="O77" s="367">
        <f t="shared" ref="O77:O140" si="39">SQRT((1-(V77/pterm2))^2+(A77/pterm1)^2)</f>
        <v>1.0000117740056895</v>
      </c>
      <c r="P77" s="368">
        <f t="shared" ref="P77:P140" si="40">IF((ATAN((A77/pterm1)/(1-A77^2/pterm2))&gt;0),ATAN((A77/pterm1)/(1-A77^2/pterm2)),PI()+ATAN((A77/pterm1)/(1-A77^2/pterm2)))</f>
        <v>6.3577935382081912E-3</v>
      </c>
      <c r="Q77" s="369">
        <f t="shared" ref="Q77:Q140" si="41">20*LOG10(((E77*K77*G77)/(C77*I77*O77*M77))*Adc)</f>
        <v>23.233868709548076</v>
      </c>
      <c r="R77" s="370">
        <f t="shared" ref="R77:R140" si="42">((F77+L77+H77)-(D77+J77+P77+N77))*radconv</f>
        <v>-94.126891362994513</v>
      </c>
      <c r="S77" s="372">
        <f t="shared" ref="S77:S140" si="43">IF(R77&gt;0,R77,R77+180)</f>
        <v>85.873108637005487</v>
      </c>
      <c r="U77" s="345">
        <f t="shared" si="23"/>
        <v>1000000000</v>
      </c>
      <c r="V77" s="345">
        <f t="shared" si="24"/>
        <v>131827.0864</v>
      </c>
      <c r="X77" s="371">
        <f t="shared" ref="X77:X140" si="44">20*LOG10((K77/(I77*M77))*AEA)</f>
        <v>25.354497771869802</v>
      </c>
      <c r="Y77" s="372">
        <f t="shared" ref="Y77:Y140" si="45">(L77-(J77+N77))*radconv</f>
        <v>-66.4774937862488</v>
      </c>
      <c r="AA77" s="371">
        <f t="shared" ref="AA77:AA140" si="46">20*LOG10((E77*G77/(C77*O77))*Acs*Am)</f>
        <v>58.439945409683141</v>
      </c>
      <c r="AB77" s="372">
        <f t="shared" ref="AB77:AB140" si="47">(F77+H77-(D77+P77))*radconv</f>
        <v>-27.649397576745724</v>
      </c>
      <c r="AD77">
        <f t="shared" si="25"/>
        <v>0</v>
      </c>
      <c r="AE77">
        <f t="shared" ref="AE77:AE89" si="48">IF(AD77&gt;0,S75,0)</f>
        <v>0</v>
      </c>
    </row>
    <row r="78" spans="1:31" x14ac:dyDescent="0.2">
      <c r="A78" s="373">
        <v>398.11</v>
      </c>
      <c r="B78" s="390">
        <f t="shared" ref="B78:B141" si="49">A78/1000</f>
        <v>0.39811000000000002</v>
      </c>
      <c r="C78" s="363">
        <f t="shared" si="27"/>
        <v>1.1463602753801374</v>
      </c>
      <c r="D78" s="364">
        <f t="shared" si="28"/>
        <v>0.51085640486724226</v>
      </c>
      <c r="E78" s="364">
        <f t="shared" si="29"/>
        <v>1.0000122648892389</v>
      </c>
      <c r="F78" s="365">
        <f t="shared" si="30"/>
        <v>4.9527293251358274E-3</v>
      </c>
      <c r="G78" s="364">
        <f t="shared" si="31"/>
        <v>1.0000403377935796</v>
      </c>
      <c r="H78" s="365">
        <f t="shared" si="32"/>
        <v>-8.9818080226859442E-3</v>
      </c>
      <c r="I78" s="363">
        <f t="shared" si="33"/>
        <v>1651.4221554548551</v>
      </c>
      <c r="J78" s="366">
        <f t="shared" si="34"/>
        <v>1.570190788073129</v>
      </c>
      <c r="K78" s="374">
        <f t="shared" si="35"/>
        <v>1.1173991446357019</v>
      </c>
      <c r="L78" s="375">
        <f t="shared" si="36"/>
        <v>0.46251002577478867</v>
      </c>
      <c r="M78" s="363">
        <f t="shared" si="37"/>
        <v>1.0001713299329238</v>
      </c>
      <c r="N78" s="366">
        <f t="shared" si="38"/>
        <v>1.8509752828059393E-2</v>
      </c>
      <c r="O78" s="367">
        <f t="shared" si="39"/>
        <v>1.0000141555096265</v>
      </c>
      <c r="P78" s="368">
        <f t="shared" si="40"/>
        <v>6.971187084851449E-3</v>
      </c>
      <c r="Q78" s="369">
        <f t="shared" si="41"/>
        <v>22.403348114946461</v>
      </c>
      <c r="R78" s="370">
        <f t="shared" si="42"/>
        <v>-94.426148291277613</v>
      </c>
      <c r="S78" s="372">
        <f t="shared" si="43"/>
        <v>85.573851708722387</v>
      </c>
      <c r="U78" s="345">
        <f t="shared" ref="U78:U141" si="50">IF(Q78&lt;0,A78,1000000000)</f>
        <v>1000000000</v>
      </c>
      <c r="V78" s="345">
        <f t="shared" ref="V78:V141" si="51">A78^2</f>
        <v>158491.57210000002</v>
      </c>
      <c r="X78" s="371">
        <f t="shared" si="44"/>
        <v>24.702190862706949</v>
      </c>
      <c r="Y78" s="372">
        <f t="shared" si="45"/>
        <v>-64.525963518138454</v>
      </c>
      <c r="AA78" s="371">
        <f t="shared" si="46"/>
        <v>58.261731724244385</v>
      </c>
      <c r="AB78" s="372">
        <f t="shared" si="47"/>
        <v>-29.900184773139152</v>
      </c>
      <c r="AD78">
        <f t="shared" ref="AD78:AD141" si="52">SUM((Q79&lt;0)*(Q78&gt;0))*A78</f>
        <v>0</v>
      </c>
      <c r="AE78">
        <f t="shared" si="48"/>
        <v>0</v>
      </c>
    </row>
    <row r="79" spans="1:31" x14ac:dyDescent="0.2">
      <c r="A79" s="373">
        <v>436.52</v>
      </c>
      <c r="B79" s="390">
        <f t="shared" si="49"/>
        <v>0.43651999999999996</v>
      </c>
      <c r="C79" s="363">
        <f t="shared" si="27"/>
        <v>1.1737476110285898</v>
      </c>
      <c r="D79" s="364">
        <f t="shared" si="28"/>
        <v>0.55105633235769058</v>
      </c>
      <c r="E79" s="364">
        <f t="shared" si="29"/>
        <v>1.0000147456938102</v>
      </c>
      <c r="F79" s="365">
        <f t="shared" si="30"/>
        <v>5.4305639884392586E-3</v>
      </c>
      <c r="G79" s="364">
        <f t="shared" si="31"/>
        <v>1.0000484967334693</v>
      </c>
      <c r="H79" s="365">
        <f t="shared" si="32"/>
        <v>-9.8483271275957626E-3</v>
      </c>
      <c r="I79" s="363">
        <f t="shared" si="33"/>
        <v>1810.7527494001572</v>
      </c>
      <c r="J79" s="366">
        <f t="shared" si="34"/>
        <v>1.5702440702534319</v>
      </c>
      <c r="K79" s="374">
        <f t="shared" si="35"/>
        <v>1.1396759942838326</v>
      </c>
      <c r="L79" s="375">
        <f t="shared" si="36"/>
        <v>0.50029234816772661</v>
      </c>
      <c r="M79" s="363">
        <f t="shared" si="37"/>
        <v>1.0002059813218929</v>
      </c>
      <c r="N79" s="366">
        <f t="shared" si="38"/>
        <v>2.0295121146997747E-2</v>
      </c>
      <c r="O79" s="367">
        <f t="shared" si="39"/>
        <v>1.0000170187369932</v>
      </c>
      <c r="P79" s="368">
        <f t="shared" si="40"/>
        <v>7.6437639316835754E-3</v>
      </c>
      <c r="Q79" s="369">
        <f t="shared" si="41"/>
        <v>21.569483261509255</v>
      </c>
      <c r="R79" s="370">
        <f t="shared" si="42"/>
        <v>-94.730819566636683</v>
      </c>
      <c r="S79" s="372">
        <f t="shared" si="43"/>
        <v>85.269180433363317</v>
      </c>
      <c r="U79" s="345">
        <f t="shared" si="50"/>
        <v>1000000000</v>
      </c>
      <c r="V79" s="345">
        <f t="shared" si="51"/>
        <v>190549.71039999998</v>
      </c>
      <c r="X79" s="371">
        <f t="shared" si="44"/>
        <v>24.073330330740781</v>
      </c>
      <c r="Y79" s="372">
        <f t="shared" si="45"/>
        <v>-62.466542816073407</v>
      </c>
      <c r="AA79" s="371">
        <f t="shared" si="46"/>
        <v>58.056727402773348</v>
      </c>
      <c r="AB79" s="372">
        <f t="shared" si="47"/>
        <v>-32.264276750563283</v>
      </c>
      <c r="AD79">
        <f t="shared" si="52"/>
        <v>0</v>
      </c>
      <c r="AE79">
        <f t="shared" si="48"/>
        <v>0</v>
      </c>
    </row>
    <row r="80" spans="1:31" x14ac:dyDescent="0.2">
      <c r="A80" s="373">
        <v>478.63</v>
      </c>
      <c r="B80" s="390">
        <f t="shared" si="49"/>
        <v>0.47863</v>
      </c>
      <c r="C80" s="363">
        <f t="shared" si="27"/>
        <v>1.2058468140226251</v>
      </c>
      <c r="D80" s="364">
        <f t="shared" si="28"/>
        <v>0.59295548989250169</v>
      </c>
      <c r="E80" s="364">
        <f t="shared" si="29"/>
        <v>1.0000177278514335</v>
      </c>
      <c r="F80" s="365">
        <f t="shared" si="30"/>
        <v>5.9544251679403051E-3</v>
      </c>
      <c r="G80" s="364">
        <f t="shared" si="31"/>
        <v>1.0000583044760731</v>
      </c>
      <c r="H80" s="365">
        <f t="shared" si="32"/>
        <v>-1.0798300178349509E-2</v>
      </c>
      <c r="I80" s="363">
        <f t="shared" si="33"/>
        <v>1985.4315179439402</v>
      </c>
      <c r="J80" s="366">
        <f t="shared" si="34"/>
        <v>1.5702926579283341</v>
      </c>
      <c r="K80" s="374">
        <f t="shared" si="35"/>
        <v>1.1658916753376256</v>
      </c>
      <c r="L80" s="375">
        <f t="shared" si="36"/>
        <v>0.53999234508392369</v>
      </c>
      <c r="M80" s="363">
        <f t="shared" si="37"/>
        <v>1.0002476340363531</v>
      </c>
      <c r="N80" s="366">
        <f t="shared" si="38"/>
        <v>2.2252323248116105E-2</v>
      </c>
      <c r="O80" s="367">
        <f t="shared" si="39"/>
        <v>1.0000204606064755</v>
      </c>
      <c r="P80" s="368">
        <f t="shared" si="40"/>
        <v>8.3811265088933381E-3</v>
      </c>
      <c r="Q80" s="369">
        <f t="shared" si="41"/>
        <v>20.732475211027914</v>
      </c>
      <c r="R80" s="370">
        <f t="shared" si="42"/>
        <v>-95.038407653130832</v>
      </c>
      <c r="S80" s="372">
        <f t="shared" si="43"/>
        <v>84.961592346869168</v>
      </c>
      <c r="U80" s="345">
        <f t="shared" si="50"/>
        <v>1000000000</v>
      </c>
      <c r="V80" s="345">
        <f t="shared" si="51"/>
        <v>229086.67689999999</v>
      </c>
      <c r="X80" s="371">
        <f t="shared" si="44"/>
        <v>23.470589467245407</v>
      </c>
      <c r="Y80" s="372">
        <f t="shared" si="45"/>
        <v>-60.306823832381568</v>
      </c>
      <c r="AA80" s="371">
        <f t="shared" si="46"/>
        <v>57.822460215787373</v>
      </c>
      <c r="AB80" s="372">
        <f t="shared" si="47"/>
        <v>-34.731583820749243</v>
      </c>
      <c r="AD80">
        <f t="shared" si="52"/>
        <v>0</v>
      </c>
      <c r="AE80">
        <f t="shared" si="48"/>
        <v>0</v>
      </c>
    </row>
    <row r="81" spans="1:31" x14ac:dyDescent="0.2">
      <c r="A81" s="373">
        <v>524.80999999999995</v>
      </c>
      <c r="B81" s="390">
        <f t="shared" si="49"/>
        <v>0.52481</v>
      </c>
      <c r="C81" s="363">
        <f t="shared" si="27"/>
        <v>1.243347716851025</v>
      </c>
      <c r="D81" s="364">
        <f t="shared" si="28"/>
        <v>0.63633306042905124</v>
      </c>
      <c r="E81" s="364">
        <f t="shared" si="29"/>
        <v>1.0000213137415792</v>
      </c>
      <c r="F81" s="365">
        <f t="shared" si="30"/>
        <v>6.5289146147067875E-3</v>
      </c>
      <c r="G81" s="364">
        <f t="shared" si="31"/>
        <v>1.0000700976901371</v>
      </c>
      <c r="H81" s="365">
        <f t="shared" si="32"/>
        <v>-1.1840067199444174E-2</v>
      </c>
      <c r="I81" s="363">
        <f t="shared" si="33"/>
        <v>2176.9932780980585</v>
      </c>
      <c r="J81" s="366">
        <f t="shared" si="34"/>
        <v>1.570336977634186</v>
      </c>
      <c r="K81" s="374">
        <f t="shared" si="35"/>
        <v>1.1966545220238987</v>
      </c>
      <c r="L81" s="375">
        <f t="shared" si="36"/>
        <v>0.58145739047189737</v>
      </c>
      <c r="M81" s="363">
        <f t="shared" si="37"/>
        <v>1.0002977171367795</v>
      </c>
      <c r="N81" s="366">
        <f t="shared" si="38"/>
        <v>2.4398495553140734E-2</v>
      </c>
      <c r="O81" s="367">
        <f t="shared" si="39"/>
        <v>1.0000245992822903</v>
      </c>
      <c r="P81" s="368">
        <f t="shared" si="40"/>
        <v>9.1897524507116198E-3</v>
      </c>
      <c r="Q81" s="369">
        <f t="shared" si="41"/>
        <v>19.892296895468647</v>
      </c>
      <c r="R81" s="370">
        <f t="shared" si="42"/>
        <v>-95.346597106530453</v>
      </c>
      <c r="S81" s="372">
        <f t="shared" si="43"/>
        <v>84.653402893469547</v>
      </c>
      <c r="U81" s="345">
        <f t="shared" si="50"/>
        <v>1000000000</v>
      </c>
      <c r="V81" s="345">
        <f t="shared" si="51"/>
        <v>275425.53609999997</v>
      </c>
      <c r="X81" s="371">
        <f t="shared" si="44"/>
        <v>22.896322743632407</v>
      </c>
      <c r="Y81" s="372">
        <f t="shared" si="45"/>
        <v>-58.056557679041312</v>
      </c>
      <c r="AA81" s="371">
        <f t="shared" si="46"/>
        <v>57.556548623841117</v>
      </c>
      <c r="AB81" s="372">
        <f t="shared" si="47"/>
        <v>-37.29003942748912</v>
      </c>
      <c r="AD81">
        <f t="shared" si="52"/>
        <v>0</v>
      </c>
      <c r="AE81">
        <f t="shared" si="48"/>
        <v>0</v>
      </c>
    </row>
    <row r="82" spans="1:31" x14ac:dyDescent="0.2">
      <c r="A82" s="373">
        <v>575.44000000000005</v>
      </c>
      <c r="B82" s="390">
        <f t="shared" si="49"/>
        <v>0.57544000000000006</v>
      </c>
      <c r="C82" s="363">
        <f t="shared" si="27"/>
        <v>1.2869833837361553</v>
      </c>
      <c r="D82" s="364">
        <f t="shared" si="28"/>
        <v>0.68089313939460727</v>
      </c>
      <c r="E82" s="364">
        <f t="shared" si="29"/>
        <v>1.0000256244558061</v>
      </c>
      <c r="F82" s="365">
        <f t="shared" si="30"/>
        <v>7.1587580823344113E-3</v>
      </c>
      <c r="G82" s="364">
        <f t="shared" si="31"/>
        <v>1.0000842745651179</v>
      </c>
      <c r="H82" s="365">
        <f t="shared" si="32"/>
        <v>-1.2982191420675041E-2</v>
      </c>
      <c r="I82" s="363">
        <f t="shared" si="33"/>
        <v>2387.0143284522487</v>
      </c>
      <c r="J82" s="366">
        <f t="shared" si="34"/>
        <v>1.5703773933945684</v>
      </c>
      <c r="K82" s="374">
        <f t="shared" si="35"/>
        <v>1.2326198666242221</v>
      </c>
      <c r="L82" s="375">
        <f t="shared" si="36"/>
        <v>0.6244579960108233</v>
      </c>
      <c r="M82" s="363">
        <f t="shared" si="37"/>
        <v>1.0003579205663118</v>
      </c>
      <c r="N82" s="366">
        <f t="shared" si="38"/>
        <v>2.6751218400826188E-2</v>
      </c>
      <c r="O82" s="367">
        <f t="shared" si="39"/>
        <v>1.0000295745266163</v>
      </c>
      <c r="P82" s="368">
        <f t="shared" si="40"/>
        <v>1.0076294077759966E-2</v>
      </c>
      <c r="Q82" s="369">
        <f t="shared" si="41"/>
        <v>19.049533512491092</v>
      </c>
      <c r="R82" s="370">
        <f t="shared" si="42"/>
        <v>-95.653211713221395</v>
      </c>
      <c r="S82" s="372">
        <f t="shared" si="43"/>
        <v>84.346788286778605</v>
      </c>
      <c r="U82" s="345">
        <f t="shared" si="50"/>
        <v>1000000000</v>
      </c>
      <c r="V82" s="345">
        <f t="shared" si="51"/>
        <v>331131.19360000006</v>
      </c>
      <c r="X82" s="371">
        <f t="shared" si="44"/>
        <v>22.353048774251292</v>
      </c>
      <c r="Y82" s="372">
        <f t="shared" si="45"/>
        <v>-55.729921204527528</v>
      </c>
      <c r="AA82" s="371">
        <f t="shared" si="46"/>
        <v>57.25705921024467</v>
      </c>
      <c r="AB82" s="372">
        <f t="shared" si="47"/>
        <v>-39.923290508693867</v>
      </c>
      <c r="AD82">
        <f t="shared" si="52"/>
        <v>0</v>
      </c>
      <c r="AE82">
        <f t="shared" si="48"/>
        <v>0</v>
      </c>
    </row>
    <row r="83" spans="1:31" x14ac:dyDescent="0.2">
      <c r="A83" s="373">
        <v>630.96</v>
      </c>
      <c r="B83" s="390">
        <f t="shared" si="49"/>
        <v>0.63096000000000008</v>
      </c>
      <c r="C83" s="363">
        <f t="shared" si="27"/>
        <v>1.3375665045208691</v>
      </c>
      <c r="D83" s="364">
        <f t="shared" si="28"/>
        <v>0.72631556432277944</v>
      </c>
      <c r="E83" s="364">
        <f t="shared" si="29"/>
        <v>1.0000308075446436</v>
      </c>
      <c r="F83" s="365">
        <f t="shared" si="30"/>
        <v>7.8494272076177068E-3</v>
      </c>
      <c r="G83" s="364">
        <f t="shared" si="31"/>
        <v>1.0001013202796738</v>
      </c>
      <c r="H83" s="365">
        <f t="shared" si="32"/>
        <v>-1.4234586441539679E-2</v>
      </c>
      <c r="I83" s="363">
        <f t="shared" si="33"/>
        <v>2617.3198568823341</v>
      </c>
      <c r="J83" s="366">
        <f t="shared" si="34"/>
        <v>1.5704142565554873</v>
      </c>
      <c r="K83" s="374">
        <f t="shared" si="35"/>
        <v>1.2745207886159238</v>
      </c>
      <c r="L83" s="375">
        <f t="shared" si="36"/>
        <v>0.66873171534451414</v>
      </c>
      <c r="M83" s="363">
        <f t="shared" si="37"/>
        <v>1.0004303031252966</v>
      </c>
      <c r="N83" s="366">
        <f t="shared" si="38"/>
        <v>2.933083296749614E-2</v>
      </c>
      <c r="O83" s="367">
        <f t="shared" si="39"/>
        <v>1.000035556641331</v>
      </c>
      <c r="P83" s="368">
        <f t="shared" si="40"/>
        <v>1.1048453776396353E-2</v>
      </c>
      <c r="Q83" s="369">
        <f t="shared" si="41"/>
        <v>18.204516987307692</v>
      </c>
      <c r="R83" s="370">
        <f t="shared" si="42"/>
        <v>-95.956825997820573</v>
      </c>
      <c r="S83" s="372">
        <f t="shared" si="43"/>
        <v>84.043174002179427</v>
      </c>
      <c r="U83" s="345">
        <f t="shared" si="50"/>
        <v>1000000000</v>
      </c>
      <c r="V83" s="345">
        <f t="shared" si="51"/>
        <v>398110.52160000004</v>
      </c>
      <c r="X83" s="371">
        <f t="shared" si="44"/>
        <v>21.842740041966103</v>
      </c>
      <c r="Y83" s="372">
        <f t="shared" si="45"/>
        <v>-53.343137071613803</v>
      </c>
      <c r="AA83" s="371">
        <f t="shared" si="46"/>
        <v>56.922351417346455</v>
      </c>
      <c r="AB83" s="372">
        <f t="shared" si="47"/>
        <v>-42.613688926206777</v>
      </c>
      <c r="AD83">
        <f t="shared" si="52"/>
        <v>0</v>
      </c>
      <c r="AE83">
        <f t="shared" si="48"/>
        <v>0</v>
      </c>
    </row>
    <row r="84" spans="1:31" x14ac:dyDescent="0.2">
      <c r="A84" s="373">
        <v>691.83</v>
      </c>
      <c r="B84" s="390">
        <f t="shared" si="49"/>
        <v>0.69183000000000006</v>
      </c>
      <c r="C84" s="363">
        <f t="shared" si="27"/>
        <v>1.3959502734942217</v>
      </c>
      <c r="D84" s="364">
        <f t="shared" si="28"/>
        <v>0.77222800621595711</v>
      </c>
      <c r="E84" s="364">
        <f t="shared" si="29"/>
        <v>1.0000370382841273</v>
      </c>
      <c r="F84" s="365">
        <f t="shared" si="30"/>
        <v>8.606641733910441E-3</v>
      </c>
      <c r="G84" s="364">
        <f t="shared" si="31"/>
        <v>1.0001218111535546</v>
      </c>
      <c r="H84" s="365">
        <f t="shared" si="32"/>
        <v>-1.5607612878047534E-2</v>
      </c>
      <c r="I84" s="363">
        <f t="shared" si="33"/>
        <v>2869.8180143803029</v>
      </c>
      <c r="J84" s="366">
        <f t="shared" si="34"/>
        <v>1.5704478726367495</v>
      </c>
      <c r="K84" s="374">
        <f t="shared" si="35"/>
        <v>1.3231361921952045</v>
      </c>
      <c r="L84" s="375">
        <f t="shared" si="36"/>
        <v>0.71395171937084245</v>
      </c>
      <c r="M84" s="363">
        <f t="shared" si="37"/>
        <v>1.0005173098370888</v>
      </c>
      <c r="N84" s="366">
        <f t="shared" si="38"/>
        <v>3.2158573587737507E-2</v>
      </c>
      <c r="O84" s="367">
        <f t="shared" si="39"/>
        <v>1.0000427479306921</v>
      </c>
      <c r="P84" s="368">
        <f t="shared" si="40"/>
        <v>1.2114283411571631E-2</v>
      </c>
      <c r="Q84" s="369">
        <f t="shared" si="41"/>
        <v>17.358041323249104</v>
      </c>
      <c r="R84" s="370">
        <f t="shared" si="42"/>
        <v>-96.256794391391196</v>
      </c>
      <c r="S84" s="372">
        <f t="shared" si="43"/>
        <v>83.743205608608804</v>
      </c>
      <c r="U84" s="345">
        <f t="shared" si="50"/>
        <v>1000000000</v>
      </c>
      <c r="V84" s="345">
        <f t="shared" si="51"/>
        <v>478628.74890000006</v>
      </c>
      <c r="X84" s="371">
        <f t="shared" si="44"/>
        <v>21.367186029950133</v>
      </c>
      <c r="Y84" s="372">
        <f t="shared" si="45"/>
        <v>-50.916165351245006</v>
      </c>
      <c r="AA84" s="371">
        <f t="shared" si="46"/>
        <v>56.551429765303844</v>
      </c>
      <c r="AB84" s="372">
        <f t="shared" si="47"/>
        <v>-45.34062904014619</v>
      </c>
      <c r="AD84">
        <f t="shared" si="52"/>
        <v>0</v>
      </c>
      <c r="AE84">
        <f t="shared" si="48"/>
        <v>0</v>
      </c>
    </row>
    <row r="85" spans="1:31" x14ac:dyDescent="0.2">
      <c r="A85" s="373">
        <v>758.58</v>
      </c>
      <c r="B85" s="390">
        <f t="shared" si="49"/>
        <v>0.75858000000000003</v>
      </c>
      <c r="C85" s="363">
        <f t="shared" si="27"/>
        <v>1.4630691406127314</v>
      </c>
      <c r="D85" s="364">
        <f t="shared" si="28"/>
        <v>0.81825680793017908</v>
      </c>
      <c r="E85" s="364">
        <f t="shared" si="29"/>
        <v>1.0000445300546121</v>
      </c>
      <c r="F85" s="365">
        <f t="shared" si="30"/>
        <v>9.436991282908213E-3</v>
      </c>
      <c r="G85" s="364">
        <f t="shared" si="31"/>
        <v>1.0001464487610732</v>
      </c>
      <c r="H85" s="365">
        <f t="shared" si="32"/>
        <v>-1.7113204878504908E-2</v>
      </c>
      <c r="I85" s="363">
        <f t="shared" si="33"/>
        <v>3146.707322770952</v>
      </c>
      <c r="J85" s="366">
        <f t="shared" si="34"/>
        <v>1.5704785342853755</v>
      </c>
      <c r="K85" s="374">
        <f t="shared" si="35"/>
        <v>1.3793242730676274</v>
      </c>
      <c r="L85" s="375">
        <f t="shared" si="36"/>
        <v>0.75977256180436892</v>
      </c>
      <c r="M85" s="363">
        <f t="shared" si="37"/>
        <v>1.0006219164210166</v>
      </c>
      <c r="N85" s="366">
        <f t="shared" si="38"/>
        <v>3.5258879031599653E-2</v>
      </c>
      <c r="O85" s="367">
        <f t="shared" si="39"/>
        <v>1.0000513946814695</v>
      </c>
      <c r="P85" s="368">
        <f t="shared" si="40"/>
        <v>1.3283059592657335E-2</v>
      </c>
      <c r="Q85" s="369">
        <f t="shared" si="41"/>
        <v>16.510635868628675</v>
      </c>
      <c r="R85" s="370">
        <f t="shared" si="42"/>
        <v>-96.553755266007215</v>
      </c>
      <c r="S85" s="372">
        <f t="shared" si="43"/>
        <v>83.446244733992785</v>
      </c>
      <c r="U85" s="345">
        <f t="shared" si="50"/>
        <v>1000000000</v>
      </c>
      <c r="V85" s="345">
        <f t="shared" si="51"/>
        <v>575443.61640000006</v>
      </c>
      <c r="X85" s="371">
        <f t="shared" si="44"/>
        <v>20.927474676325708</v>
      </c>
      <c r="Y85" s="372">
        <f t="shared" si="45"/>
        <v>-48.470215663469013</v>
      </c>
      <c r="AA85" s="371">
        <f t="shared" si="46"/>
        <v>56.14373566430784</v>
      </c>
      <c r="AB85" s="372">
        <f t="shared" si="47"/>
        <v>-48.083539602538202</v>
      </c>
      <c r="AD85">
        <f t="shared" si="52"/>
        <v>0</v>
      </c>
      <c r="AE85">
        <f t="shared" si="48"/>
        <v>0</v>
      </c>
    </row>
    <row r="86" spans="1:31" x14ac:dyDescent="0.2">
      <c r="A86" s="373">
        <v>831.76</v>
      </c>
      <c r="B86" s="390">
        <f t="shared" si="49"/>
        <v>0.83175999999999994</v>
      </c>
      <c r="C86" s="363">
        <f t="shared" si="27"/>
        <v>1.5398854243479614</v>
      </c>
      <c r="D86" s="364">
        <f t="shared" si="28"/>
        <v>0.86400252748225059</v>
      </c>
      <c r="E86" s="364">
        <f t="shared" si="29"/>
        <v>1.0000535358321327</v>
      </c>
      <c r="F86" s="365">
        <f t="shared" si="30"/>
        <v>1.0347313065468908E-2</v>
      </c>
      <c r="G86" s="364">
        <f t="shared" si="31"/>
        <v>1.000176064807716</v>
      </c>
      <c r="H86" s="365">
        <f t="shared" si="32"/>
        <v>-1.8763740525250764E-2</v>
      </c>
      <c r="I86" s="363">
        <f t="shared" si="33"/>
        <v>3450.2692669922353</v>
      </c>
      <c r="J86" s="366">
        <f t="shared" si="34"/>
        <v>1.5705064943393352</v>
      </c>
      <c r="K86" s="374">
        <f t="shared" si="35"/>
        <v>1.4439769721969111</v>
      </c>
      <c r="L86" s="375">
        <f t="shared" si="36"/>
        <v>0.80580350600658512</v>
      </c>
      <c r="M86" s="363">
        <f t="shared" si="37"/>
        <v>1.0007476494464143</v>
      </c>
      <c r="N86" s="366">
        <f t="shared" si="38"/>
        <v>3.8657054388474422E-2</v>
      </c>
      <c r="O86" s="367">
        <f t="shared" si="39"/>
        <v>1.0000617888860952</v>
      </c>
      <c r="P86" s="368">
        <f t="shared" si="40"/>
        <v>1.4564407868225701E-2</v>
      </c>
      <c r="Q86" s="369">
        <f t="shared" si="41"/>
        <v>15.66326348409012</v>
      </c>
      <c r="R86" s="370">
        <f t="shared" si="42"/>
        <v>-96.849543175391247</v>
      </c>
      <c r="S86" s="372">
        <f t="shared" si="43"/>
        <v>83.150456824608753</v>
      </c>
      <c r="U86" s="345">
        <f t="shared" si="50"/>
        <v>1000000000</v>
      </c>
      <c r="V86" s="345">
        <f t="shared" si="51"/>
        <v>691824.69759999996</v>
      </c>
      <c r="X86" s="371">
        <f t="shared" si="44"/>
        <v>20.524328311066927</v>
      </c>
      <c r="Y86" s="372">
        <f t="shared" si="45"/>
        <v>-46.029139929971628</v>
      </c>
      <c r="AA86" s="371">
        <f t="shared" si="46"/>
        <v>55.699509645028058</v>
      </c>
      <c r="AB86" s="372">
        <f t="shared" si="47"/>
        <v>-50.820403245419627</v>
      </c>
      <c r="AD86">
        <f t="shared" si="52"/>
        <v>0</v>
      </c>
      <c r="AE86">
        <f t="shared" si="48"/>
        <v>0</v>
      </c>
    </row>
    <row r="87" spans="1:31" x14ac:dyDescent="0.2">
      <c r="A87" s="373">
        <v>912.01</v>
      </c>
      <c r="B87" s="390">
        <f t="shared" si="49"/>
        <v>0.91200999999999999</v>
      </c>
      <c r="C87" s="363">
        <f t="shared" si="27"/>
        <v>1.6274561616830685</v>
      </c>
      <c r="D87" s="364">
        <f t="shared" si="28"/>
        <v>0.90910022701040194</v>
      </c>
      <c r="E87" s="364">
        <f t="shared" si="29"/>
        <v>1.000064364343642</v>
      </c>
      <c r="F87" s="365">
        <f t="shared" si="30"/>
        <v>1.1345562262329204E-2</v>
      </c>
      <c r="G87" s="364">
        <f t="shared" si="31"/>
        <v>1.0002116742178464</v>
      </c>
      <c r="H87" s="365">
        <f t="shared" si="32"/>
        <v>-2.0573618363209381E-2</v>
      </c>
      <c r="I87" s="363">
        <f t="shared" si="33"/>
        <v>3783.1586659058439</v>
      </c>
      <c r="J87" s="366">
        <f t="shared" si="34"/>
        <v>1.5705319974077481</v>
      </c>
      <c r="K87" s="374">
        <f t="shared" si="35"/>
        <v>1.518074402806437</v>
      </c>
      <c r="L87" s="375">
        <f t="shared" si="36"/>
        <v>0.85166780206147175</v>
      </c>
      <c r="M87" s="363">
        <f t="shared" si="37"/>
        <v>1.0008988109278154</v>
      </c>
      <c r="N87" s="366">
        <f t="shared" si="38"/>
        <v>4.2382501723934776E-2</v>
      </c>
      <c r="O87" s="367">
        <f t="shared" si="39"/>
        <v>1.0000742868912478</v>
      </c>
      <c r="P87" s="368">
        <f t="shared" si="40"/>
        <v>1.5969527994182407E-2</v>
      </c>
      <c r="Q87" s="369">
        <f t="shared" si="41"/>
        <v>14.816452993524006</v>
      </c>
      <c r="R87" s="370">
        <f t="shared" si="42"/>
        <v>-97.147544406058344</v>
      </c>
      <c r="S87" s="372">
        <f t="shared" si="43"/>
        <v>82.852455593941656</v>
      </c>
      <c r="U87" s="345">
        <f t="shared" si="50"/>
        <v>1000000000</v>
      </c>
      <c r="V87" s="345">
        <f t="shared" si="51"/>
        <v>831762.24009999994</v>
      </c>
      <c r="X87" s="371">
        <f t="shared" si="44"/>
        <v>20.157640894434156</v>
      </c>
      <c r="Y87" s="372">
        <f t="shared" si="45"/>
        <v>-43.616222960235781</v>
      </c>
      <c r="AA87" s="371">
        <f t="shared" si="46"/>
        <v>55.219386571094724</v>
      </c>
      <c r="AB87" s="372">
        <f t="shared" si="47"/>
        <v>-53.531321445822577</v>
      </c>
      <c r="AD87">
        <f t="shared" si="52"/>
        <v>0</v>
      </c>
      <c r="AE87">
        <f t="shared" si="48"/>
        <v>0</v>
      </c>
    </row>
    <row r="88" spans="1:31" x14ac:dyDescent="0.2">
      <c r="A88" s="373">
        <v>1000</v>
      </c>
      <c r="B88" s="390">
        <f t="shared" si="49"/>
        <v>1</v>
      </c>
      <c r="C88" s="363">
        <f t="shared" si="27"/>
        <v>1.7268680018445977</v>
      </c>
      <c r="D88" s="364">
        <f t="shared" si="28"/>
        <v>0.95319279990004346</v>
      </c>
      <c r="E88" s="364">
        <f t="shared" si="29"/>
        <v>1.0000773825999778</v>
      </c>
      <c r="F88" s="365">
        <f t="shared" si="30"/>
        <v>1.2440065132599376E-2</v>
      </c>
      <c r="G88" s="364">
        <f t="shared" si="31"/>
        <v>1.0002544834057348</v>
      </c>
      <c r="H88" s="365">
        <f t="shared" si="32"/>
        <v>-2.2557901023011692E-2</v>
      </c>
      <c r="I88" s="363">
        <f t="shared" si="33"/>
        <v>4148.1547830295194</v>
      </c>
      <c r="J88" s="366">
        <f t="shared" si="34"/>
        <v>1.5705552557495785</v>
      </c>
      <c r="K88" s="374">
        <f t="shared" si="35"/>
        <v>1.602628099660635</v>
      </c>
      <c r="L88" s="375">
        <f t="shared" si="36"/>
        <v>0.89697705061395838</v>
      </c>
      <c r="M88" s="363">
        <f t="shared" si="37"/>
        <v>1.0010805122798301</v>
      </c>
      <c r="N88" s="366">
        <f t="shared" si="38"/>
        <v>4.646590693692168E-2</v>
      </c>
      <c r="O88" s="367">
        <f t="shared" si="39"/>
        <v>1.0000893123252856</v>
      </c>
      <c r="P88" s="368">
        <f t="shared" si="40"/>
        <v>1.7510142816859482E-2</v>
      </c>
      <c r="Q88" s="369">
        <f t="shared" si="41"/>
        <v>13.971019738921555</v>
      </c>
      <c r="R88" s="370">
        <f t="shared" si="42"/>
        <v>-97.452379869291519</v>
      </c>
      <c r="S88" s="372">
        <f t="shared" si="43"/>
        <v>82.547620130708481</v>
      </c>
      <c r="U88" s="345">
        <f t="shared" si="50"/>
        <v>1000000000</v>
      </c>
      <c r="V88" s="345">
        <f t="shared" si="51"/>
        <v>1000000</v>
      </c>
      <c r="X88" s="371">
        <f t="shared" si="44"/>
        <v>19.826850189006901</v>
      </c>
      <c r="Y88" s="372">
        <f t="shared" si="45"/>
        <v>-41.255488732142766</v>
      </c>
      <c r="AA88" s="371">
        <f t="shared" si="46"/>
        <v>54.704744021919531</v>
      </c>
      <c r="AB88" s="372">
        <f t="shared" si="47"/>
        <v>-56.196891137148768</v>
      </c>
      <c r="AD88">
        <f t="shared" si="52"/>
        <v>0</v>
      </c>
      <c r="AE88">
        <f t="shared" si="48"/>
        <v>0</v>
      </c>
    </row>
    <row r="89" spans="1:31" x14ac:dyDescent="0.2">
      <c r="A89" s="373">
        <v>1096.5</v>
      </c>
      <c r="B89" s="390">
        <f t="shared" si="49"/>
        <v>1.0965</v>
      </c>
      <c r="C89" s="363">
        <f t="shared" si="27"/>
        <v>1.8393125790548639</v>
      </c>
      <c r="D89" s="364">
        <f t="shared" si="28"/>
        <v>0.99597912431069646</v>
      </c>
      <c r="E89" s="364">
        <f t="shared" si="29"/>
        <v>1.0000930373196817</v>
      </c>
      <c r="F89" s="365">
        <f t="shared" si="30"/>
        <v>1.3640389068402373E-2</v>
      </c>
      <c r="G89" s="364">
        <f t="shared" si="31"/>
        <v>1.0003059606421343</v>
      </c>
      <c r="H89" s="365">
        <f t="shared" si="32"/>
        <v>-2.4733889810034899E-2</v>
      </c>
      <c r="I89" s="363">
        <f t="shared" si="33"/>
        <v>4548.451697352185</v>
      </c>
      <c r="J89" s="366">
        <f t="shared" si="34"/>
        <v>1.5705764717596902</v>
      </c>
      <c r="K89" s="374">
        <f t="shared" si="35"/>
        <v>1.69874270058527</v>
      </c>
      <c r="L89" s="375">
        <f t="shared" si="36"/>
        <v>0.94138292661613399</v>
      </c>
      <c r="M89" s="363">
        <f t="shared" si="37"/>
        <v>1.0012989713408991</v>
      </c>
      <c r="N89" s="366">
        <f t="shared" si="38"/>
        <v>5.0942453656849844E-2</v>
      </c>
      <c r="O89" s="367">
        <f t="shared" si="39"/>
        <v>1.0001073808308429</v>
      </c>
      <c r="P89" s="368">
        <f t="shared" si="40"/>
        <v>1.9199723201190167E-2</v>
      </c>
      <c r="Q89" s="369">
        <f t="shared" si="41"/>
        <v>13.127346877335807</v>
      </c>
      <c r="R89" s="370">
        <f t="shared" si="42"/>
        <v>-97.769996523803442</v>
      </c>
      <c r="S89" s="372">
        <f t="shared" si="43"/>
        <v>82.230003476196558</v>
      </c>
      <c r="U89" s="345">
        <f t="shared" si="50"/>
        <v>1000000000</v>
      </c>
      <c r="V89" s="345">
        <f t="shared" si="51"/>
        <v>1202312.25</v>
      </c>
      <c r="X89" s="371">
        <f t="shared" si="44"/>
        <v>19.530679263437595</v>
      </c>
      <c r="Y89" s="372">
        <f t="shared" si="45"/>
        <v>-38.968922270706571</v>
      </c>
      <c r="AA89" s="371">
        <f t="shared" si="46"/>
        <v>54.157242085903079</v>
      </c>
      <c r="AB89" s="372">
        <f t="shared" si="47"/>
        <v>-58.801074253096893</v>
      </c>
      <c r="AD89">
        <f t="shared" si="52"/>
        <v>0</v>
      </c>
      <c r="AE89">
        <f t="shared" si="48"/>
        <v>0</v>
      </c>
    </row>
    <row r="90" spans="1:31" x14ac:dyDescent="0.2">
      <c r="A90" s="373">
        <v>1202.3</v>
      </c>
      <c r="B90" s="390">
        <f t="shared" si="49"/>
        <v>1.2022999999999999</v>
      </c>
      <c r="C90" s="363">
        <f t="shared" si="27"/>
        <v>1.9659951135747789</v>
      </c>
      <c r="D90" s="364">
        <f t="shared" si="28"/>
        <v>1.0371822740391099</v>
      </c>
      <c r="E90" s="364">
        <f t="shared" si="29"/>
        <v>1.000111856577278</v>
      </c>
      <c r="F90" s="365">
        <f t="shared" si="30"/>
        <v>1.4956346592322072E-2</v>
      </c>
      <c r="G90" s="364">
        <f t="shared" si="31"/>
        <v>1.0003678413526571</v>
      </c>
      <c r="H90" s="365">
        <f t="shared" si="32"/>
        <v>-2.7119315330160716E-2</v>
      </c>
      <c r="I90" s="363">
        <f t="shared" si="33"/>
        <v>4987.3264509706478</v>
      </c>
      <c r="J90" s="366">
        <f t="shared" si="34"/>
        <v>1.5705958185633759</v>
      </c>
      <c r="K90" s="374">
        <f t="shared" si="35"/>
        <v>1.8075359434841178</v>
      </c>
      <c r="L90" s="375">
        <f t="shared" si="36"/>
        <v>0.9845484234454559</v>
      </c>
      <c r="M90" s="363">
        <f t="shared" si="37"/>
        <v>1.0015615324651237</v>
      </c>
      <c r="N90" s="366">
        <f t="shared" si="38"/>
        <v>5.5848065010690298E-2</v>
      </c>
      <c r="O90" s="367">
        <f t="shared" si="39"/>
        <v>1.0001291019754526</v>
      </c>
      <c r="P90" s="368">
        <f t="shared" si="40"/>
        <v>2.1052086387998617E-2</v>
      </c>
      <c r="Q90" s="369">
        <f t="shared" si="41"/>
        <v>12.286146388501651</v>
      </c>
      <c r="R90" s="370">
        <f t="shared" si="42"/>
        <v>-98.107150229308161</v>
      </c>
      <c r="S90" s="372">
        <f t="shared" si="43"/>
        <v>81.892849770691839</v>
      </c>
      <c r="U90" s="345">
        <f t="shared" si="50"/>
        <v>1000000000</v>
      </c>
      <c r="V90" s="345">
        <f t="shared" si="51"/>
        <v>1445525.2899999998</v>
      </c>
      <c r="X90" s="371">
        <f t="shared" si="44"/>
        <v>19.267504528003904</v>
      </c>
      <c r="Y90" s="372">
        <f t="shared" si="45"/>
        <v>-36.777900796002257</v>
      </c>
      <c r="AA90" s="371">
        <f t="shared" si="46"/>
        <v>53.579216332502625</v>
      </c>
      <c r="AB90" s="372">
        <f t="shared" si="47"/>
        <v>-61.32924943330589</v>
      </c>
      <c r="AD90">
        <f t="shared" si="52"/>
        <v>0</v>
      </c>
      <c r="AE90">
        <f t="shared" ref="AE90:AE153" si="53">IF(AD90&gt;0,S90,0)</f>
        <v>0</v>
      </c>
    </row>
    <row r="91" spans="1:31" x14ac:dyDescent="0.2">
      <c r="A91" s="373">
        <v>1318.3</v>
      </c>
      <c r="B91" s="390">
        <f t="shared" si="49"/>
        <v>1.3183</v>
      </c>
      <c r="C91" s="363">
        <f t="shared" si="27"/>
        <v>2.1082396320746124</v>
      </c>
      <c r="D91" s="364">
        <f t="shared" si="28"/>
        <v>1.0765942176482139</v>
      </c>
      <c r="E91" s="364">
        <f t="shared" si="29"/>
        <v>1.0001344805335968</v>
      </c>
      <c r="F91" s="365">
        <f t="shared" si="30"/>
        <v>1.6399113663912796E-2</v>
      </c>
      <c r="G91" s="364">
        <f t="shared" si="31"/>
        <v>1.0004422289920951</v>
      </c>
      <c r="H91" s="365">
        <f t="shared" si="32"/>
        <v>-2.9734359973073828E-2</v>
      </c>
      <c r="I91" s="363">
        <f t="shared" si="33"/>
        <v>5468.5123829983804</v>
      </c>
      <c r="J91" s="366">
        <f t="shared" si="34"/>
        <v>1.5706134617055385</v>
      </c>
      <c r="K91" s="374">
        <f t="shared" si="35"/>
        <v>1.9302266590538903</v>
      </c>
      <c r="L91" s="375">
        <f t="shared" si="36"/>
        <v>1.0261988119659173</v>
      </c>
      <c r="M91" s="363">
        <f t="shared" si="37"/>
        <v>1.0018770911580515</v>
      </c>
      <c r="N91" s="366">
        <f t="shared" si="38"/>
        <v>6.1223518807186905E-2</v>
      </c>
      <c r="O91" s="367">
        <f t="shared" si="39"/>
        <v>1.0001552147319965</v>
      </c>
      <c r="P91" s="368">
        <f t="shared" si="40"/>
        <v>2.308297055218558E-2</v>
      </c>
      <c r="Q91" s="369">
        <f t="shared" si="41"/>
        <v>11.447674245172308</v>
      </c>
      <c r="R91" s="370">
        <f t="shared" si="42"/>
        <v>-98.47142612526369</v>
      </c>
      <c r="S91" s="372">
        <f t="shared" si="43"/>
        <v>81.52857387473631</v>
      </c>
      <c r="U91" s="345">
        <f t="shared" si="50"/>
        <v>1000000000</v>
      </c>
      <c r="V91" s="345">
        <f t="shared" si="51"/>
        <v>1737914.89</v>
      </c>
      <c r="X91" s="371">
        <f t="shared" si="44"/>
        <v>19.035167601842453</v>
      </c>
      <c r="Y91" s="372">
        <f t="shared" si="45"/>
        <v>-34.700511009416026</v>
      </c>
      <c r="AA91" s="371">
        <f t="shared" si="46"/>
        <v>52.973081115334722</v>
      </c>
      <c r="AB91" s="372">
        <f t="shared" si="47"/>
        <v>-63.770915115847643</v>
      </c>
      <c r="AD91">
        <f t="shared" si="52"/>
        <v>0</v>
      </c>
      <c r="AE91">
        <f t="shared" si="53"/>
        <v>0</v>
      </c>
    </row>
    <row r="92" spans="1:31" x14ac:dyDescent="0.2">
      <c r="A92" s="373">
        <v>1445.4</v>
      </c>
      <c r="B92" s="390">
        <f t="shared" si="49"/>
        <v>1.4454</v>
      </c>
      <c r="C92" s="363">
        <f t="shared" si="27"/>
        <v>2.2673574419304239</v>
      </c>
      <c r="D92" s="364">
        <f t="shared" si="28"/>
        <v>1.1140368955088256</v>
      </c>
      <c r="E92" s="364">
        <f t="shared" si="29"/>
        <v>1.0001616594581735</v>
      </c>
      <c r="F92" s="365">
        <f t="shared" si="30"/>
        <v>1.7979860012076406E-2</v>
      </c>
      <c r="G92" s="364">
        <f t="shared" si="31"/>
        <v>1.000531588293307</v>
      </c>
      <c r="H92" s="365">
        <f t="shared" si="32"/>
        <v>-3.2599169058501631E-2</v>
      </c>
      <c r="I92" s="363">
        <f t="shared" si="33"/>
        <v>5995.7428325613264</v>
      </c>
      <c r="J92" s="366">
        <f t="shared" si="34"/>
        <v>1.5706295417888412</v>
      </c>
      <c r="K92" s="374">
        <f t="shared" si="35"/>
        <v>2.0680200394420813</v>
      </c>
      <c r="L92" s="375">
        <f t="shared" si="36"/>
        <v>1.0660855395943021</v>
      </c>
      <c r="M92" s="363">
        <f t="shared" si="37"/>
        <v>1.0022560605601361</v>
      </c>
      <c r="N92" s="366">
        <f t="shared" si="38"/>
        <v>6.7109272117229862E-2</v>
      </c>
      <c r="O92" s="367">
        <f t="shared" si="39"/>
        <v>1.0001865852129155</v>
      </c>
      <c r="P92" s="368">
        <f t="shared" si="40"/>
        <v>2.5308107372831023E-2</v>
      </c>
      <c r="Q92" s="369">
        <f t="shared" si="41"/>
        <v>10.612581113319914</v>
      </c>
      <c r="R92" s="370">
        <f t="shared" si="42"/>
        <v>-98.870604858071928</v>
      </c>
      <c r="S92" s="372">
        <f t="shared" si="43"/>
        <v>81.129395141928072</v>
      </c>
      <c r="U92" s="345">
        <f t="shared" si="50"/>
        <v>1000000000</v>
      </c>
      <c r="V92" s="345">
        <f t="shared" si="51"/>
        <v>2089181.1600000001</v>
      </c>
      <c r="X92" s="371">
        <f t="shared" si="44"/>
        <v>18.831335428241189</v>
      </c>
      <c r="Y92" s="372">
        <f t="shared" si="45"/>
        <v>-32.753320000324806</v>
      </c>
      <c r="AA92" s="371">
        <f t="shared" si="46"/>
        <v>52.341820157083596</v>
      </c>
      <c r="AB92" s="372">
        <f t="shared" si="47"/>
        <v>-66.117284857747137</v>
      </c>
      <c r="AD92">
        <f t="shared" si="52"/>
        <v>0</v>
      </c>
      <c r="AE92">
        <f t="shared" si="53"/>
        <v>0</v>
      </c>
    </row>
    <row r="93" spans="1:31" x14ac:dyDescent="0.2">
      <c r="A93" s="373">
        <v>1584.9</v>
      </c>
      <c r="B93" s="390">
        <f t="shared" si="49"/>
        <v>1.5849000000000002</v>
      </c>
      <c r="C93" s="363">
        <f t="shared" si="27"/>
        <v>2.4451554727117739</v>
      </c>
      <c r="D93" s="364">
        <f t="shared" si="28"/>
        <v>1.1494691223297562</v>
      </c>
      <c r="E93" s="364">
        <f t="shared" si="29"/>
        <v>1.000194366604267</v>
      </c>
      <c r="F93" s="365">
        <f t="shared" si="30"/>
        <v>1.9714721783830918E-2</v>
      </c>
      <c r="G93" s="364">
        <f t="shared" si="31"/>
        <v>1.0006391160084878</v>
      </c>
      <c r="H93" s="365">
        <f t="shared" si="32"/>
        <v>-3.5742853914216527E-2</v>
      </c>
      <c r="I93" s="363">
        <f t="shared" si="33"/>
        <v>6574.4104006391835</v>
      </c>
      <c r="J93" s="366">
        <f t="shared" si="34"/>
        <v>1.5706442218998693</v>
      </c>
      <c r="K93" s="374">
        <f t="shared" si="35"/>
        <v>2.2225478145139421</v>
      </c>
      <c r="L93" s="375">
        <f t="shared" si="36"/>
        <v>1.104104805716738</v>
      </c>
      <c r="M93" s="363">
        <f t="shared" si="37"/>
        <v>1.0027119364856825</v>
      </c>
      <c r="N93" s="366">
        <f t="shared" si="38"/>
        <v>7.3563874321813161E-2</v>
      </c>
      <c r="O93" s="367">
        <f t="shared" si="39"/>
        <v>1.0002243369779349</v>
      </c>
      <c r="P93" s="368">
        <f t="shared" si="40"/>
        <v>2.7750222569238127E-2</v>
      </c>
      <c r="Q93" s="369">
        <f t="shared" si="41"/>
        <v>9.7794422291821732</v>
      </c>
      <c r="R93" s="370">
        <f t="shared" si="42"/>
        <v>-99.31368350896112</v>
      </c>
      <c r="S93" s="372">
        <f t="shared" si="43"/>
        <v>80.68631649103888</v>
      </c>
      <c r="U93" s="345">
        <f t="shared" si="50"/>
        <v>1000000000</v>
      </c>
      <c r="V93" s="345">
        <f t="shared" si="51"/>
        <v>2511908.0100000002</v>
      </c>
      <c r="X93" s="371">
        <f t="shared" si="44"/>
        <v>18.653036672719971</v>
      </c>
      <c r="Y93" s="372">
        <f t="shared" si="45"/>
        <v>-30.945639082422097</v>
      </c>
      <c r="AA93" s="371">
        <f t="shared" si="46"/>
        <v>51.686980028467076</v>
      </c>
      <c r="AB93" s="372">
        <f t="shared" si="47"/>
        <v>-68.368044426538987</v>
      </c>
      <c r="AD93">
        <f t="shared" si="52"/>
        <v>0</v>
      </c>
      <c r="AE93">
        <f t="shared" si="53"/>
        <v>0</v>
      </c>
    </row>
    <row r="94" spans="1:31" x14ac:dyDescent="0.2">
      <c r="A94" s="373">
        <v>1737.8</v>
      </c>
      <c r="B94" s="390">
        <f t="shared" si="49"/>
        <v>1.7378</v>
      </c>
      <c r="C94" s="363">
        <f t="shared" si="27"/>
        <v>2.6430587103658092</v>
      </c>
      <c r="D94" s="364">
        <f t="shared" si="28"/>
        <v>1.1827837042406761</v>
      </c>
      <c r="E94" s="364">
        <f t="shared" si="29"/>
        <v>1.0002336732332768</v>
      </c>
      <c r="F94" s="365">
        <f t="shared" si="30"/>
        <v>2.1616093065046037E-2</v>
      </c>
      <c r="G94" s="364">
        <f t="shared" si="31"/>
        <v>1.0007683294895129</v>
      </c>
      <c r="H94" s="365">
        <f t="shared" si="32"/>
        <v>-3.9187698835156222E-2</v>
      </c>
      <c r="I94" s="363">
        <f t="shared" si="33"/>
        <v>7208.6632418430545</v>
      </c>
      <c r="J94" s="366">
        <f t="shared" si="34"/>
        <v>1.5706576048197316</v>
      </c>
      <c r="K94" s="374">
        <f t="shared" si="35"/>
        <v>2.395107215507732</v>
      </c>
      <c r="L94" s="375">
        <f t="shared" si="36"/>
        <v>1.1400843671217242</v>
      </c>
      <c r="M94" s="363">
        <f t="shared" si="37"/>
        <v>1.0032595424031234</v>
      </c>
      <c r="N94" s="366">
        <f t="shared" si="38"/>
        <v>8.0631422075746167E-2</v>
      </c>
      <c r="O94" s="367">
        <f t="shared" si="39"/>
        <v>1.0002697068199506</v>
      </c>
      <c r="P94" s="368">
        <f t="shared" si="40"/>
        <v>3.0426778348421515E-2</v>
      </c>
      <c r="Q94" s="369">
        <f t="shared" si="41"/>
        <v>8.9492806056151082</v>
      </c>
      <c r="R94" s="370">
        <f t="shared" si="42"/>
        <v>-99.808488749785269</v>
      </c>
      <c r="S94" s="372">
        <f t="shared" si="43"/>
        <v>80.191511250214731</v>
      </c>
      <c r="U94" s="345">
        <f t="shared" si="50"/>
        <v>1000000000</v>
      </c>
      <c r="V94" s="345">
        <f t="shared" si="51"/>
        <v>3019948.84</v>
      </c>
      <c r="X94" s="371">
        <f t="shared" si="44"/>
        <v>18.497812779116618</v>
      </c>
      <c r="Y94" s="372">
        <f t="shared" si="45"/>
        <v>-29.289869505925804</v>
      </c>
      <c r="AA94" s="371">
        <f t="shared" si="46"/>
        <v>51.01204229850336</v>
      </c>
      <c r="AB94" s="372">
        <f t="shared" si="47"/>
        <v>-70.518619243859433</v>
      </c>
      <c r="AD94">
        <f t="shared" si="52"/>
        <v>0</v>
      </c>
      <c r="AE94">
        <f t="shared" si="53"/>
        <v>0</v>
      </c>
    </row>
    <row r="95" spans="1:31" x14ac:dyDescent="0.2">
      <c r="A95" s="373">
        <v>1905.5</v>
      </c>
      <c r="B95" s="390">
        <f t="shared" si="49"/>
        <v>1.9055</v>
      </c>
      <c r="C95" s="363">
        <f t="shared" si="27"/>
        <v>2.8630000281579315</v>
      </c>
      <c r="D95" s="364">
        <f t="shared" si="28"/>
        <v>1.2139894971269327</v>
      </c>
      <c r="E95" s="364">
        <f t="shared" si="29"/>
        <v>1.0002809422299412</v>
      </c>
      <c r="F95" s="365">
        <f t="shared" si="30"/>
        <v>2.3701327892139072E-2</v>
      </c>
      <c r="G95" s="364">
        <f t="shared" si="31"/>
        <v>1.0009237024556881</v>
      </c>
      <c r="H95" s="365">
        <f t="shared" si="32"/>
        <v>-4.2964915776208104E-2</v>
      </c>
      <c r="I95" s="363">
        <f t="shared" si="33"/>
        <v>7904.3087726389494</v>
      </c>
      <c r="J95" s="366">
        <f t="shared" si="34"/>
        <v>1.5706698135182229</v>
      </c>
      <c r="K95" s="374">
        <f t="shared" si="35"/>
        <v>2.5874334962440226</v>
      </c>
      <c r="L95" s="375">
        <f t="shared" si="36"/>
        <v>1.1739807082397373</v>
      </c>
      <c r="M95" s="363">
        <f t="shared" si="37"/>
        <v>1.0039177100641135</v>
      </c>
      <c r="N95" s="366">
        <f t="shared" si="38"/>
        <v>8.8373777803895964E-2</v>
      </c>
      <c r="O95" s="367">
        <f t="shared" si="39"/>
        <v>1.0003242682939983</v>
      </c>
      <c r="P95" s="368">
        <f t="shared" si="40"/>
        <v>3.3362224214025266E-2</v>
      </c>
      <c r="Q95" s="369">
        <f t="shared" si="41"/>
        <v>8.1212800894158104</v>
      </c>
      <c r="R95" s="370">
        <f t="shared" si="42"/>
        <v>-100.36376759900222</v>
      </c>
      <c r="S95" s="372">
        <f t="shared" si="43"/>
        <v>79.636232400997784</v>
      </c>
      <c r="U95" s="345">
        <f t="shared" si="50"/>
        <v>1000000000</v>
      </c>
      <c r="V95" s="345">
        <f t="shared" si="51"/>
        <v>3630930.25</v>
      </c>
      <c r="X95" s="371">
        <f t="shared" si="44"/>
        <v>18.362817998898315</v>
      </c>
      <c r="Y95" s="372">
        <f t="shared" si="45"/>
        <v>-27.792056030825215</v>
      </c>
      <c r="AA95" s="371">
        <f t="shared" si="46"/>
        <v>50.319036562522363</v>
      </c>
      <c r="AB95" s="372">
        <f t="shared" si="47"/>
        <v>-72.571711568176994</v>
      </c>
      <c r="AD95">
        <f t="shared" si="52"/>
        <v>0</v>
      </c>
      <c r="AE95">
        <f t="shared" si="53"/>
        <v>0</v>
      </c>
    </row>
    <row r="96" spans="1:31" x14ac:dyDescent="0.2">
      <c r="A96" s="373">
        <v>2089.3000000000002</v>
      </c>
      <c r="B96" s="390">
        <f t="shared" si="49"/>
        <v>2.0893000000000002</v>
      </c>
      <c r="C96" s="363">
        <f t="shared" si="27"/>
        <v>3.1067820836161948</v>
      </c>
      <c r="D96" s="364">
        <f t="shared" si="28"/>
        <v>1.2430855766768358</v>
      </c>
      <c r="E96" s="364">
        <f t="shared" si="29"/>
        <v>1.0003377445851689</v>
      </c>
      <c r="F96" s="365">
        <f t="shared" si="30"/>
        <v>2.5986517775713577E-2</v>
      </c>
      <c r="G96" s="364">
        <f t="shared" si="31"/>
        <v>1.0011103893368887</v>
      </c>
      <c r="H96" s="365">
        <f t="shared" si="32"/>
        <v>-4.7103351029632444E-2</v>
      </c>
      <c r="I96" s="363">
        <f t="shared" si="33"/>
        <v>8666.7395940405295</v>
      </c>
      <c r="J96" s="366">
        <f t="shared" si="34"/>
        <v>1.5706809431501745</v>
      </c>
      <c r="K96" s="374">
        <f t="shared" si="35"/>
        <v>2.8011449655032759</v>
      </c>
      <c r="L96" s="375">
        <f t="shared" si="36"/>
        <v>1.2057453899628909</v>
      </c>
      <c r="M96" s="363">
        <f t="shared" si="37"/>
        <v>1.0047080897708229</v>
      </c>
      <c r="N96" s="366">
        <f t="shared" si="38"/>
        <v>9.6847219079964353E-2</v>
      </c>
      <c r="O96" s="367">
        <f t="shared" si="39"/>
        <v>1.0003898353922349</v>
      </c>
      <c r="P96" s="368">
        <f t="shared" si="40"/>
        <v>3.6579239346127064E-2</v>
      </c>
      <c r="Q96" s="369">
        <f t="shared" si="41"/>
        <v>7.2956902099330856</v>
      </c>
      <c r="R96" s="370">
        <f t="shared" si="42"/>
        <v>-100.98750258979096</v>
      </c>
      <c r="S96" s="372">
        <f t="shared" si="43"/>
        <v>79.012497410209036</v>
      </c>
      <c r="U96" s="345">
        <f t="shared" si="50"/>
        <v>1000000000</v>
      </c>
      <c r="V96" s="345">
        <f t="shared" si="51"/>
        <v>4365174.4900000012</v>
      </c>
      <c r="X96" s="371">
        <f t="shared" si="44"/>
        <v>18.245473097774031</v>
      </c>
      <c r="Y96" s="372">
        <f t="shared" si="45"/>
        <v>-26.458203932997044</v>
      </c>
      <c r="AA96" s="371">
        <f t="shared" si="46"/>
        <v>49.610791584163927</v>
      </c>
      <c r="AB96" s="372">
        <f t="shared" si="47"/>
        <v>-74.529298656793927</v>
      </c>
      <c r="AD96">
        <f t="shared" si="52"/>
        <v>0</v>
      </c>
      <c r="AE96">
        <f t="shared" si="53"/>
        <v>0</v>
      </c>
    </row>
    <row r="97" spans="1:31" x14ac:dyDescent="0.2">
      <c r="A97" s="373">
        <v>2290.9</v>
      </c>
      <c r="B97" s="390">
        <f t="shared" si="49"/>
        <v>2.2909000000000002</v>
      </c>
      <c r="C97" s="363">
        <f t="shared" si="27"/>
        <v>3.3767382534684769</v>
      </c>
      <c r="D97" s="364">
        <f t="shared" si="28"/>
        <v>1.2701435438896005</v>
      </c>
      <c r="E97" s="364">
        <f t="shared" si="29"/>
        <v>1.0004060543995674</v>
      </c>
      <c r="F97" s="365">
        <f t="shared" si="30"/>
        <v>2.8492702469700763E-2</v>
      </c>
      <c r="G97" s="364">
        <f t="shared" si="31"/>
        <v>1.0013348646251476</v>
      </c>
      <c r="H97" s="365">
        <f t="shared" si="32"/>
        <v>-5.1640709295850747E-2</v>
      </c>
      <c r="I97" s="363">
        <f t="shared" si="33"/>
        <v>9503.0075689224177</v>
      </c>
      <c r="J97" s="366">
        <f t="shared" si="34"/>
        <v>1.5706910969511243</v>
      </c>
      <c r="K97" s="374">
        <f t="shared" si="35"/>
        <v>3.038322063387302</v>
      </c>
      <c r="L97" s="375">
        <f t="shared" si="36"/>
        <v>1.2354152571211634</v>
      </c>
      <c r="M97" s="363">
        <f t="shared" si="37"/>
        <v>1.0056578273561687</v>
      </c>
      <c r="N97" s="366">
        <f t="shared" si="38"/>
        <v>0.1061252060002533</v>
      </c>
      <c r="O97" s="367">
        <f t="shared" si="39"/>
        <v>1.0004686877418345</v>
      </c>
      <c r="P97" s="368">
        <f t="shared" si="40"/>
        <v>4.0107478013600484E-2</v>
      </c>
      <c r="Q97" s="369">
        <f t="shared" si="41"/>
        <v>6.471465096877095</v>
      </c>
      <c r="R97" s="370">
        <f t="shared" si="42"/>
        <v>-101.68855386796302</v>
      </c>
      <c r="S97" s="372">
        <f t="shared" si="43"/>
        <v>78.311446132036977</v>
      </c>
      <c r="U97" s="345">
        <f t="shared" si="50"/>
        <v>1000000000</v>
      </c>
      <c r="V97" s="345">
        <f t="shared" si="51"/>
        <v>5248222.8100000005</v>
      </c>
      <c r="X97" s="371">
        <f t="shared" si="44"/>
        <v>18.143124212087198</v>
      </c>
      <c r="Y97" s="372">
        <f t="shared" si="45"/>
        <v>-25.290417027630411</v>
      </c>
      <c r="AA97" s="371">
        <f t="shared" si="46"/>
        <v>48.888915356794769</v>
      </c>
      <c r="AB97" s="372">
        <f t="shared" si="47"/>
        <v>-76.398136840332612</v>
      </c>
      <c r="AD97">
        <f t="shared" si="52"/>
        <v>0</v>
      </c>
      <c r="AE97">
        <f t="shared" si="53"/>
        <v>0</v>
      </c>
    </row>
    <row r="98" spans="1:31" x14ac:dyDescent="0.2">
      <c r="A98" s="373">
        <v>2511.9</v>
      </c>
      <c r="B98" s="390">
        <f t="shared" si="49"/>
        <v>2.5119000000000002</v>
      </c>
      <c r="C98" s="363">
        <f t="shared" si="27"/>
        <v>3.6750742685404454</v>
      </c>
      <c r="D98" s="364">
        <f t="shared" si="28"/>
        <v>1.2952181488436125</v>
      </c>
      <c r="E98" s="364">
        <f t="shared" si="29"/>
        <v>1.0004881562157422</v>
      </c>
      <c r="F98" s="365">
        <f t="shared" si="30"/>
        <v>3.123964526106476E-2</v>
      </c>
      <c r="G98" s="364">
        <f t="shared" si="31"/>
        <v>1.0016046160015082</v>
      </c>
      <c r="H98" s="365">
        <f t="shared" si="32"/>
        <v>-5.6612247349430878E-2</v>
      </c>
      <c r="I98" s="363">
        <f t="shared" si="33"/>
        <v>10419.749744704468</v>
      </c>
      <c r="J98" s="366">
        <f t="shared" si="34"/>
        <v>1.5707003551999892</v>
      </c>
      <c r="K98" s="374">
        <f t="shared" si="35"/>
        <v>3.300931393717494</v>
      </c>
      <c r="L98" s="375">
        <f t="shared" si="36"/>
        <v>1.2630151790581132</v>
      </c>
      <c r="M98" s="363">
        <f t="shared" si="37"/>
        <v>1.0067982206138764</v>
      </c>
      <c r="N98" s="366">
        <f t="shared" si="38"/>
        <v>0.11627492894490245</v>
      </c>
      <c r="O98" s="367">
        <f t="shared" si="39"/>
        <v>1.0005634637951795</v>
      </c>
      <c r="P98" s="368">
        <f t="shared" si="40"/>
        <v>4.397480962325815E-2</v>
      </c>
      <c r="Q98" s="369">
        <f t="shared" si="41"/>
        <v>5.648605788851019</v>
      </c>
      <c r="R98" s="370">
        <f t="shared" si="42"/>
        <v>-102.47497230920843</v>
      </c>
      <c r="S98" s="372">
        <f t="shared" si="43"/>
        <v>77.525027690791575</v>
      </c>
      <c r="U98" s="345">
        <f t="shared" si="50"/>
        <v>1000000000</v>
      </c>
      <c r="V98" s="345">
        <f t="shared" si="51"/>
        <v>6309641.6100000003</v>
      </c>
      <c r="X98" s="371">
        <f t="shared" si="44"/>
        <v>18.053409738435448</v>
      </c>
      <c r="Y98" s="372">
        <f t="shared" si="45"/>
        <v>-24.291124731151928</v>
      </c>
      <c r="AA98" s="371">
        <f t="shared" si="46"/>
        <v>48.15577052242044</v>
      </c>
      <c r="AB98" s="372">
        <f t="shared" si="47"/>
        <v>-78.183847578056501</v>
      </c>
      <c r="AD98">
        <f t="shared" si="52"/>
        <v>0</v>
      </c>
      <c r="AE98">
        <f t="shared" si="53"/>
        <v>0</v>
      </c>
    </row>
    <row r="99" spans="1:31" x14ac:dyDescent="0.2">
      <c r="A99" s="373">
        <v>2754.2</v>
      </c>
      <c r="B99" s="390">
        <f t="shared" si="49"/>
        <v>2.7542</v>
      </c>
      <c r="C99" s="363">
        <f t="shared" si="27"/>
        <v>4.0044036558806217</v>
      </c>
      <c r="D99" s="364">
        <f t="shared" si="28"/>
        <v>1.318400003417892</v>
      </c>
      <c r="E99" s="364">
        <f t="shared" si="29"/>
        <v>1.0005868453332907</v>
      </c>
      <c r="F99" s="365">
        <f t="shared" si="30"/>
        <v>3.4250795243227529E-2</v>
      </c>
      <c r="G99" s="364">
        <f t="shared" si="31"/>
        <v>1.0019287993073853</v>
      </c>
      <c r="H99" s="365">
        <f t="shared" si="32"/>
        <v>-6.2059716067803271E-2</v>
      </c>
      <c r="I99" s="363">
        <f t="shared" si="33"/>
        <v>11424.847615205226</v>
      </c>
      <c r="J99" s="366">
        <f t="shared" si="34"/>
        <v>1.5707087982750461</v>
      </c>
      <c r="K99" s="374">
        <f t="shared" si="35"/>
        <v>3.5912964707507915</v>
      </c>
      <c r="L99" s="375">
        <f t="shared" si="36"/>
        <v>1.2886154075812783</v>
      </c>
      <c r="M99" s="363">
        <f t="shared" si="37"/>
        <v>1.0081674277025172</v>
      </c>
      <c r="N99" s="366">
        <f t="shared" si="38"/>
        <v>0.12737521999993542</v>
      </c>
      <c r="O99" s="367">
        <f t="shared" si="39"/>
        <v>1.0006773922839094</v>
      </c>
      <c r="P99" s="368">
        <f t="shared" si="40"/>
        <v>4.8214308434965485E-2</v>
      </c>
      <c r="Q99" s="369">
        <f t="shared" si="41"/>
        <v>4.8264780521351831</v>
      </c>
      <c r="R99" s="370">
        <f t="shared" si="42"/>
        <v>-103.35538944134099</v>
      </c>
      <c r="S99" s="372">
        <f t="shared" si="43"/>
        <v>76.644610558659011</v>
      </c>
      <c r="U99" s="345">
        <f t="shared" si="50"/>
        <v>1000000000</v>
      </c>
      <c r="V99" s="345">
        <f t="shared" si="51"/>
        <v>7585617.6399999987</v>
      </c>
      <c r="X99" s="371">
        <f t="shared" si="44"/>
        <v>17.974037944746943</v>
      </c>
      <c r="Y99" s="372">
        <f t="shared" si="45"/>
        <v>-23.460823262642453</v>
      </c>
      <c r="AA99" s="371">
        <f t="shared" si="46"/>
        <v>47.413014579393113</v>
      </c>
      <c r="AB99" s="372">
        <f t="shared" si="47"/>
        <v>-79.894566178698554</v>
      </c>
      <c r="AD99">
        <f t="shared" si="52"/>
        <v>0</v>
      </c>
      <c r="AE99">
        <f t="shared" si="53"/>
        <v>0</v>
      </c>
    </row>
    <row r="100" spans="1:31" x14ac:dyDescent="0.2">
      <c r="A100" s="373">
        <v>3020</v>
      </c>
      <c r="B100" s="390">
        <f t="shared" si="49"/>
        <v>3.02</v>
      </c>
      <c r="C100" s="363">
        <f t="shared" si="27"/>
        <v>4.3677567998786824</v>
      </c>
      <c r="D100" s="364">
        <f t="shared" si="28"/>
        <v>1.3397969425601375</v>
      </c>
      <c r="E100" s="364">
        <f t="shared" si="29"/>
        <v>1.0007055386792059</v>
      </c>
      <c r="F100" s="365">
        <f t="shared" si="30"/>
        <v>3.7553271711251453E-2</v>
      </c>
      <c r="G100" s="364">
        <f t="shared" si="31"/>
        <v>1.0023185978324864</v>
      </c>
      <c r="H100" s="365">
        <f t="shared" si="32"/>
        <v>-6.8031268767359251E-2</v>
      </c>
      <c r="I100" s="363">
        <f t="shared" si="33"/>
        <v>12527.427120644295</v>
      </c>
      <c r="J100" s="366">
        <f t="shared" si="34"/>
        <v>1.5707165019440767</v>
      </c>
      <c r="K100" s="374">
        <f t="shared" si="35"/>
        <v>3.9121079762994362</v>
      </c>
      <c r="L100" s="375">
        <f t="shared" si="36"/>
        <v>1.3123108200379188</v>
      </c>
      <c r="M100" s="363">
        <f t="shared" si="37"/>
        <v>1.0098118916525125</v>
      </c>
      <c r="N100" s="366">
        <f t="shared" si="38"/>
        <v>0.13951580565811283</v>
      </c>
      <c r="O100" s="367">
        <f t="shared" si="39"/>
        <v>1.000814420543966</v>
      </c>
      <c r="P100" s="368">
        <f t="shared" si="40"/>
        <v>5.2864237285714537E-2</v>
      </c>
      <c r="Q100" s="369">
        <f t="shared" si="41"/>
        <v>4.004091341336248</v>
      </c>
      <c r="R100" s="370">
        <f t="shared" si="42"/>
        <v>-104.33909043042914</v>
      </c>
      <c r="S100" s="372">
        <f t="shared" si="43"/>
        <v>75.660909569570862</v>
      </c>
      <c r="U100" s="345">
        <f t="shared" si="50"/>
        <v>1000000000</v>
      </c>
      <c r="V100" s="345">
        <f t="shared" si="51"/>
        <v>9120400</v>
      </c>
      <c r="X100" s="371">
        <f t="shared" si="44"/>
        <v>17.90284368197635</v>
      </c>
      <c r="Y100" s="372">
        <f t="shared" si="45"/>
        <v>-22.799221841052091</v>
      </c>
      <c r="AA100" s="371">
        <f t="shared" si="46"/>
        <v>46.661822131364772</v>
      </c>
      <c r="AB100" s="372">
        <f t="shared" si="47"/>
        <v>-81.539868589377022</v>
      </c>
      <c r="AD100">
        <f t="shared" si="52"/>
        <v>0</v>
      </c>
      <c r="AE100">
        <f t="shared" si="53"/>
        <v>0</v>
      </c>
    </row>
    <row r="101" spans="1:31" x14ac:dyDescent="0.2">
      <c r="A101" s="373">
        <v>3311.3</v>
      </c>
      <c r="B101" s="390">
        <f t="shared" si="49"/>
        <v>3.3113000000000001</v>
      </c>
      <c r="C101" s="363">
        <f t="shared" si="27"/>
        <v>4.767898081503299</v>
      </c>
      <c r="D101" s="364">
        <f t="shared" si="28"/>
        <v>1.3594913528543076</v>
      </c>
      <c r="E101" s="364">
        <f t="shared" si="29"/>
        <v>1.0008481507379128</v>
      </c>
      <c r="F101" s="365">
        <f t="shared" si="30"/>
        <v>4.1171633561579914E-2</v>
      </c>
      <c r="G101" s="364">
        <f t="shared" si="31"/>
        <v>1.0027868080533979</v>
      </c>
      <c r="H101" s="365">
        <f t="shared" si="32"/>
        <v>-7.4570121240644258E-2</v>
      </c>
      <c r="I101" s="363">
        <f t="shared" si="33"/>
        <v>13735.784570317641</v>
      </c>
      <c r="J101" s="366">
        <f t="shared" si="34"/>
        <v>1.5707235242552409</v>
      </c>
      <c r="K101" s="374">
        <f t="shared" si="35"/>
        <v>4.2658213782593286</v>
      </c>
      <c r="L101" s="375">
        <f t="shared" si="36"/>
        <v>1.3341729427396245</v>
      </c>
      <c r="M101" s="363">
        <f t="shared" si="37"/>
        <v>1.0117844651793342</v>
      </c>
      <c r="N101" s="366">
        <f t="shared" si="38"/>
        <v>0.15277361759949509</v>
      </c>
      <c r="O101" s="367">
        <f t="shared" si="39"/>
        <v>1.0009790717448737</v>
      </c>
      <c r="P101" s="368">
        <f t="shared" si="40"/>
        <v>5.795928148971511E-2</v>
      </c>
      <c r="Q101" s="369">
        <f t="shared" si="41"/>
        <v>3.1816408236385589</v>
      </c>
      <c r="R101" s="370">
        <f t="shared" si="42"/>
        <v>-105.43416499426672</v>
      </c>
      <c r="S101" s="372">
        <f t="shared" si="43"/>
        <v>74.565835005733277</v>
      </c>
      <c r="U101" s="345">
        <f t="shared" si="50"/>
        <v>1000000000</v>
      </c>
      <c r="V101" s="345">
        <f t="shared" si="51"/>
        <v>10964707.690000001</v>
      </c>
      <c r="X101" s="371">
        <f t="shared" si="44"/>
        <v>17.837898103591499</v>
      </c>
      <c r="Y101" s="372">
        <f t="shared" si="45"/>
        <v>-22.306633497095831</v>
      </c>
      <c r="AA101" s="371">
        <f t="shared" si="46"/>
        <v>45.904317192051927</v>
      </c>
      <c r="AB101" s="372">
        <f t="shared" si="47"/>
        <v>-83.127531497170907</v>
      </c>
      <c r="AD101">
        <f t="shared" si="52"/>
        <v>0</v>
      </c>
      <c r="AE101">
        <f t="shared" si="53"/>
        <v>0</v>
      </c>
    </row>
    <row r="102" spans="1:31" x14ac:dyDescent="0.2">
      <c r="A102" s="373">
        <v>3630.8</v>
      </c>
      <c r="B102" s="390">
        <f t="shared" si="49"/>
        <v>3.6308000000000002</v>
      </c>
      <c r="C102" s="363">
        <f t="shared" si="27"/>
        <v>5.2085595057602108</v>
      </c>
      <c r="D102" s="364">
        <f t="shared" si="28"/>
        <v>1.3776051646849894</v>
      </c>
      <c r="E102" s="364">
        <f t="shared" si="29"/>
        <v>1.0010196319141629</v>
      </c>
      <c r="F102" s="365">
        <f t="shared" si="30"/>
        <v>4.5139036164888277E-2</v>
      </c>
      <c r="G102" s="364">
        <f t="shared" si="31"/>
        <v>1.0033495975576121</v>
      </c>
      <c r="H102" s="365">
        <f t="shared" si="32"/>
        <v>-8.1734623853922245E-2</v>
      </c>
      <c r="I102" s="363">
        <f t="shared" si="33"/>
        <v>15061.119981781267</v>
      </c>
      <c r="J102" s="366">
        <f t="shared" si="34"/>
        <v>1.5707299306701765</v>
      </c>
      <c r="K102" s="374">
        <f t="shared" si="35"/>
        <v>4.6557472054314957</v>
      </c>
      <c r="L102" s="375">
        <f t="shared" si="36"/>
        <v>1.3543212671847094</v>
      </c>
      <c r="M102" s="363">
        <f t="shared" si="37"/>
        <v>1.014151639566635</v>
      </c>
      <c r="N102" s="366">
        <f t="shared" si="38"/>
        <v>0.16725274094543133</v>
      </c>
      <c r="O102" s="367">
        <f t="shared" si="39"/>
        <v>1.0011770671069624</v>
      </c>
      <c r="P102" s="368">
        <f t="shared" si="40"/>
        <v>6.3546267094843664E-2</v>
      </c>
      <c r="Q102" s="369">
        <f t="shared" si="41"/>
        <v>2.3578317720288586</v>
      </c>
      <c r="R102" s="370">
        <f t="shared" si="42"/>
        <v>-106.65084676142138</v>
      </c>
      <c r="S102" s="372">
        <f t="shared" si="43"/>
        <v>73.349153238578623</v>
      </c>
      <c r="U102" s="345">
        <f t="shared" si="50"/>
        <v>1000000000</v>
      </c>
      <c r="V102" s="345">
        <f t="shared" si="51"/>
        <v>13182708.640000001</v>
      </c>
      <c r="X102" s="371">
        <f t="shared" si="44"/>
        <v>17.777258849997011</v>
      </c>
      <c r="Y102" s="372">
        <f t="shared" si="45"/>
        <v>-21.98217926107057</v>
      </c>
      <c r="AA102" s="371">
        <f t="shared" si="46"/>
        <v>45.141147394036722</v>
      </c>
      <c r="AB102" s="372">
        <f t="shared" si="47"/>
        <v>-84.668667500350836</v>
      </c>
      <c r="AD102">
        <f t="shared" si="52"/>
        <v>0</v>
      </c>
      <c r="AE102">
        <f t="shared" si="53"/>
        <v>0</v>
      </c>
    </row>
    <row r="103" spans="1:31" x14ac:dyDescent="0.2">
      <c r="A103" s="373">
        <v>3981.1</v>
      </c>
      <c r="B103" s="390">
        <f t="shared" si="49"/>
        <v>3.9811000000000001</v>
      </c>
      <c r="C103" s="363">
        <f t="shared" si="27"/>
        <v>5.6933459491728087</v>
      </c>
      <c r="D103" s="364">
        <f t="shared" si="28"/>
        <v>1.3942367936747375</v>
      </c>
      <c r="E103" s="364">
        <f t="shared" si="29"/>
        <v>1.0012257452196012</v>
      </c>
      <c r="F103" s="365">
        <f t="shared" si="30"/>
        <v>4.9487260684289679E-2</v>
      </c>
      <c r="G103" s="364">
        <f t="shared" si="31"/>
        <v>1.0040257573536955</v>
      </c>
      <c r="H103" s="365">
        <f t="shared" si="32"/>
        <v>-8.9580109240295219E-2</v>
      </c>
      <c r="I103" s="363">
        <f t="shared" si="33"/>
        <v>16514.21855713179</v>
      </c>
      <c r="J103" s="366">
        <f t="shared" si="34"/>
        <v>1.5707357729153926</v>
      </c>
      <c r="K103" s="374">
        <f t="shared" si="35"/>
        <v>5.0850845463236709</v>
      </c>
      <c r="L103" s="375">
        <f t="shared" si="36"/>
        <v>1.3728526646800283</v>
      </c>
      <c r="M103" s="363">
        <f t="shared" si="37"/>
        <v>1.0169901287521612</v>
      </c>
      <c r="N103" s="366">
        <f t="shared" si="38"/>
        <v>0.18304650671370981</v>
      </c>
      <c r="O103" s="367">
        <f t="shared" si="39"/>
        <v>1.0014150690758072</v>
      </c>
      <c r="P103" s="368">
        <f t="shared" si="40"/>
        <v>6.9670133316844615E-2</v>
      </c>
      <c r="Q103" s="369">
        <f t="shared" si="41"/>
        <v>1.5322917871556352</v>
      </c>
      <c r="R103" s="370">
        <f t="shared" si="42"/>
        <v>-107.99849887903163</v>
      </c>
      <c r="S103" s="372">
        <f t="shared" si="43"/>
        <v>72.001501120968371</v>
      </c>
      <c r="U103" s="345">
        <f t="shared" si="50"/>
        <v>1000000000</v>
      </c>
      <c r="V103" s="345">
        <f t="shared" si="51"/>
        <v>15849157.209999999</v>
      </c>
      <c r="X103" s="371">
        <f t="shared" si="44"/>
        <v>17.719142583381412</v>
      </c>
      <c r="Y103" s="372">
        <f t="shared" si="45"/>
        <v>-21.825659253064938</v>
      </c>
      <c r="AA103" s="371">
        <f t="shared" si="46"/>
        <v>44.37372367577909</v>
      </c>
      <c r="AB103" s="372">
        <f t="shared" si="47"/>
        <v>-86.172839625966702</v>
      </c>
      <c r="AD103">
        <f t="shared" si="52"/>
        <v>0</v>
      </c>
      <c r="AE103">
        <f t="shared" si="53"/>
        <v>0</v>
      </c>
    </row>
    <row r="104" spans="1:31" x14ac:dyDescent="0.2">
      <c r="A104" s="373">
        <v>4365.2</v>
      </c>
      <c r="B104" s="390">
        <f t="shared" si="49"/>
        <v>4.3651999999999997</v>
      </c>
      <c r="C104" s="363">
        <f t="shared" si="27"/>
        <v>6.2264231657936779</v>
      </c>
      <c r="D104" s="364">
        <f t="shared" si="28"/>
        <v>1.4094918838089112</v>
      </c>
      <c r="E104" s="364">
        <f t="shared" si="29"/>
        <v>1.0014734946595409</v>
      </c>
      <c r="F104" s="365">
        <f t="shared" si="30"/>
        <v>5.4252882126992613E-2</v>
      </c>
      <c r="G104" s="364">
        <f t="shared" si="31"/>
        <v>1.0048380873987448</v>
      </c>
      <c r="H104" s="365">
        <f t="shared" si="32"/>
        <v>-9.8169869951231142E-2</v>
      </c>
      <c r="I104" s="363">
        <f t="shared" si="33"/>
        <v>18107.524760331624</v>
      </c>
      <c r="J104" s="366">
        <f t="shared" si="34"/>
        <v>1.5707411011351919</v>
      </c>
      <c r="K104" s="374">
        <f t="shared" si="35"/>
        <v>5.5575297745207113</v>
      </c>
      <c r="L104" s="375">
        <f t="shared" si="36"/>
        <v>1.3898748788646995</v>
      </c>
      <c r="M104" s="363">
        <f t="shared" si="37"/>
        <v>1.020392330042259</v>
      </c>
      <c r="N104" s="366">
        <f t="shared" si="38"/>
        <v>0.20025841258566052</v>
      </c>
      <c r="O104" s="367">
        <f t="shared" si="39"/>
        <v>1.0017011773551208</v>
      </c>
      <c r="P104" s="368">
        <f t="shared" si="40"/>
        <v>7.6382633369819181E-2</v>
      </c>
      <c r="Q104" s="369">
        <f t="shared" si="41"/>
        <v>0.70420531002888465</v>
      </c>
      <c r="R104" s="370">
        <f t="shared" si="42"/>
        <v>-109.48742994246625</v>
      </c>
      <c r="S104" s="372">
        <f t="shared" si="43"/>
        <v>70.51257005753375</v>
      </c>
      <c r="U104" s="345">
        <f t="shared" si="50"/>
        <v>1000000000</v>
      </c>
      <c r="V104" s="345">
        <f t="shared" si="51"/>
        <v>19054971.039999999</v>
      </c>
      <c r="X104" s="371">
        <f t="shared" si="44"/>
        <v>17.661784830096828</v>
      </c>
      <c r="Y104" s="372">
        <f t="shared" si="45"/>
        <v>-21.83683307067437</v>
      </c>
      <c r="AA104" s="371">
        <f t="shared" si="46"/>
        <v>43.602994951936928</v>
      </c>
      <c r="AB104" s="372">
        <f t="shared" si="47"/>
        <v>-87.650596871791876</v>
      </c>
      <c r="AD104">
        <f t="shared" si="52"/>
        <v>4365.2</v>
      </c>
      <c r="AE104">
        <f t="shared" si="53"/>
        <v>70.51257005753375</v>
      </c>
    </row>
    <row r="105" spans="1:31" x14ac:dyDescent="0.2">
      <c r="A105" s="373">
        <v>4786.3</v>
      </c>
      <c r="B105" s="390">
        <f t="shared" si="49"/>
        <v>4.7862999999999998</v>
      </c>
      <c r="C105" s="363">
        <f t="shared" si="27"/>
        <v>6.8122429411209007</v>
      </c>
      <c r="D105" s="364">
        <f t="shared" si="28"/>
        <v>1.4234694145284315</v>
      </c>
      <c r="E105" s="364">
        <f t="shared" si="29"/>
        <v>1.0017712322253978</v>
      </c>
      <c r="F105" s="365">
        <f t="shared" si="30"/>
        <v>5.9474730508047143E-2</v>
      </c>
      <c r="G105" s="364">
        <f t="shared" si="31"/>
        <v>1.0058137179198916</v>
      </c>
      <c r="H105" s="365">
        <f t="shared" si="32"/>
        <v>-0.10757035700152812</v>
      </c>
      <c r="I105" s="363">
        <f t="shared" si="33"/>
        <v>19854.312686278463</v>
      </c>
      <c r="J105" s="366">
        <f t="shared" si="34"/>
        <v>1.5707459599040239</v>
      </c>
      <c r="K105" s="374">
        <f t="shared" si="35"/>
        <v>6.0770338045922996</v>
      </c>
      <c r="L105" s="375">
        <f t="shared" si="36"/>
        <v>1.4054905332355365</v>
      </c>
      <c r="M105" s="363">
        <f t="shared" si="37"/>
        <v>1.0244671490741881</v>
      </c>
      <c r="N105" s="366">
        <f t="shared" si="38"/>
        <v>0.21899077508041792</v>
      </c>
      <c r="O105" s="367">
        <f t="shared" si="39"/>
        <v>1.0020450545121935</v>
      </c>
      <c r="P105" s="368">
        <f t="shared" si="40"/>
        <v>8.3738779376147696E-2</v>
      </c>
      <c r="Q105" s="369">
        <f t="shared" si="41"/>
        <v>-0.12712995247175082</v>
      </c>
      <c r="R105" s="370">
        <f t="shared" si="42"/>
        <v>-111.12803055050873</v>
      </c>
      <c r="S105" s="372">
        <f t="shared" si="43"/>
        <v>68.871969449491274</v>
      </c>
      <c r="U105" s="345">
        <f t="shared" si="50"/>
        <v>4786.3</v>
      </c>
      <c r="V105" s="345">
        <f t="shared" si="51"/>
        <v>22908667.690000001</v>
      </c>
      <c r="X105" s="371">
        <f t="shared" si="44"/>
        <v>17.603449495566565</v>
      </c>
      <c r="Y105" s="372">
        <f t="shared" si="45"/>
        <v>-22.015685679301207</v>
      </c>
      <c r="AA105" s="371">
        <f t="shared" si="46"/>
        <v>42.829995023966561</v>
      </c>
      <c r="AB105" s="372">
        <f t="shared" si="47"/>
        <v>-89.112344871207526</v>
      </c>
      <c r="AD105">
        <f t="shared" si="52"/>
        <v>0</v>
      </c>
      <c r="AE105">
        <f t="shared" si="53"/>
        <v>0</v>
      </c>
    </row>
    <row r="106" spans="1:31" x14ac:dyDescent="0.2">
      <c r="A106" s="373">
        <v>5248.1</v>
      </c>
      <c r="B106" s="390">
        <f t="shared" si="49"/>
        <v>5.2481</v>
      </c>
      <c r="C106" s="363">
        <f t="shared" si="27"/>
        <v>7.4559610044491018</v>
      </c>
      <c r="D106" s="364">
        <f t="shared" si="28"/>
        <v>1.4362700599199656</v>
      </c>
      <c r="E106" s="364">
        <f t="shared" si="29"/>
        <v>1.002129130273834</v>
      </c>
      <c r="F106" s="365">
        <f t="shared" si="30"/>
        <v>6.5197537706739792E-2</v>
      </c>
      <c r="G106" s="364">
        <f t="shared" si="31"/>
        <v>1.006985615287558</v>
      </c>
      <c r="H106" s="365">
        <f t="shared" si="32"/>
        <v>-0.1178574609336054</v>
      </c>
      <c r="I106" s="363">
        <f t="shared" si="33"/>
        <v>21769.930507202203</v>
      </c>
      <c r="J106" s="366">
        <f t="shared" si="34"/>
        <v>1.5707503918756271</v>
      </c>
      <c r="K106" s="374">
        <f t="shared" si="35"/>
        <v>6.6481730203135179</v>
      </c>
      <c r="L106" s="375">
        <f t="shared" si="36"/>
        <v>1.4198060009822975</v>
      </c>
      <c r="M106" s="363">
        <f t="shared" si="37"/>
        <v>1.0293455643782803</v>
      </c>
      <c r="N106" s="366">
        <f t="shared" si="38"/>
        <v>0.2393551857879215</v>
      </c>
      <c r="O106" s="367">
        <f t="shared" si="39"/>
        <v>1.002458474497806</v>
      </c>
      <c r="P106" s="368">
        <f t="shared" si="40"/>
        <v>9.1802006498395122E-2</v>
      </c>
      <c r="Q106" s="369">
        <f t="shared" si="41"/>
        <v>-0.96285965067561552</v>
      </c>
      <c r="R106" s="370">
        <f t="shared" si="42"/>
        <v>-112.93179016661054</v>
      </c>
      <c r="S106" s="372">
        <f t="shared" si="43"/>
        <v>67.06820983338946</v>
      </c>
      <c r="U106" s="345">
        <f t="shared" si="50"/>
        <v>5248.1</v>
      </c>
      <c r="V106" s="345">
        <f t="shared" si="51"/>
        <v>27542553.610000003</v>
      </c>
      <c r="X106" s="371">
        <f t="shared" si="44"/>
        <v>17.542355800725431</v>
      </c>
      <c r="Y106" s="372">
        <f t="shared" si="45"/>
        <v>-22.362518515131235</v>
      </c>
      <c r="AA106" s="371">
        <f t="shared" si="46"/>
        <v>42.055359020603824</v>
      </c>
      <c r="AB106" s="372">
        <f t="shared" si="47"/>
        <v>-90.569271651479298</v>
      </c>
      <c r="AD106">
        <f t="shared" si="52"/>
        <v>0</v>
      </c>
      <c r="AE106">
        <f t="shared" si="53"/>
        <v>0</v>
      </c>
    </row>
    <row r="107" spans="1:31" x14ac:dyDescent="0.2">
      <c r="A107" s="373">
        <v>5370.3</v>
      </c>
      <c r="B107" s="390">
        <f t="shared" si="49"/>
        <v>5.3703000000000003</v>
      </c>
      <c r="C107" s="363">
        <f t="shared" si="27"/>
        <v>7.6264821558845179</v>
      </c>
      <c r="D107" s="364">
        <f t="shared" si="28"/>
        <v>1.4392956063038123</v>
      </c>
      <c r="E107" s="364">
        <f t="shared" si="29"/>
        <v>1.0022293250342365</v>
      </c>
      <c r="F107" s="365">
        <f t="shared" si="30"/>
        <v>6.6711188306635832E-2</v>
      </c>
      <c r="G107" s="364">
        <f t="shared" si="31"/>
        <v>1.0073135225543564</v>
      </c>
      <c r="H107" s="365">
        <f t="shared" si="32"/>
        <v>-0.12057550297673979</v>
      </c>
      <c r="I107" s="363">
        <f t="shared" si="33"/>
        <v>22276.835006436351</v>
      </c>
      <c r="J107" s="366">
        <f t="shared" si="34"/>
        <v>1.5707514371146505</v>
      </c>
      <c r="K107" s="374">
        <f t="shared" si="35"/>
        <v>6.7995097429676976</v>
      </c>
      <c r="L107" s="375">
        <f t="shared" si="36"/>
        <v>1.423191501370501</v>
      </c>
      <c r="M107" s="363">
        <f t="shared" si="37"/>
        <v>1.0307074673147412</v>
      </c>
      <c r="N107" s="366">
        <f t="shared" si="38"/>
        <v>0.24471097895745259</v>
      </c>
      <c r="O107" s="367">
        <f t="shared" si="39"/>
        <v>1.0025742244388649</v>
      </c>
      <c r="P107" s="368">
        <f t="shared" si="40"/>
        <v>9.3934941154466378E-2</v>
      </c>
      <c r="Q107" s="369">
        <f t="shared" si="41"/>
        <v>-1.1724864669238684</v>
      </c>
      <c r="R107" s="370">
        <f t="shared" si="42"/>
        <v>-113.40930525458072</v>
      </c>
      <c r="S107" s="372">
        <f t="shared" si="43"/>
        <v>66.590694745419285</v>
      </c>
      <c r="U107" s="345">
        <f t="shared" si="50"/>
        <v>5370.3</v>
      </c>
      <c r="V107" s="345">
        <f t="shared" si="51"/>
        <v>28840122.090000004</v>
      </c>
      <c r="X107" s="371">
        <f t="shared" si="44"/>
        <v>17.526448126428885</v>
      </c>
      <c r="Y107" s="372">
        <f t="shared" si="45"/>
        <v>-22.475467863820082</v>
      </c>
      <c r="AA107" s="371">
        <f t="shared" si="46"/>
        <v>41.861639878652113</v>
      </c>
      <c r="AB107" s="372">
        <f t="shared" si="47"/>
        <v>-90.933837390760644</v>
      </c>
      <c r="AD107">
        <f t="shared" si="52"/>
        <v>0</v>
      </c>
      <c r="AE107">
        <f t="shared" si="53"/>
        <v>0</v>
      </c>
    </row>
    <row r="108" spans="1:31" x14ac:dyDescent="0.2">
      <c r="A108" s="373">
        <v>5432.85</v>
      </c>
      <c r="B108" s="390">
        <f t="shared" si="49"/>
        <v>5.4328500000000002</v>
      </c>
      <c r="C108" s="363">
        <f t="shared" si="27"/>
        <v>7.7137922104484629</v>
      </c>
      <c r="D108" s="364">
        <f t="shared" si="28"/>
        <v>1.4407925143234825</v>
      </c>
      <c r="E108" s="364">
        <f t="shared" si="29"/>
        <v>1.0022814996705725</v>
      </c>
      <c r="F108" s="365">
        <f t="shared" si="30"/>
        <v>6.7485856269183464E-2</v>
      </c>
      <c r="G108" s="364">
        <f t="shared" si="31"/>
        <v>1.0074842451401602</v>
      </c>
      <c r="H108" s="365">
        <f t="shared" si="32"/>
        <v>-0.12196608588398107</v>
      </c>
      <c r="I108" s="363">
        <f t="shared" si="33"/>
        <v>22536.302080316935</v>
      </c>
      <c r="J108" s="366">
        <f t="shared" si="34"/>
        <v>1.5707519539427417</v>
      </c>
      <c r="K108" s="374">
        <f t="shared" si="35"/>
        <v>6.8770029864990301</v>
      </c>
      <c r="L108" s="375">
        <f t="shared" si="36"/>
        <v>1.4248667584047492</v>
      </c>
      <c r="M108" s="363">
        <f t="shared" si="37"/>
        <v>1.031415995817907</v>
      </c>
      <c r="N108" s="366">
        <f t="shared" si="38"/>
        <v>0.24744691351931372</v>
      </c>
      <c r="O108" s="367">
        <f t="shared" si="39"/>
        <v>1.0026345011725926</v>
      </c>
      <c r="P108" s="368">
        <f t="shared" si="40"/>
        <v>9.5026594346698051E-2</v>
      </c>
      <c r="Q108" s="369">
        <f t="shared" si="41"/>
        <v>-1.2780779545387408</v>
      </c>
      <c r="R108" s="370">
        <f t="shared" si="42"/>
        <v>-113.65371017200818</v>
      </c>
      <c r="S108" s="372">
        <f t="shared" si="43"/>
        <v>66.346289827991825</v>
      </c>
      <c r="U108" s="345">
        <f t="shared" si="50"/>
        <v>5432.85</v>
      </c>
      <c r="V108" s="345">
        <f t="shared" si="51"/>
        <v>29515859.122500002</v>
      </c>
      <c r="X108" s="371">
        <f t="shared" si="44"/>
        <v>17.518328235410912</v>
      </c>
      <c r="Y108" s="372">
        <f t="shared" si="45"/>
        <v>-22.536269821714512</v>
      </c>
      <c r="AA108" s="371">
        <f t="shared" si="46"/>
        <v>41.764168282055216</v>
      </c>
      <c r="AB108" s="372">
        <f t="shared" si="47"/>
        <v>-91.117440350293691</v>
      </c>
      <c r="AD108">
        <f t="shared" si="52"/>
        <v>0</v>
      </c>
      <c r="AE108">
        <f t="shared" si="53"/>
        <v>0</v>
      </c>
    </row>
    <row r="109" spans="1:31" x14ac:dyDescent="0.2">
      <c r="A109" s="373">
        <v>5495.4</v>
      </c>
      <c r="B109" s="390">
        <f t="shared" si="49"/>
        <v>5.4954000000000001</v>
      </c>
      <c r="C109" s="363">
        <f t="shared" si="27"/>
        <v>7.8011191626465219</v>
      </c>
      <c r="D109" s="364">
        <f t="shared" si="28"/>
        <v>1.4422559123147518</v>
      </c>
      <c r="E109" s="364">
        <f t="shared" si="29"/>
        <v>1.0023342757236842</v>
      </c>
      <c r="F109" s="365">
        <f t="shared" si="30"/>
        <v>6.8260443119117248E-2</v>
      </c>
      <c r="G109" s="364">
        <f t="shared" si="31"/>
        <v>1.0076569152568828</v>
      </c>
      <c r="H109" s="365">
        <f t="shared" si="32"/>
        <v>-0.12335619490341092</v>
      </c>
      <c r="I109" s="363">
        <f t="shared" si="33"/>
        <v>22795.769154203401</v>
      </c>
      <c r="J109" s="366">
        <f t="shared" si="34"/>
        <v>1.5707524590055031</v>
      </c>
      <c r="K109" s="374">
        <f t="shared" si="35"/>
        <v>6.9545151000932224</v>
      </c>
      <c r="L109" s="375">
        <f t="shared" si="36"/>
        <v>1.426504676523775</v>
      </c>
      <c r="M109" s="363">
        <f t="shared" si="37"/>
        <v>1.0321322341848702</v>
      </c>
      <c r="N109" s="366">
        <f t="shared" si="38"/>
        <v>0.25017907135712769</v>
      </c>
      <c r="O109" s="367">
        <f t="shared" si="39"/>
        <v>1.0026954741193495</v>
      </c>
      <c r="P109" s="368">
        <f t="shared" si="40"/>
        <v>9.6118162922145853E-2</v>
      </c>
      <c r="Q109" s="369">
        <f t="shared" si="41"/>
        <v>-1.3825484463387028</v>
      </c>
      <c r="R109" s="370">
        <f t="shared" si="42"/>
        <v>-113.89809005149294</v>
      </c>
      <c r="S109" s="372">
        <f t="shared" si="43"/>
        <v>66.101909948507057</v>
      </c>
      <c r="U109" s="345">
        <f t="shared" si="50"/>
        <v>5495.4</v>
      </c>
      <c r="V109" s="345">
        <f t="shared" si="51"/>
        <v>30199421.159999996</v>
      </c>
      <c r="X109" s="371">
        <f t="shared" si="44"/>
        <v>17.510219582417712</v>
      </c>
      <c r="Y109" s="372">
        <f t="shared" si="45"/>
        <v>-22.598994077412943</v>
      </c>
      <c r="AA109" s="371">
        <f t="shared" si="46"/>
        <v>41.667806443248459</v>
      </c>
      <c r="AB109" s="372">
        <f t="shared" si="47"/>
        <v>-91.299095974080032</v>
      </c>
      <c r="AD109">
        <f t="shared" si="52"/>
        <v>0</v>
      </c>
      <c r="AE109">
        <f t="shared" si="53"/>
        <v>0</v>
      </c>
    </row>
    <row r="110" spans="1:31" x14ac:dyDescent="0.2">
      <c r="A110" s="373">
        <v>5559.4</v>
      </c>
      <c r="B110" s="390">
        <f t="shared" si="49"/>
        <v>5.5593999999999992</v>
      </c>
      <c r="C110" s="363">
        <f t="shared" si="27"/>
        <v>7.8904873852007293</v>
      </c>
      <c r="D110" s="364">
        <f t="shared" si="28"/>
        <v>1.4437197038138239</v>
      </c>
      <c r="E110" s="364">
        <f t="shared" si="29"/>
        <v>1.0023888975943425</v>
      </c>
      <c r="F110" s="365">
        <f t="shared" si="30"/>
        <v>6.9052901108218587E-2</v>
      </c>
      <c r="G110" s="364">
        <f t="shared" si="31"/>
        <v>1.0078356028480711</v>
      </c>
      <c r="H110" s="365">
        <f t="shared" si="32"/>
        <v>-0.12477803283088382</v>
      </c>
      <c r="I110" s="363">
        <f t="shared" si="33"/>
        <v>23061.251052350512</v>
      </c>
      <c r="J110" s="366">
        <f t="shared" si="34"/>
        <v>1.5707529640129712</v>
      </c>
      <c r="K110" s="374">
        <f t="shared" si="35"/>
        <v>7.033842937846619</v>
      </c>
      <c r="L110" s="375">
        <f t="shared" si="36"/>
        <v>1.4281431951916703</v>
      </c>
      <c r="M110" s="363">
        <f t="shared" si="37"/>
        <v>1.032873039292945</v>
      </c>
      <c r="N110" s="366">
        <f t="shared" si="38"/>
        <v>0.25297062122140451</v>
      </c>
      <c r="O110" s="367">
        <f t="shared" si="39"/>
        <v>1.0027585810525557</v>
      </c>
      <c r="P110" s="368">
        <f t="shared" si="40"/>
        <v>9.7234947064606073E-2</v>
      </c>
      <c r="Q110" s="369">
        <f t="shared" si="41"/>
        <v>-1.4883080239181554</v>
      </c>
      <c r="R110" s="370">
        <f t="shared" si="42"/>
        <v>-114.14809971492774</v>
      </c>
      <c r="S110" s="372">
        <f t="shared" si="43"/>
        <v>65.851900285072261</v>
      </c>
      <c r="U110" s="345">
        <f t="shared" si="50"/>
        <v>5559.4</v>
      </c>
      <c r="V110" s="345">
        <f t="shared" si="51"/>
        <v>30906928.359999996</v>
      </c>
      <c r="X110" s="371">
        <f t="shared" si="44"/>
        <v>17.501931562076415</v>
      </c>
      <c r="Y110" s="372">
        <f t="shared" si="45"/>
        <v>-22.665086833484583</v>
      </c>
      <c r="AA110" s="371">
        <f t="shared" si="46"/>
        <v>41.570334886010301</v>
      </c>
      <c r="AB110" s="372">
        <f t="shared" si="47"/>
        <v>-91.483012881443145</v>
      </c>
      <c r="AD110">
        <f t="shared" si="52"/>
        <v>0</v>
      </c>
      <c r="AE110">
        <f t="shared" si="53"/>
        <v>0</v>
      </c>
    </row>
    <row r="111" spans="1:31" x14ac:dyDescent="0.2">
      <c r="A111" s="373">
        <v>5623.4</v>
      </c>
      <c r="B111" s="390">
        <f t="shared" si="49"/>
        <v>5.6233999999999993</v>
      </c>
      <c r="C111" s="363">
        <f t="shared" si="27"/>
        <v>7.9798721358812301</v>
      </c>
      <c r="D111" s="364">
        <f t="shared" si="28"/>
        <v>1.4451507056567647</v>
      </c>
      <c r="E111" s="364">
        <f t="shared" si="29"/>
        <v>1.0024441488860374</v>
      </c>
      <c r="F111" s="365">
        <f t="shared" si="30"/>
        <v>6.9845272239729292E-2</v>
      </c>
      <c r="G111" s="364">
        <f t="shared" si="31"/>
        <v>1.0080163271782365</v>
      </c>
      <c r="H111" s="365">
        <f t="shared" si="32"/>
        <v>-0.12619936379648339</v>
      </c>
      <c r="I111" s="363">
        <f t="shared" si="33"/>
        <v>23326.73295050337</v>
      </c>
      <c r="J111" s="366">
        <f t="shared" si="34"/>
        <v>1.5707534575254438</v>
      </c>
      <c r="K111" s="374">
        <f t="shared" si="35"/>
        <v>7.1131892384360196</v>
      </c>
      <c r="L111" s="375">
        <f t="shared" si="36"/>
        <v>1.4297451633399583</v>
      </c>
      <c r="M111" s="363">
        <f t="shared" si="37"/>
        <v>1.0336218817490508</v>
      </c>
      <c r="N111" s="366">
        <f t="shared" si="38"/>
        <v>0.255758147915983</v>
      </c>
      <c r="O111" s="367">
        <f t="shared" si="39"/>
        <v>1.0028224167204758</v>
      </c>
      <c r="P111" s="368">
        <f t="shared" si="40"/>
        <v>9.8351640594125073E-2</v>
      </c>
      <c r="Q111" s="369">
        <f t="shared" si="41"/>
        <v>-1.5929490667175576</v>
      </c>
      <c r="R111" s="370">
        <f t="shared" si="42"/>
        <v>-114.39806442876679</v>
      </c>
      <c r="S111" s="372">
        <f t="shared" si="43"/>
        <v>65.601935571233213</v>
      </c>
      <c r="U111" s="345">
        <f t="shared" si="50"/>
        <v>5623.4</v>
      </c>
      <c r="V111" s="345">
        <f t="shared" si="51"/>
        <v>31622627.559999995</v>
      </c>
      <c r="X111" s="371">
        <f t="shared" si="44"/>
        <v>17.493649342889452</v>
      </c>
      <c r="Y111" s="372">
        <f t="shared" si="45"/>
        <v>-22.73304261081217</v>
      </c>
      <c r="AA111" s="371">
        <f t="shared" si="46"/>
        <v>41.47397606239786</v>
      </c>
      <c r="AB111" s="372">
        <f t="shared" si="47"/>
        <v>-91.665021817954624</v>
      </c>
      <c r="AD111">
        <f t="shared" si="52"/>
        <v>0</v>
      </c>
      <c r="AE111">
        <f t="shared" si="53"/>
        <v>0</v>
      </c>
    </row>
    <row r="112" spans="1:31" x14ac:dyDescent="0.2">
      <c r="A112" s="373">
        <v>5688.9</v>
      </c>
      <c r="B112" s="390">
        <f t="shared" si="49"/>
        <v>5.6888999999999994</v>
      </c>
      <c r="C112" s="363">
        <f t="shared" si="27"/>
        <v>8.0713683823782798</v>
      </c>
      <c r="D112" s="364">
        <f t="shared" si="28"/>
        <v>1.4465824259471562</v>
      </c>
      <c r="E112" s="364">
        <f t="shared" si="29"/>
        <v>1.002501346743272</v>
      </c>
      <c r="F112" s="365">
        <f t="shared" si="30"/>
        <v>7.0656123611392035E-2</v>
      </c>
      <c r="G112" s="364">
        <f t="shared" si="31"/>
        <v>1.0082033949943565</v>
      </c>
      <c r="H112" s="365">
        <f t="shared" si="32"/>
        <v>-0.12765347657617035</v>
      </c>
      <c r="I112" s="363">
        <f t="shared" si="33"/>
        <v>23598.437080649939</v>
      </c>
      <c r="J112" s="366">
        <f t="shared" si="34"/>
        <v>1.5707539511071813</v>
      </c>
      <c r="K112" s="374">
        <f t="shared" si="35"/>
        <v>7.194413697477354</v>
      </c>
      <c r="L112" s="375">
        <f t="shared" si="36"/>
        <v>1.4313480856082499</v>
      </c>
      <c r="M112" s="363">
        <f t="shared" si="37"/>
        <v>1.0343965791022647</v>
      </c>
      <c r="N112" s="366">
        <f t="shared" si="38"/>
        <v>0.25860680551770004</v>
      </c>
      <c r="O112" s="367">
        <f t="shared" si="39"/>
        <v>1.0028885030210557</v>
      </c>
      <c r="P112" s="368">
        <f t="shared" si="40"/>
        <v>9.9494411735730495E-2</v>
      </c>
      <c r="Q112" s="369">
        <f t="shared" si="41"/>
        <v>-1.6989120073269783</v>
      </c>
      <c r="R112" s="370">
        <f t="shared" si="42"/>
        <v>-114.65383174345448</v>
      </c>
      <c r="S112" s="372">
        <f t="shared" si="43"/>
        <v>65.346168256545525</v>
      </c>
      <c r="U112" s="345">
        <f t="shared" si="50"/>
        <v>5688.9</v>
      </c>
      <c r="V112" s="345">
        <f t="shared" si="51"/>
        <v>32363583.209999997</v>
      </c>
      <c r="X112" s="371">
        <f t="shared" si="44"/>
        <v>17.485176151744007</v>
      </c>
      <c r="Y112" s="372">
        <f t="shared" si="45"/>
        <v>-22.804446268039761</v>
      </c>
      <c r="AA112" s="371">
        <f t="shared" si="46"/>
        <v>41.376486312933885</v>
      </c>
      <c r="AB112" s="372">
        <f t="shared" si="47"/>
        <v>-91.849385475414735</v>
      </c>
      <c r="AD112">
        <f t="shared" si="52"/>
        <v>0</v>
      </c>
      <c r="AE112">
        <f t="shared" si="53"/>
        <v>0</v>
      </c>
    </row>
    <row r="113" spans="1:31" x14ac:dyDescent="0.2">
      <c r="A113" s="373">
        <v>5754.4</v>
      </c>
      <c r="B113" s="390">
        <f t="shared" si="49"/>
        <v>5.7543999999999995</v>
      </c>
      <c r="C113" s="363">
        <f t="shared" si="27"/>
        <v>8.1628808028352573</v>
      </c>
      <c r="D113" s="364">
        <f t="shared" si="28"/>
        <v>1.4479820475947796</v>
      </c>
      <c r="E113" s="364">
        <f t="shared" si="29"/>
        <v>1.0025592036495776</v>
      </c>
      <c r="F113" s="365">
        <f t="shared" si="30"/>
        <v>7.1466881928866119E-2</v>
      </c>
      <c r="G113" s="364">
        <f t="shared" si="31"/>
        <v>1.0083925938065028</v>
      </c>
      <c r="H113" s="365">
        <f t="shared" si="32"/>
        <v>-0.12910704677501972</v>
      </c>
      <c r="I113" s="363">
        <f t="shared" si="33"/>
        <v>23870.141210802121</v>
      </c>
      <c r="J113" s="366">
        <f t="shared" si="34"/>
        <v>1.5707544334524375</v>
      </c>
      <c r="K113" s="374">
        <f t="shared" si="35"/>
        <v>7.2756562287996749</v>
      </c>
      <c r="L113" s="375">
        <f t="shared" si="36"/>
        <v>1.432915214243067</v>
      </c>
      <c r="M113" s="363">
        <f t="shared" si="37"/>
        <v>1.0351796578254004</v>
      </c>
      <c r="N113" s="366">
        <f t="shared" si="38"/>
        <v>0.261451176344069</v>
      </c>
      <c r="O113" s="367">
        <f t="shared" si="39"/>
        <v>1.002955352472604</v>
      </c>
      <c r="P113" s="368">
        <f t="shared" si="40"/>
        <v>0.1006370857965279</v>
      </c>
      <c r="Q113" s="369">
        <f t="shared" si="41"/>
        <v>-1.8037583214836075</v>
      </c>
      <c r="R113" s="370">
        <f t="shared" si="42"/>
        <v>-114.90953318927649</v>
      </c>
      <c r="S113" s="372">
        <f t="shared" si="43"/>
        <v>65.090466810723512</v>
      </c>
      <c r="U113" s="345">
        <f t="shared" si="50"/>
        <v>5754.4</v>
      </c>
      <c r="V113" s="345">
        <f t="shared" si="51"/>
        <v>33113119.359999996</v>
      </c>
      <c r="X113" s="371">
        <f t="shared" si="44"/>
        <v>17.476703398741588</v>
      </c>
      <c r="Y113" s="372">
        <f t="shared" si="45"/>
        <v>-22.877654491462824</v>
      </c>
      <c r="AA113" s="371">
        <f t="shared" si="46"/>
        <v>41.280112751779676</v>
      </c>
      <c r="AB113" s="372">
        <f t="shared" si="47"/>
        <v>-92.031878697813653</v>
      </c>
      <c r="AD113">
        <f t="shared" si="52"/>
        <v>0</v>
      </c>
      <c r="AE113">
        <f t="shared" si="53"/>
        <v>0</v>
      </c>
    </row>
    <row r="114" spans="1:31" x14ac:dyDescent="0.2">
      <c r="A114" s="373">
        <v>5821.4</v>
      </c>
      <c r="B114" s="390">
        <f t="shared" si="49"/>
        <v>5.8213999999999997</v>
      </c>
      <c r="C114" s="363">
        <f t="shared" si="27"/>
        <v>8.2565051007088055</v>
      </c>
      <c r="D114" s="364">
        <f t="shared" si="28"/>
        <v>1.4493816190277387</v>
      </c>
      <c r="E114" s="364">
        <f t="shared" si="29"/>
        <v>1.0026190672652311</v>
      </c>
      <c r="F114" s="365">
        <f t="shared" si="30"/>
        <v>7.2296109861316599E-2</v>
      </c>
      <c r="G114" s="364">
        <f t="shared" si="31"/>
        <v>1.0085883289225399</v>
      </c>
      <c r="H114" s="365">
        <f t="shared" si="32"/>
        <v>-0.13059333739633713</v>
      </c>
      <c r="I114" s="363">
        <f t="shared" si="33"/>
        <v>24148.067572948141</v>
      </c>
      <c r="J114" s="366">
        <f t="shared" si="34"/>
        <v>1.5707549156137632</v>
      </c>
      <c r="K114" s="374">
        <f t="shared" si="35"/>
        <v>7.3587773499175029</v>
      </c>
      <c r="L114" s="375">
        <f t="shared" si="36"/>
        <v>1.43448242676588</v>
      </c>
      <c r="M114" s="363">
        <f t="shared" si="37"/>
        <v>1.0359893213114406</v>
      </c>
      <c r="N114" s="366">
        <f t="shared" si="38"/>
        <v>0.26435621248889984</v>
      </c>
      <c r="O114" s="367">
        <f t="shared" si="39"/>
        <v>1.0030245223168783</v>
      </c>
      <c r="P114" s="368">
        <f t="shared" si="40"/>
        <v>0.10180582638102877</v>
      </c>
      <c r="Q114" s="369">
        <f t="shared" si="41"/>
        <v>-1.909877893674655</v>
      </c>
      <c r="R114" s="370">
        <f t="shared" si="42"/>
        <v>-115.17101282067955</v>
      </c>
      <c r="S114" s="372">
        <f t="shared" si="43"/>
        <v>64.82898717932045</v>
      </c>
      <c r="U114" s="345">
        <f t="shared" si="50"/>
        <v>5821.4</v>
      </c>
      <c r="V114" s="345">
        <f t="shared" si="51"/>
        <v>33888697.959999993</v>
      </c>
      <c r="X114" s="371">
        <f t="shared" si="44"/>
        <v>17.468034365080694</v>
      </c>
      <c r="Y114" s="372">
        <f t="shared" si="45"/>
        <v>-22.954333764633979</v>
      </c>
      <c r="AA114" s="371">
        <f t="shared" si="46"/>
        <v>41.182662213249522</v>
      </c>
      <c r="AB114" s="372">
        <f t="shared" si="47"/>
        <v>-92.216679056045606</v>
      </c>
      <c r="AD114">
        <f t="shared" si="52"/>
        <v>0</v>
      </c>
      <c r="AE114">
        <f t="shared" si="53"/>
        <v>0</v>
      </c>
    </row>
    <row r="115" spans="1:31" x14ac:dyDescent="0.2">
      <c r="A115" s="373">
        <v>5888.4</v>
      </c>
      <c r="B115" s="390">
        <f t="shared" si="49"/>
        <v>5.8883999999999999</v>
      </c>
      <c r="C115" s="363">
        <f t="shared" si="27"/>
        <v>8.3501452087385122</v>
      </c>
      <c r="D115" s="364">
        <f t="shared" si="28"/>
        <v>1.4507498029732024</v>
      </c>
      <c r="E115" s="364">
        <f t="shared" si="29"/>
        <v>1.0026796202181707</v>
      </c>
      <c r="F115" s="365">
        <f t="shared" si="30"/>
        <v>7.3125238207814525E-2</v>
      </c>
      <c r="G115" s="364">
        <f t="shared" si="31"/>
        <v>1.0087862912030383</v>
      </c>
      <c r="H115" s="365">
        <f t="shared" si="32"/>
        <v>-0.13207904796498743</v>
      </c>
      <c r="I115" s="363">
        <f t="shared" si="33"/>
        <v>24425.993935099643</v>
      </c>
      <c r="J115" s="366">
        <f t="shared" si="34"/>
        <v>1.5707553868027335</v>
      </c>
      <c r="K115" s="374">
        <f t="shared" si="35"/>
        <v>7.4419161415530919</v>
      </c>
      <c r="L115" s="375">
        <f t="shared" si="36"/>
        <v>1.4360146261524811</v>
      </c>
      <c r="M115" s="363">
        <f t="shared" si="37"/>
        <v>1.0368077140567282</v>
      </c>
      <c r="N115" s="366">
        <f t="shared" si="38"/>
        <v>0.26725668696293375</v>
      </c>
      <c r="O115" s="367">
        <f t="shared" si="39"/>
        <v>1.0030944905087416</v>
      </c>
      <c r="P115" s="368">
        <f t="shared" si="40"/>
        <v>0.10297446306655827</v>
      </c>
      <c r="Q115" s="369">
        <f t="shared" si="41"/>
        <v>-2.0148839160971059</v>
      </c>
      <c r="R115" s="370">
        <f t="shared" si="42"/>
        <v>-115.43240471161066</v>
      </c>
      <c r="S115" s="372">
        <f t="shared" si="43"/>
        <v>64.567595288389342</v>
      </c>
      <c r="U115" s="345">
        <f t="shared" si="50"/>
        <v>5888.4</v>
      </c>
      <c r="V115" s="345">
        <f t="shared" si="51"/>
        <v>34673254.559999995</v>
      </c>
      <c r="X115" s="371">
        <f t="shared" si="44"/>
        <v>17.459360476521837</v>
      </c>
      <c r="Y115" s="372">
        <f t="shared" si="45"/>
        <v>-23.032757149585741</v>
      </c>
      <c r="AA115" s="371">
        <f t="shared" si="46"/>
        <v>41.086330079385931</v>
      </c>
      <c r="AB115" s="372">
        <f t="shared" si="47"/>
        <v>-92.399647562024953</v>
      </c>
      <c r="AD115">
        <f t="shared" si="52"/>
        <v>0</v>
      </c>
      <c r="AE115">
        <f t="shared" si="53"/>
        <v>0</v>
      </c>
    </row>
    <row r="116" spans="1:31" x14ac:dyDescent="0.2">
      <c r="A116" s="373">
        <v>5957</v>
      </c>
      <c r="B116" s="390">
        <f t="shared" si="49"/>
        <v>5.9569999999999999</v>
      </c>
      <c r="C116" s="363">
        <f t="shared" si="27"/>
        <v>8.4460373302712295</v>
      </c>
      <c r="D116" s="364">
        <f t="shared" si="28"/>
        <v>1.4521192242151491</v>
      </c>
      <c r="E116" s="364">
        <f t="shared" si="29"/>
        <v>1.0027423333078713</v>
      </c>
      <c r="F116" s="365">
        <f t="shared" si="30"/>
        <v>7.3974062281040656E-2</v>
      </c>
      <c r="G116" s="364">
        <f t="shared" si="31"/>
        <v>1.0089912871503934</v>
      </c>
      <c r="H116" s="365">
        <f t="shared" si="32"/>
        <v>-0.13359963070179115</v>
      </c>
      <c r="I116" s="363">
        <f t="shared" si="33"/>
        <v>24710.557344711004</v>
      </c>
      <c r="J116" s="366">
        <f t="shared" si="34"/>
        <v>1.5707558582621022</v>
      </c>
      <c r="K116" s="374">
        <f t="shared" si="35"/>
        <v>7.5270580341972746</v>
      </c>
      <c r="L116" s="375">
        <f t="shared" si="36"/>
        <v>1.4375483423209083</v>
      </c>
      <c r="M116" s="363">
        <f t="shared" si="37"/>
        <v>1.0376546733759482</v>
      </c>
      <c r="N116" s="366">
        <f t="shared" si="38"/>
        <v>0.27022166049353613</v>
      </c>
      <c r="O116" s="367">
        <f t="shared" si="39"/>
        <v>1.0031669566712</v>
      </c>
      <c r="P116" s="368">
        <f t="shared" si="40"/>
        <v>0.10417089861911601</v>
      </c>
      <c r="Q116" s="369">
        <f t="shared" si="41"/>
        <v>-2.1212712297449885</v>
      </c>
      <c r="R116" s="370">
        <f t="shared" si="42"/>
        <v>-115.69993843223249</v>
      </c>
      <c r="S116" s="372">
        <f t="shared" si="43"/>
        <v>64.300061567767514</v>
      </c>
      <c r="U116" s="345">
        <f t="shared" si="50"/>
        <v>5957</v>
      </c>
      <c r="V116" s="345">
        <f t="shared" si="51"/>
        <v>35485849</v>
      </c>
      <c r="X116" s="371">
        <f t="shared" si="44"/>
        <v>17.450471874728329</v>
      </c>
      <c r="Y116" s="372">
        <f t="shared" si="45"/>
        <v>-23.11478916856117</v>
      </c>
      <c r="AA116" s="371">
        <f t="shared" si="46"/>
        <v>40.988831367531553</v>
      </c>
      <c r="AB116" s="372">
        <f t="shared" si="47"/>
        <v>-92.58514926367134</v>
      </c>
      <c r="AD116">
        <f t="shared" si="52"/>
        <v>0</v>
      </c>
      <c r="AE116">
        <f t="shared" si="53"/>
        <v>0</v>
      </c>
    </row>
    <row r="117" spans="1:31" x14ac:dyDescent="0.2">
      <c r="A117" s="373">
        <v>6025.6</v>
      </c>
      <c r="B117" s="390">
        <f t="shared" si="49"/>
        <v>6.0256000000000007</v>
      </c>
      <c r="C117" s="363">
        <f t="shared" si="27"/>
        <v>8.5419449351458212</v>
      </c>
      <c r="D117" s="364">
        <f t="shared" si="28"/>
        <v>1.4534578966311276</v>
      </c>
      <c r="E117" s="364">
        <f t="shared" si="29"/>
        <v>1.0028057687850691</v>
      </c>
      <c r="F117" s="365">
        <f t="shared" si="30"/>
        <v>7.4822779575896101E-2</v>
      </c>
      <c r="G117" s="364">
        <f t="shared" si="31"/>
        <v>1.0091986151080863</v>
      </c>
      <c r="H117" s="365">
        <f t="shared" si="32"/>
        <v>-0.13511959218021663</v>
      </c>
      <c r="I117" s="363">
        <f t="shared" si="33"/>
        <v>24995.120754327731</v>
      </c>
      <c r="J117" s="366">
        <f t="shared" si="34"/>
        <v>1.570756318986569</v>
      </c>
      <c r="K117" s="374">
        <f t="shared" si="35"/>
        <v>7.6122172365303875</v>
      </c>
      <c r="L117" s="375">
        <f t="shared" si="36"/>
        <v>1.4390477460501696</v>
      </c>
      <c r="M117" s="363">
        <f t="shared" si="37"/>
        <v>1.0385107398621869</v>
      </c>
      <c r="N117" s="366">
        <f t="shared" si="38"/>
        <v>0.27318177182965014</v>
      </c>
      <c r="O117" s="367">
        <f t="shared" si="39"/>
        <v>1.0032402595942249</v>
      </c>
      <c r="P117" s="368">
        <f t="shared" si="40"/>
        <v>0.10536722276456399</v>
      </c>
      <c r="Q117" s="369">
        <f t="shared" si="41"/>
        <v>-2.22654594626822</v>
      </c>
      <c r="R117" s="370">
        <f t="shared" si="42"/>
        <v>-115.96736127387204</v>
      </c>
      <c r="S117" s="372">
        <f t="shared" si="43"/>
        <v>64.032638726127956</v>
      </c>
      <c r="U117" s="345">
        <f t="shared" si="50"/>
        <v>6025.6</v>
      </c>
      <c r="V117" s="345">
        <f t="shared" si="51"/>
        <v>36307855.360000007</v>
      </c>
      <c r="X117" s="371">
        <f t="shared" si="44"/>
        <v>17.441573176805303</v>
      </c>
      <c r="Y117" s="372">
        <f t="shared" si="45"/>
        <v>-23.198507947199612</v>
      </c>
      <c r="AA117" s="371">
        <f t="shared" si="46"/>
        <v>40.892455348931342</v>
      </c>
      <c r="AB117" s="372">
        <f t="shared" si="47"/>
        <v>-92.768853326672428</v>
      </c>
      <c r="AD117">
        <f t="shared" si="52"/>
        <v>0</v>
      </c>
      <c r="AE117">
        <f t="shared" si="53"/>
        <v>0</v>
      </c>
    </row>
    <row r="118" spans="1:31" x14ac:dyDescent="0.2">
      <c r="A118" s="373">
        <v>6095.8</v>
      </c>
      <c r="B118" s="390">
        <f t="shared" si="49"/>
        <v>6.0958000000000006</v>
      </c>
      <c r="C118" s="363">
        <f t="shared" si="27"/>
        <v>8.6401049433941282</v>
      </c>
      <c r="D118" s="364">
        <f t="shared" si="28"/>
        <v>1.4547970221625297</v>
      </c>
      <c r="E118" s="364">
        <f t="shared" si="29"/>
        <v>1.0028714315209122</v>
      </c>
      <c r="F118" s="365">
        <f t="shared" si="30"/>
        <v>7.5691180228835989E-2</v>
      </c>
      <c r="G118" s="364">
        <f t="shared" si="31"/>
        <v>1.0094131914350044</v>
      </c>
      <c r="H118" s="365">
        <f t="shared" si="32"/>
        <v>-0.13667435456742522</v>
      </c>
      <c r="I118" s="363">
        <f t="shared" si="33"/>
        <v>25286.32121140444</v>
      </c>
      <c r="J118" s="366">
        <f t="shared" si="34"/>
        <v>1.5707567797215245</v>
      </c>
      <c r="K118" s="374">
        <f t="shared" si="35"/>
        <v>7.6993799800730081</v>
      </c>
      <c r="L118" s="375">
        <f t="shared" si="36"/>
        <v>1.4405477800201087</v>
      </c>
      <c r="M118" s="363">
        <f t="shared" si="37"/>
        <v>1.0393961776974581</v>
      </c>
      <c r="N118" s="366">
        <f t="shared" si="38"/>
        <v>0.2762058485240107</v>
      </c>
      <c r="O118" s="367">
        <f t="shared" si="39"/>
        <v>1.0033161383765059</v>
      </c>
      <c r="P118" s="368">
        <f t="shared" si="40"/>
        <v>0.10659133286790236</v>
      </c>
      <c r="Q118" s="369">
        <f t="shared" si="41"/>
        <v>-2.3331516334264233</v>
      </c>
      <c r="R118" s="370">
        <f t="shared" si="42"/>
        <v>-116.24089710262102</v>
      </c>
      <c r="S118" s="372">
        <f t="shared" si="43"/>
        <v>63.75910289737898</v>
      </c>
      <c r="U118" s="345">
        <f t="shared" si="50"/>
        <v>6095.8</v>
      </c>
      <c r="V118" s="345">
        <f t="shared" si="51"/>
        <v>37158777.640000001</v>
      </c>
      <c r="X118" s="371">
        <f t="shared" si="44"/>
        <v>17.432454084462229</v>
      </c>
      <c r="Y118" s="372">
        <f t="shared" si="45"/>
        <v>-23.285855561374813</v>
      </c>
      <c r="AA118" s="371">
        <f t="shared" si="46"/>
        <v>40.794968754116219</v>
      </c>
      <c r="AB118" s="372">
        <f t="shared" si="47"/>
        <v>-92.955041541246217</v>
      </c>
      <c r="AD118">
        <f t="shared" si="52"/>
        <v>0</v>
      </c>
      <c r="AE118">
        <f t="shared" si="53"/>
        <v>0</v>
      </c>
    </row>
    <row r="119" spans="1:31" x14ac:dyDescent="0.2">
      <c r="A119" s="373">
        <v>6166</v>
      </c>
      <c r="B119" s="390">
        <f t="shared" si="49"/>
        <v>6.1660000000000004</v>
      </c>
      <c r="C119" s="363">
        <f t="shared" si="27"/>
        <v>8.7382800974597963</v>
      </c>
      <c r="D119" s="364">
        <f t="shared" si="28"/>
        <v>1.4561060596700259</v>
      </c>
      <c r="E119" s="364">
        <f t="shared" si="29"/>
        <v>1.0029378504424913</v>
      </c>
      <c r="F119" s="365">
        <f t="shared" si="30"/>
        <v>7.6559466517933356E-2</v>
      </c>
      <c r="G119" s="364">
        <f t="shared" si="31"/>
        <v>1.0096302067617784</v>
      </c>
      <c r="H119" s="365">
        <f t="shared" si="32"/>
        <v>-0.13822845233207637</v>
      </c>
      <c r="I119" s="363">
        <f t="shared" si="33"/>
        <v>25577.521668486399</v>
      </c>
      <c r="J119" s="366">
        <f t="shared" si="34"/>
        <v>1.5707572299655315</v>
      </c>
      <c r="K119" s="374">
        <f t="shared" si="35"/>
        <v>7.7865596601243849</v>
      </c>
      <c r="L119" s="375">
        <f t="shared" si="36"/>
        <v>1.4420142279445005</v>
      </c>
      <c r="M119" s="363">
        <f t="shared" si="37"/>
        <v>1.0402911046207439</v>
      </c>
      <c r="N119" s="366">
        <f t="shared" si="38"/>
        <v>0.27922474976707695</v>
      </c>
      <c r="O119" s="367">
        <f t="shared" si="39"/>
        <v>1.0033928932182075</v>
      </c>
      <c r="P119" s="368">
        <f t="shared" si="40"/>
        <v>0.1078153236451021</v>
      </c>
      <c r="Q119" s="369">
        <f t="shared" si="41"/>
        <v>-2.4386469058726066</v>
      </c>
      <c r="R119" s="370">
        <f t="shared" si="42"/>
        <v>-116.51429785625713</v>
      </c>
      <c r="S119" s="372">
        <f t="shared" si="43"/>
        <v>63.48570214374287</v>
      </c>
      <c r="U119" s="345">
        <f t="shared" si="50"/>
        <v>6166</v>
      </c>
      <c r="V119" s="345">
        <f t="shared" si="51"/>
        <v>38019556</v>
      </c>
      <c r="X119" s="371">
        <f t="shared" si="44"/>
        <v>17.423319718614618</v>
      </c>
      <c r="Y119" s="372">
        <f t="shared" si="45"/>
        <v>-23.374830381608966</v>
      </c>
      <c r="AA119" s="371">
        <f t="shared" si="46"/>
        <v>40.698607847517643</v>
      </c>
      <c r="AB119" s="372">
        <f t="shared" si="47"/>
        <v>-93.139467474648171</v>
      </c>
      <c r="AD119">
        <f t="shared" si="52"/>
        <v>0</v>
      </c>
      <c r="AE119">
        <f t="shared" si="53"/>
        <v>0</v>
      </c>
    </row>
    <row r="120" spans="1:31" x14ac:dyDescent="0.2">
      <c r="A120" s="373">
        <v>6237.8</v>
      </c>
      <c r="B120" s="390">
        <f t="shared" si="49"/>
        <v>6.2378</v>
      </c>
      <c r="C120" s="363">
        <f t="shared" si="27"/>
        <v>8.8387080033867758</v>
      </c>
      <c r="D120" s="364">
        <f t="shared" si="28"/>
        <v>1.4574148487214069</v>
      </c>
      <c r="E120" s="364">
        <f t="shared" si="29"/>
        <v>1.0030065652637055</v>
      </c>
      <c r="F120" s="365">
        <f t="shared" si="30"/>
        <v>7.7447423163694989E-2</v>
      </c>
      <c r="G120" s="364">
        <f t="shared" si="31"/>
        <v>1.0098546896857599</v>
      </c>
      <c r="H120" s="365">
        <f t="shared" si="32"/>
        <v>-0.13981727623576951</v>
      </c>
      <c r="I120" s="363">
        <f t="shared" si="33"/>
        <v>25875.359173028457</v>
      </c>
      <c r="J120" s="366">
        <f t="shared" si="34"/>
        <v>1.5707576799883514</v>
      </c>
      <c r="K120" s="374">
        <f t="shared" si="35"/>
        <v>7.8757432751384711</v>
      </c>
      <c r="L120" s="375">
        <f t="shared" si="36"/>
        <v>1.4434805122284313</v>
      </c>
      <c r="M120" s="363">
        <f t="shared" si="37"/>
        <v>1.0412162192004744</v>
      </c>
      <c r="N120" s="366">
        <f t="shared" si="38"/>
        <v>0.28230706077424406</v>
      </c>
      <c r="O120" s="367">
        <f t="shared" si="39"/>
        <v>1.0034723035944721</v>
      </c>
      <c r="P120" s="368">
        <f t="shared" si="40"/>
        <v>0.10906708680978408</v>
      </c>
      <c r="Q120" s="369">
        <f t="shared" si="41"/>
        <v>-2.5454252937708692</v>
      </c>
      <c r="R120" s="370">
        <f t="shared" si="42"/>
        <v>-116.79378072288823</v>
      </c>
      <c r="S120" s="372">
        <f t="shared" si="43"/>
        <v>63.206219277111771</v>
      </c>
      <c r="U120" s="345">
        <f t="shared" si="50"/>
        <v>6237.8</v>
      </c>
      <c r="V120" s="345">
        <f t="shared" si="51"/>
        <v>38910148.840000004</v>
      </c>
      <c r="X120" s="371">
        <f t="shared" si="44"/>
        <v>17.413959123824981</v>
      </c>
      <c r="Y120" s="372">
        <f t="shared" si="45"/>
        <v>-23.467447676944861</v>
      </c>
      <c r="AA120" s="371">
        <f t="shared" si="46"/>
        <v>40.601190054409024</v>
      </c>
      <c r="AB120" s="372">
        <f t="shared" si="47"/>
        <v>-93.326333045943343</v>
      </c>
      <c r="AD120">
        <f t="shared" si="52"/>
        <v>0</v>
      </c>
      <c r="AE120">
        <f t="shared" si="53"/>
        <v>0</v>
      </c>
    </row>
    <row r="121" spans="1:31" x14ac:dyDescent="0.2">
      <c r="A121" s="373">
        <v>6309.6</v>
      </c>
      <c r="B121" s="390">
        <f t="shared" si="49"/>
        <v>6.3096000000000005</v>
      </c>
      <c r="C121" s="363">
        <f t="shared" si="27"/>
        <v>8.939150709190308</v>
      </c>
      <c r="D121" s="364">
        <f t="shared" si="28"/>
        <v>1.4586942281106157</v>
      </c>
      <c r="E121" s="364">
        <f t="shared" si="29"/>
        <v>1.0030760708137871</v>
      </c>
      <c r="F121" s="365">
        <f t="shared" si="30"/>
        <v>7.8335257452106968E-2</v>
      </c>
      <c r="G121" s="364">
        <f t="shared" si="31"/>
        <v>1.0100817207110864</v>
      </c>
      <c r="H121" s="365">
        <f t="shared" si="32"/>
        <v>-0.14140538992290885</v>
      </c>
      <c r="I121" s="363">
        <f t="shared" si="33"/>
        <v>26173.196677575637</v>
      </c>
      <c r="J121" s="366">
        <f t="shared" si="34"/>
        <v>1.5707581197691152</v>
      </c>
      <c r="K121" s="374">
        <f t="shared" si="35"/>
        <v>7.9649434437047715</v>
      </c>
      <c r="L121" s="375">
        <f t="shared" si="36"/>
        <v>1.444913957419226</v>
      </c>
      <c r="M121" s="363">
        <f t="shared" si="37"/>
        <v>1.0421512083844984</v>
      </c>
      <c r="N121" s="366">
        <f t="shared" si="38"/>
        <v>0.28538387024155026</v>
      </c>
      <c r="O121" s="367">
        <f t="shared" si="39"/>
        <v>1.0035526302128661</v>
      </c>
      <c r="P121" s="368">
        <f t="shared" si="40"/>
        <v>0.11031872230267614</v>
      </c>
      <c r="Q121" s="369">
        <f t="shared" si="41"/>
        <v>-2.6510965868542598</v>
      </c>
      <c r="R121" s="370">
        <f t="shared" si="42"/>
        <v>-117.07310328269196</v>
      </c>
      <c r="S121" s="372">
        <f t="shared" si="43"/>
        <v>62.92689671730804</v>
      </c>
      <c r="U121" s="345">
        <f t="shared" si="50"/>
        <v>6309.6</v>
      </c>
      <c r="V121" s="345">
        <f t="shared" si="51"/>
        <v>39811052.160000004</v>
      </c>
      <c r="X121" s="371">
        <f t="shared" si="44"/>
        <v>17.404578157796116</v>
      </c>
      <c r="Y121" s="372">
        <f t="shared" si="45"/>
        <v>-23.561630711880834</v>
      </c>
      <c r="AA121" s="371">
        <f t="shared" si="46"/>
        <v>40.504899727354498</v>
      </c>
      <c r="AB121" s="372">
        <f t="shared" si="47"/>
        <v>-93.511472570811122</v>
      </c>
      <c r="AD121">
        <f t="shared" si="52"/>
        <v>0</v>
      </c>
      <c r="AE121">
        <f t="shared" si="53"/>
        <v>0</v>
      </c>
    </row>
    <row r="122" spans="1:31" x14ac:dyDescent="0.2">
      <c r="A122" s="373">
        <v>6383.05</v>
      </c>
      <c r="B122" s="390">
        <f t="shared" si="49"/>
        <v>6.3830499999999999</v>
      </c>
      <c r="C122" s="363">
        <f t="shared" si="27"/>
        <v>9.0419164384241615</v>
      </c>
      <c r="D122" s="364">
        <f t="shared" si="28"/>
        <v>1.4599735946955119</v>
      </c>
      <c r="E122" s="364">
        <f t="shared" si="29"/>
        <v>1.0031479916595527</v>
      </c>
      <c r="F122" s="365">
        <f t="shared" si="30"/>
        <v>7.9243366577509078E-2</v>
      </c>
      <c r="G122" s="364">
        <f t="shared" si="31"/>
        <v>1.0103166038411817</v>
      </c>
      <c r="H122" s="365">
        <f t="shared" si="32"/>
        <v>-0.14302925652271334</v>
      </c>
      <c r="I122" s="363">
        <f t="shared" si="33"/>
        <v>26477.878637315993</v>
      </c>
      <c r="J122" s="366">
        <f t="shared" si="34"/>
        <v>1.5707585594188189</v>
      </c>
      <c r="K122" s="374">
        <f t="shared" si="35"/>
        <v>8.0562100320937571</v>
      </c>
      <c r="L122" s="375">
        <f t="shared" si="36"/>
        <v>1.4463474954492801</v>
      </c>
      <c r="M122" s="363">
        <f t="shared" si="37"/>
        <v>1.0431178739980107</v>
      </c>
      <c r="N122" s="366">
        <f t="shared" si="38"/>
        <v>0.28852564846919787</v>
      </c>
      <c r="O122" s="367">
        <f t="shared" si="39"/>
        <v>1.0036357507340352</v>
      </c>
      <c r="P122" s="368">
        <f t="shared" si="40"/>
        <v>0.11159898740250437</v>
      </c>
      <c r="Q122" s="369">
        <f t="shared" si="41"/>
        <v>-2.7580779554324719</v>
      </c>
      <c r="R122" s="370">
        <f t="shared" si="42"/>
        <v>-117.35866940188832</v>
      </c>
      <c r="S122" s="372">
        <f t="shared" si="43"/>
        <v>62.641330598111679</v>
      </c>
      <c r="U122" s="345">
        <f t="shared" si="50"/>
        <v>6383.05</v>
      </c>
      <c r="V122" s="345">
        <f t="shared" si="51"/>
        <v>40743327.302500002</v>
      </c>
      <c r="X122" s="371">
        <f t="shared" si="44"/>
        <v>17.394958446634039</v>
      </c>
      <c r="Y122" s="372">
        <f t="shared" si="45"/>
        <v>-23.659530855781888</v>
      </c>
      <c r="AA122" s="371">
        <f t="shared" si="46"/>
        <v>40.407538069938354</v>
      </c>
      <c r="AB122" s="372">
        <f t="shared" si="47"/>
        <v>-93.699138546106425</v>
      </c>
      <c r="AD122">
        <f t="shared" si="52"/>
        <v>0</v>
      </c>
      <c r="AE122">
        <f t="shared" si="53"/>
        <v>0</v>
      </c>
    </row>
    <row r="123" spans="1:31" x14ac:dyDescent="0.2">
      <c r="A123" s="373">
        <v>6456.5</v>
      </c>
      <c r="B123" s="390">
        <f t="shared" si="49"/>
        <v>6.4565000000000001</v>
      </c>
      <c r="C123" s="363">
        <f t="shared" si="27"/>
        <v>9.1446966346332079</v>
      </c>
      <c r="D123" s="364">
        <f t="shared" si="28"/>
        <v>1.4612242048614854</v>
      </c>
      <c r="E123" s="364">
        <f t="shared" si="29"/>
        <v>1.0032207396445216</v>
      </c>
      <c r="F123" s="365">
        <f t="shared" si="30"/>
        <v>8.0151344749556375E-2</v>
      </c>
      <c r="G123" s="364">
        <f t="shared" si="31"/>
        <v>1.0105541498757522</v>
      </c>
      <c r="H123" s="365">
        <f t="shared" si="32"/>
        <v>-0.14465236397209005</v>
      </c>
      <c r="I123" s="363">
        <f t="shared" si="33"/>
        <v>26782.560597061351</v>
      </c>
      <c r="J123" s="366">
        <f t="shared" si="34"/>
        <v>1.5707589890654958</v>
      </c>
      <c r="K123" s="374">
        <f t="shared" si="35"/>
        <v>8.1474928053180804</v>
      </c>
      <c r="L123" s="375">
        <f t="shared" si="36"/>
        <v>1.4477489141965354</v>
      </c>
      <c r="M123" s="363">
        <f t="shared" si="37"/>
        <v>1.0440948168637552</v>
      </c>
      <c r="N123" s="366">
        <f t="shared" si="38"/>
        <v>0.29166157817931598</v>
      </c>
      <c r="O123" s="367">
        <f t="shared" si="39"/>
        <v>1.0037198298663603</v>
      </c>
      <c r="P123" s="368">
        <f t="shared" si="40"/>
        <v>0.11287911585524084</v>
      </c>
      <c r="Q123" s="369">
        <f t="shared" si="41"/>
        <v>-2.8639551117378974</v>
      </c>
      <c r="R123" s="370">
        <f t="shared" si="42"/>
        <v>-117.644048708147</v>
      </c>
      <c r="S123" s="372">
        <f t="shared" si="43"/>
        <v>62.355951291853003</v>
      </c>
      <c r="U123" s="345">
        <f t="shared" si="50"/>
        <v>6456.5</v>
      </c>
      <c r="V123" s="345">
        <f t="shared" si="51"/>
        <v>41686392.25</v>
      </c>
      <c r="X123" s="371">
        <f t="shared" si="44"/>
        <v>17.38531332447824</v>
      </c>
      <c r="Y123" s="372">
        <f t="shared" si="45"/>
        <v>-23.758935630527954</v>
      </c>
      <c r="AA123" s="371">
        <f t="shared" si="46"/>
        <v>40.311306035788732</v>
      </c>
      <c r="AB123" s="372">
        <f t="shared" si="47"/>
        <v>-93.88511307761901</v>
      </c>
      <c r="AD123">
        <f t="shared" si="52"/>
        <v>0</v>
      </c>
      <c r="AE123">
        <f t="shared" si="53"/>
        <v>0</v>
      </c>
    </row>
    <row r="124" spans="1:31" x14ac:dyDescent="0.2">
      <c r="A124" s="373">
        <v>6531.7</v>
      </c>
      <c r="B124" s="390">
        <f t="shared" si="49"/>
        <v>6.5316999999999998</v>
      </c>
      <c r="C124" s="363">
        <f t="shared" si="27"/>
        <v>9.24994012875427</v>
      </c>
      <c r="D124" s="364">
        <f t="shared" si="28"/>
        <v>1.4624758164129765</v>
      </c>
      <c r="E124" s="364">
        <f t="shared" si="29"/>
        <v>1.0032960776503368</v>
      </c>
      <c r="F124" s="365">
        <f t="shared" si="30"/>
        <v>8.1080818961948811E-2</v>
      </c>
      <c r="G124" s="364">
        <f t="shared" si="31"/>
        <v>1.0108001124865782</v>
      </c>
      <c r="H124" s="365">
        <f t="shared" si="32"/>
        <v>-0.14631334827906636</v>
      </c>
      <c r="I124" s="363">
        <f t="shared" si="33"/>
        <v>27094.501827465963</v>
      </c>
      <c r="J124" s="366">
        <f t="shared" si="34"/>
        <v>1.5707594189378489</v>
      </c>
      <c r="K124" s="374">
        <f t="shared" si="35"/>
        <v>8.2409666636432153</v>
      </c>
      <c r="L124" s="375">
        <f t="shared" si="36"/>
        <v>1.4491515553805174</v>
      </c>
      <c r="M124" s="363">
        <f t="shared" si="37"/>
        <v>1.0451056534739276</v>
      </c>
      <c r="N124" s="366">
        <f t="shared" si="38"/>
        <v>0.29486611732941814</v>
      </c>
      <c r="O124" s="367">
        <f t="shared" si="39"/>
        <v>1.003806905266728</v>
      </c>
      <c r="P124" s="368">
        <f t="shared" si="40"/>
        <v>0.11418960113235684</v>
      </c>
      <c r="Q124" s="369">
        <f t="shared" si="41"/>
        <v>-2.9712380870666255</v>
      </c>
      <c r="R124" s="370">
        <f t="shared" si="42"/>
        <v>-117.93602426299795</v>
      </c>
      <c r="S124" s="372">
        <f t="shared" si="43"/>
        <v>62.063975737002053</v>
      </c>
      <c r="U124" s="345">
        <f t="shared" si="50"/>
        <v>6531.7</v>
      </c>
      <c r="V124" s="345">
        <f t="shared" si="51"/>
        <v>42663104.890000001</v>
      </c>
      <c r="X124" s="371">
        <f t="shared" si="44"/>
        <v>17.375410132596659</v>
      </c>
      <c r="Y124" s="372">
        <f t="shared" si="45"/>
        <v>-23.862201409089412</v>
      </c>
      <c r="AA124" s="371">
        <f t="shared" si="46"/>
        <v>40.213926252341579</v>
      </c>
      <c r="AB124" s="372">
        <f t="shared" si="47"/>
        <v>-94.073822853908553</v>
      </c>
      <c r="AD124">
        <f t="shared" si="52"/>
        <v>0</v>
      </c>
      <c r="AE124">
        <f t="shared" si="53"/>
        <v>0</v>
      </c>
    </row>
    <row r="125" spans="1:31" x14ac:dyDescent="0.2">
      <c r="A125" s="373">
        <v>6606.9</v>
      </c>
      <c r="B125" s="390">
        <f t="shared" si="49"/>
        <v>6.6068999999999996</v>
      </c>
      <c r="C125" s="363">
        <f t="shared" si="27"/>
        <v>9.355197787160062</v>
      </c>
      <c r="D125" s="364">
        <f t="shared" si="28"/>
        <v>1.4636992654591883</v>
      </c>
      <c r="E125" s="364">
        <f t="shared" si="29"/>
        <v>1.003372282295419</v>
      </c>
      <c r="F125" s="365">
        <f t="shared" si="30"/>
        <v>8.2010152792721058E-2</v>
      </c>
      <c r="G125" s="364">
        <f t="shared" si="31"/>
        <v>1.0110488624010565</v>
      </c>
      <c r="H125" s="365">
        <f t="shared" si="32"/>
        <v>-0.14797351985529672</v>
      </c>
      <c r="I125" s="363">
        <f t="shared" si="33"/>
        <v>27406.443057875469</v>
      </c>
      <c r="J125" s="366">
        <f t="shared" si="34"/>
        <v>1.5707598390245534</v>
      </c>
      <c r="K125" s="374">
        <f t="shared" si="35"/>
        <v>8.3344563715710365</v>
      </c>
      <c r="L125" s="375">
        <f t="shared" si="36"/>
        <v>1.450522731649156</v>
      </c>
      <c r="M125" s="363">
        <f t="shared" si="37"/>
        <v>1.0461272015437793</v>
      </c>
      <c r="N125" s="366">
        <f t="shared" si="38"/>
        <v>0.29806443077532829</v>
      </c>
      <c r="O125" s="367">
        <f t="shared" si="39"/>
        <v>1.00389498525349</v>
      </c>
      <c r="P125" s="368">
        <f t="shared" si="40"/>
        <v>0.11549993991751485</v>
      </c>
      <c r="Q125" s="369">
        <f t="shared" si="41"/>
        <v>-3.0774179075908981</v>
      </c>
      <c r="R125" s="370">
        <f t="shared" si="42"/>
        <v>-118.22778484861834</v>
      </c>
      <c r="S125" s="372">
        <f t="shared" si="43"/>
        <v>61.772215151381658</v>
      </c>
      <c r="U125" s="345">
        <f t="shared" si="50"/>
        <v>6606.9</v>
      </c>
      <c r="V125" s="345">
        <f t="shared" si="51"/>
        <v>43651127.609999992</v>
      </c>
      <c r="X125" s="371">
        <f t="shared" si="44"/>
        <v>17.365476499643904</v>
      </c>
      <c r="Y125" s="372">
        <f t="shared" si="45"/>
        <v>-23.966912727253355</v>
      </c>
      <c r="AA125" s="371">
        <f t="shared" si="46"/>
        <v>40.117680064770063</v>
      </c>
      <c r="AB125" s="372">
        <f t="shared" si="47"/>
        <v>-94.260872121364997</v>
      </c>
      <c r="AD125">
        <f t="shared" si="52"/>
        <v>0</v>
      </c>
      <c r="AE125">
        <f t="shared" si="53"/>
        <v>0</v>
      </c>
    </row>
    <row r="126" spans="1:31" x14ac:dyDescent="0.2">
      <c r="A126" s="373">
        <v>6683.85</v>
      </c>
      <c r="B126" s="390">
        <f t="shared" si="49"/>
        <v>6.6838500000000005</v>
      </c>
      <c r="C126" s="363">
        <f t="shared" si="27"/>
        <v>9.4629190951220519</v>
      </c>
      <c r="D126" s="364">
        <f t="shared" si="28"/>
        <v>1.4649230091480123</v>
      </c>
      <c r="E126" s="364">
        <f t="shared" si="29"/>
        <v>1.0034511572395213</v>
      </c>
      <c r="F126" s="365">
        <f t="shared" si="30"/>
        <v>8.2960966447144763E-2</v>
      </c>
      <c r="G126" s="364">
        <f t="shared" si="31"/>
        <v>1.0113062842523783</v>
      </c>
      <c r="H126" s="365">
        <f t="shared" si="32"/>
        <v>-0.14967147550524601</v>
      </c>
      <c r="I126" s="363">
        <f t="shared" si="33"/>
        <v>27725.643558944346</v>
      </c>
      <c r="J126" s="366">
        <f t="shared" si="34"/>
        <v>1.5707602591018928</v>
      </c>
      <c r="K126" s="374">
        <f t="shared" si="35"/>
        <v>8.4301375614081575</v>
      </c>
      <c r="L126" s="375">
        <f t="shared" si="36"/>
        <v>1.4518943319375421</v>
      </c>
      <c r="M126" s="363">
        <f t="shared" si="37"/>
        <v>1.0471835779012475</v>
      </c>
      <c r="N126" s="366">
        <f t="shared" si="38"/>
        <v>0.30133067920072237</v>
      </c>
      <c r="O126" s="367">
        <f t="shared" si="39"/>
        <v>1.0039861547662583</v>
      </c>
      <c r="P126" s="368">
        <f t="shared" si="40"/>
        <v>0.11684061859766677</v>
      </c>
      <c r="Q126" s="369">
        <f t="shared" si="41"/>
        <v>-3.184953871800519</v>
      </c>
      <c r="R126" s="370">
        <f t="shared" si="42"/>
        <v>-118.52610292120259</v>
      </c>
      <c r="S126" s="372">
        <f t="shared" si="43"/>
        <v>61.473897078797407</v>
      </c>
      <c r="U126" s="345">
        <f t="shared" si="50"/>
        <v>6683.85</v>
      </c>
      <c r="V126" s="345">
        <f t="shared" si="51"/>
        <v>44673850.822500005</v>
      </c>
      <c r="X126" s="371">
        <f t="shared" si="44"/>
        <v>17.355278389437398</v>
      </c>
      <c r="Y126" s="372">
        <f t="shared" si="45"/>
        <v>-24.075492137948928</v>
      </c>
      <c r="AA126" s="371">
        <f t="shared" si="46"/>
        <v>40.020342210766955</v>
      </c>
      <c r="AB126" s="372">
        <f t="shared" si="47"/>
        <v>-94.450610783253651</v>
      </c>
      <c r="AD126">
        <f t="shared" si="52"/>
        <v>0</v>
      </c>
      <c r="AE126">
        <f t="shared" si="53"/>
        <v>0</v>
      </c>
    </row>
    <row r="127" spans="1:31" x14ac:dyDescent="0.2">
      <c r="A127" s="373">
        <v>6760.8</v>
      </c>
      <c r="B127" s="390">
        <f t="shared" si="49"/>
        <v>6.7608000000000006</v>
      </c>
      <c r="C127" s="363">
        <f t="shared" si="27"/>
        <v>9.5706542552492824</v>
      </c>
      <c r="D127" s="364">
        <f t="shared" si="28"/>
        <v>1.4661192036627451</v>
      </c>
      <c r="E127" s="364">
        <f t="shared" si="29"/>
        <v>1.0035309392071559</v>
      </c>
      <c r="F127" s="365">
        <f t="shared" si="30"/>
        <v>8.3911629779144292E-2</v>
      </c>
      <c r="G127" s="364">
        <f t="shared" si="31"/>
        <v>1.0115666202648688</v>
      </c>
      <c r="H127" s="365">
        <f t="shared" si="32"/>
        <v>-0.15136856207676114</v>
      </c>
      <c r="I127" s="363">
        <f t="shared" si="33"/>
        <v>28044.844060018</v>
      </c>
      <c r="J127" s="366">
        <f t="shared" si="34"/>
        <v>1.5707606696167689</v>
      </c>
      <c r="K127" s="374">
        <f t="shared" si="35"/>
        <v>8.5258342547724784</v>
      </c>
      <c r="L127" s="375">
        <f t="shared" si="36"/>
        <v>1.4532351441398534</v>
      </c>
      <c r="M127" s="363">
        <f t="shared" si="37"/>
        <v>1.0482511034236377</v>
      </c>
      <c r="N127" s="366">
        <f t="shared" si="38"/>
        <v>0.3045903097310883</v>
      </c>
      <c r="O127" s="367">
        <f t="shared" si="39"/>
        <v>1.0040783758935574</v>
      </c>
      <c r="P127" s="368">
        <f t="shared" si="40"/>
        <v>0.11818114040488875</v>
      </c>
      <c r="Q127" s="369">
        <f t="shared" si="41"/>
        <v>-3.2913889373631289</v>
      </c>
      <c r="R127" s="370">
        <f t="shared" si="42"/>
        <v>-118.82417667458758</v>
      </c>
      <c r="S127" s="372">
        <f t="shared" si="43"/>
        <v>61.175823325412424</v>
      </c>
      <c r="U127" s="345">
        <f t="shared" si="50"/>
        <v>6760.8</v>
      </c>
      <c r="V127" s="345">
        <f t="shared" si="51"/>
        <v>45708416.640000001</v>
      </c>
      <c r="X127" s="371">
        <f t="shared" si="44"/>
        <v>17.345044888730762</v>
      </c>
      <c r="Y127" s="372">
        <f t="shared" si="45"/>
        <v>-24.185455850694282</v>
      </c>
      <c r="AA127" s="371">
        <f t="shared" si="46"/>
        <v>39.924140645910981</v>
      </c>
      <c r="AB127" s="372">
        <f t="shared" si="47"/>
        <v>-94.63872082389328</v>
      </c>
      <c r="AD127">
        <f t="shared" si="52"/>
        <v>0</v>
      </c>
      <c r="AE127">
        <f t="shared" si="53"/>
        <v>0</v>
      </c>
    </row>
    <row r="128" spans="1:31" x14ac:dyDescent="0.2">
      <c r="A128" s="373">
        <v>6839.55</v>
      </c>
      <c r="B128" s="390">
        <f t="shared" si="49"/>
        <v>6.83955</v>
      </c>
      <c r="C128" s="363">
        <f t="shared" si="27"/>
        <v>9.6809233955241645</v>
      </c>
      <c r="D128" s="364">
        <f t="shared" si="28"/>
        <v>1.4673158121762284</v>
      </c>
      <c r="E128" s="364">
        <f t="shared" si="29"/>
        <v>1.0036135262909969</v>
      </c>
      <c r="F128" s="365">
        <f t="shared" si="30"/>
        <v>8.4884373456535309E-2</v>
      </c>
      <c r="G128" s="364">
        <f t="shared" si="31"/>
        <v>1.011836060871151</v>
      </c>
      <c r="H128" s="365">
        <f t="shared" si="32"/>
        <v>-0.15310443727353693</v>
      </c>
      <c r="I128" s="363">
        <f t="shared" si="33"/>
        <v>28371.511239484127</v>
      </c>
      <c r="J128" s="366">
        <f t="shared" si="34"/>
        <v>1.5707610801705005</v>
      </c>
      <c r="K128" s="374">
        <f t="shared" si="35"/>
        <v>8.6237849804941078</v>
      </c>
      <c r="L128" s="375">
        <f t="shared" si="36"/>
        <v>1.4545765081012789</v>
      </c>
      <c r="M128" s="363">
        <f t="shared" si="37"/>
        <v>1.0493551082104942</v>
      </c>
      <c r="N128" s="366">
        <f t="shared" si="38"/>
        <v>0.30791928593029355</v>
      </c>
      <c r="O128" s="367">
        <f t="shared" si="39"/>
        <v>1.0041738428953149</v>
      </c>
      <c r="P128" s="368">
        <f t="shared" si="40"/>
        <v>0.11955285519130648</v>
      </c>
      <c r="Q128" s="369">
        <f t="shared" si="41"/>
        <v>-3.3992009937296119</v>
      </c>
      <c r="R128" s="370">
        <f t="shared" si="42"/>
        <v>-119.12896029124886</v>
      </c>
      <c r="S128" s="372">
        <f t="shared" si="43"/>
        <v>60.871039708751141</v>
      </c>
      <c r="U128" s="345">
        <f t="shared" si="50"/>
        <v>6839.55</v>
      </c>
      <c r="V128" s="345">
        <f t="shared" si="51"/>
        <v>46779444.202500001</v>
      </c>
      <c r="X128" s="371">
        <f t="shared" si="44"/>
        <v>17.334533712641395</v>
      </c>
      <c r="Y128" s="372">
        <f t="shared" si="45"/>
        <v>-24.299361166353858</v>
      </c>
      <c r="AA128" s="371">
        <f t="shared" si="46"/>
        <v>39.826839765633864</v>
      </c>
      <c r="AB128" s="372">
        <f t="shared" si="47"/>
        <v>-94.829599124894997</v>
      </c>
      <c r="AD128">
        <f t="shared" si="52"/>
        <v>0</v>
      </c>
      <c r="AE128">
        <f t="shared" si="53"/>
        <v>0</v>
      </c>
    </row>
    <row r="129" spans="1:31" x14ac:dyDescent="0.2">
      <c r="A129" s="373">
        <v>6918.3</v>
      </c>
      <c r="B129" s="390">
        <f t="shared" si="49"/>
        <v>6.9183000000000003</v>
      </c>
      <c r="C129" s="363">
        <f t="shared" si="27"/>
        <v>9.7912060854043546</v>
      </c>
      <c r="D129" s="364">
        <f t="shared" si="28"/>
        <v>1.4684854664700717</v>
      </c>
      <c r="E129" s="364">
        <f t="shared" si="29"/>
        <v>1.0036970628675237</v>
      </c>
      <c r="F129" s="365">
        <f t="shared" si="30"/>
        <v>8.5856956133364248E-2</v>
      </c>
      <c r="G129" s="364">
        <f t="shared" si="31"/>
        <v>1.0121085487765817</v>
      </c>
      <c r="H129" s="365">
        <f t="shared" si="32"/>
        <v>-0.15483938300359973</v>
      </c>
      <c r="I129" s="363">
        <f t="shared" si="33"/>
        <v>28698.178418954922</v>
      </c>
      <c r="J129" s="366">
        <f t="shared" si="34"/>
        <v>1.5707614813776858</v>
      </c>
      <c r="K129" s="374">
        <f t="shared" si="35"/>
        <v>8.7217508740895902</v>
      </c>
      <c r="L129" s="375">
        <f t="shared" si="36"/>
        <v>1.4558877409974251</v>
      </c>
      <c r="M129" s="363">
        <f t="shared" si="37"/>
        <v>1.0504707175188255</v>
      </c>
      <c r="N129" s="366">
        <f t="shared" si="38"/>
        <v>0.31124122807364163</v>
      </c>
      <c r="O129" s="367">
        <f t="shared" si="39"/>
        <v>1.0042704109874165</v>
      </c>
      <c r="P129" s="368">
        <f t="shared" si="40"/>
        <v>0.12092440195295479</v>
      </c>
      <c r="Q129" s="369">
        <f t="shared" si="41"/>
        <v>-3.5059141347706428</v>
      </c>
      <c r="R129" s="370">
        <f t="shared" si="42"/>
        <v>-119.43346871354871</v>
      </c>
      <c r="S129" s="372">
        <f t="shared" si="43"/>
        <v>60.566531286451294</v>
      </c>
      <c r="U129" s="345">
        <f t="shared" si="50"/>
        <v>6918.3</v>
      </c>
      <c r="V129" s="345">
        <f t="shared" si="51"/>
        <v>47862874.890000001</v>
      </c>
      <c r="X129" s="371">
        <f t="shared" si="44"/>
        <v>17.323982240937838</v>
      </c>
      <c r="Y129" s="372">
        <f t="shared" si="45"/>
        <v>-24.414589307656549</v>
      </c>
      <c r="AA129" s="371">
        <f t="shared" si="46"/>
        <v>39.730678096296387</v>
      </c>
      <c r="AB129" s="372">
        <f t="shared" si="47"/>
        <v>-95.018879405892136</v>
      </c>
      <c r="AD129">
        <f t="shared" si="52"/>
        <v>0</v>
      </c>
      <c r="AE129">
        <f t="shared" si="53"/>
        <v>0</v>
      </c>
    </row>
    <row r="130" spans="1:31" x14ac:dyDescent="0.2">
      <c r="A130" s="373">
        <v>6998.9</v>
      </c>
      <c r="B130" s="390">
        <f t="shared" si="49"/>
        <v>6.9988999999999999</v>
      </c>
      <c r="C130" s="363">
        <f t="shared" si="27"/>
        <v>9.9040931016714548</v>
      </c>
      <c r="D130" s="364">
        <f t="shared" si="28"/>
        <v>1.4696556232904425</v>
      </c>
      <c r="E130" s="364">
        <f t="shared" si="29"/>
        <v>1.0037835448561987</v>
      </c>
      <c r="F130" s="365">
        <f t="shared" si="30"/>
        <v>8.685221818782049E-2</v>
      </c>
      <c r="G130" s="364">
        <f t="shared" si="31"/>
        <v>1.0123905909381468</v>
      </c>
      <c r="H130" s="365">
        <f t="shared" si="32"/>
        <v>-0.15661411360085614</v>
      </c>
      <c r="I130" s="363">
        <f t="shared" si="33"/>
        <v>29032.519684551298</v>
      </c>
      <c r="J130" s="366">
        <f t="shared" si="34"/>
        <v>1.5707618826608338</v>
      </c>
      <c r="K130" s="374">
        <f t="shared" si="35"/>
        <v>8.8220333678771432</v>
      </c>
      <c r="L130" s="375">
        <f t="shared" si="36"/>
        <v>1.4571996192697079</v>
      </c>
      <c r="M130" s="363">
        <f t="shared" si="37"/>
        <v>1.0516245128915287</v>
      </c>
      <c r="N130" s="366">
        <f t="shared" si="38"/>
        <v>0.31463387260456233</v>
      </c>
      <c r="O130" s="367">
        <f t="shared" si="39"/>
        <v>1.0043703876978838</v>
      </c>
      <c r="P130" s="368">
        <f t="shared" si="40"/>
        <v>0.12232799322168661</v>
      </c>
      <c r="Q130" s="369">
        <f t="shared" si="41"/>
        <v>-3.6140233059290199</v>
      </c>
      <c r="R130" s="370">
        <f t="shared" si="42"/>
        <v>-119.74483599130953</v>
      </c>
      <c r="S130" s="372">
        <f t="shared" si="43"/>
        <v>60.255164008690471</v>
      </c>
      <c r="U130" s="345">
        <f t="shared" si="50"/>
        <v>6998.9</v>
      </c>
      <c r="V130" s="345">
        <f t="shared" si="51"/>
        <v>48984601.209999993</v>
      </c>
      <c r="X130" s="371">
        <f t="shared" si="44"/>
        <v>17.31313965564274</v>
      </c>
      <c r="Y130" s="372">
        <f t="shared" si="45"/>
        <v>-24.533831424396755</v>
      </c>
      <c r="AA130" s="371">
        <f t="shared" si="46"/>
        <v>39.633411510433113</v>
      </c>
      <c r="AB130" s="372">
        <f t="shared" si="47"/>
        <v>-95.211004566912777</v>
      </c>
      <c r="AD130">
        <f t="shared" si="52"/>
        <v>0</v>
      </c>
      <c r="AE130">
        <f t="shared" si="53"/>
        <v>0</v>
      </c>
    </row>
    <row r="131" spans="1:31" x14ac:dyDescent="0.2">
      <c r="A131" s="373">
        <v>7079.5</v>
      </c>
      <c r="B131" s="390">
        <f t="shared" si="49"/>
        <v>7.0795000000000003</v>
      </c>
      <c r="C131" s="363">
        <f t="shared" si="27"/>
        <v>10.016993373614968</v>
      </c>
      <c r="D131" s="364">
        <f t="shared" si="28"/>
        <v>1.4707994042670907</v>
      </c>
      <c r="E131" s="364">
        <f t="shared" si="29"/>
        <v>1.0038710209673196</v>
      </c>
      <c r="F131" s="365">
        <f t="shared" si="30"/>
        <v>8.7847307775944558E-2</v>
      </c>
      <c r="G131" s="364">
        <f t="shared" si="31"/>
        <v>1.0126758200126258</v>
      </c>
      <c r="H131" s="365">
        <f t="shared" si="32"/>
        <v>-0.15838785004514103</v>
      </c>
      <c r="I131" s="363">
        <f t="shared" si="33"/>
        <v>29366.860950152244</v>
      </c>
      <c r="J131" s="366">
        <f t="shared" si="34"/>
        <v>1.5707622748067767</v>
      </c>
      <c r="K131" s="374">
        <f t="shared" si="35"/>
        <v>8.9223307032890329</v>
      </c>
      <c r="L131" s="375">
        <f t="shared" si="36"/>
        <v>1.4584820056441403</v>
      </c>
      <c r="M131" s="363">
        <f t="shared" si="37"/>
        <v>1.0527903858889858</v>
      </c>
      <c r="N131" s="366">
        <f t="shared" si="38"/>
        <v>0.31801904191495539</v>
      </c>
      <c r="O131" s="367">
        <f t="shared" si="39"/>
        <v>1.0044715175135754</v>
      </c>
      <c r="P131" s="368">
        <f t="shared" si="40"/>
        <v>0.12373140449023612</v>
      </c>
      <c r="Q131" s="369">
        <f t="shared" si="41"/>
        <v>-3.721035317773179</v>
      </c>
      <c r="R131" s="370">
        <f t="shared" si="42"/>
        <v>-120.05589559128255</v>
      </c>
      <c r="S131" s="372">
        <f t="shared" si="43"/>
        <v>59.94410440871745</v>
      </c>
      <c r="U131" s="345">
        <f t="shared" si="50"/>
        <v>7079.5</v>
      </c>
      <c r="V131" s="345">
        <f t="shared" si="51"/>
        <v>50119320.25</v>
      </c>
      <c r="X131" s="371">
        <f t="shared" si="44"/>
        <v>17.302251912564198</v>
      </c>
      <c r="Y131" s="372">
        <f t="shared" si="45"/>
        <v>-24.654334480304598</v>
      </c>
      <c r="AA131" s="371">
        <f t="shared" si="46"/>
        <v>39.537287241667492</v>
      </c>
      <c r="AB131" s="372">
        <f t="shared" si="47"/>
        <v>-95.401561110977937</v>
      </c>
      <c r="AD131">
        <f t="shared" si="52"/>
        <v>0</v>
      </c>
      <c r="AE131">
        <f t="shared" si="53"/>
        <v>0</v>
      </c>
    </row>
    <row r="132" spans="1:31" x14ac:dyDescent="0.2">
      <c r="A132" s="373">
        <v>7161.95</v>
      </c>
      <c r="B132" s="390">
        <f t="shared" si="49"/>
        <v>7.16195</v>
      </c>
      <c r="C132" s="363">
        <f t="shared" si="27"/>
        <v>10.13249828254293</v>
      </c>
      <c r="D132" s="364">
        <f t="shared" si="28"/>
        <v>1.4719430635584758</v>
      </c>
      <c r="E132" s="364">
        <f t="shared" si="29"/>
        <v>1.0039615332451008</v>
      </c>
      <c r="F132" s="365">
        <f t="shared" si="30"/>
        <v>8.8865057052682203E-2</v>
      </c>
      <c r="G132" s="364">
        <f t="shared" si="31"/>
        <v>1.0129708905768431</v>
      </c>
      <c r="H132" s="365">
        <f t="shared" si="32"/>
        <v>-0.16020125940388827</v>
      </c>
      <c r="I132" s="363">
        <f t="shared" si="33"/>
        <v>29708.876301878867</v>
      </c>
      <c r="J132" s="366">
        <f t="shared" si="34"/>
        <v>1.5707626668210213</v>
      </c>
      <c r="K132" s="374">
        <f t="shared" si="35"/>
        <v>9.0249449893726368</v>
      </c>
      <c r="L132" s="375">
        <f t="shared" si="36"/>
        <v>1.459764332228255</v>
      </c>
      <c r="M132" s="363">
        <f t="shared" si="37"/>
        <v>1.0539954738397397</v>
      </c>
      <c r="N132" s="366">
        <f t="shared" si="38"/>
        <v>0.32147412107952023</v>
      </c>
      <c r="O132" s="367">
        <f t="shared" si="39"/>
        <v>1.0045761614816011</v>
      </c>
      <c r="P132" s="368">
        <f t="shared" si="40"/>
        <v>0.12516683970713863</v>
      </c>
      <c r="Q132" s="369">
        <f t="shared" si="41"/>
        <v>-3.8293953236975491</v>
      </c>
      <c r="R132" s="370">
        <f t="shared" si="42"/>
        <v>-120.37376680010986</v>
      </c>
      <c r="S132" s="372">
        <f t="shared" si="43"/>
        <v>59.626233199890137</v>
      </c>
      <c r="U132" s="345">
        <f t="shared" si="50"/>
        <v>7161.95</v>
      </c>
      <c r="V132" s="345">
        <f t="shared" si="51"/>
        <v>51293527.802499995</v>
      </c>
      <c r="X132" s="371">
        <f t="shared" si="44"/>
        <v>17.291066172024088</v>
      </c>
      <c r="Y132" s="372">
        <f t="shared" si="45"/>
        <v>-24.778846493994557</v>
      </c>
      <c r="AA132" s="371">
        <f t="shared" si="46"/>
        <v>39.440112976283231</v>
      </c>
      <c r="AB132" s="372">
        <f t="shared" si="47"/>
        <v>-95.594920306115327</v>
      </c>
      <c r="AD132">
        <f t="shared" si="52"/>
        <v>0</v>
      </c>
      <c r="AE132">
        <f t="shared" si="53"/>
        <v>0</v>
      </c>
    </row>
    <row r="133" spans="1:31" x14ac:dyDescent="0.2">
      <c r="A133" s="373">
        <v>7244.4</v>
      </c>
      <c r="B133" s="390">
        <f t="shared" si="49"/>
        <v>7.2443999999999997</v>
      </c>
      <c r="C133" s="363">
        <f t="shared" si="27"/>
        <v>10.248016145583762</v>
      </c>
      <c r="D133" s="364">
        <f t="shared" si="28"/>
        <v>1.4730609411329654</v>
      </c>
      <c r="E133" s="364">
        <f t="shared" si="29"/>
        <v>1.0040530852517637</v>
      </c>
      <c r="F133" s="365">
        <f t="shared" si="30"/>
        <v>8.9882621781550306E-2</v>
      </c>
      <c r="G133" s="364">
        <f t="shared" si="31"/>
        <v>1.0132692903022653</v>
      </c>
      <c r="H133" s="365">
        <f t="shared" si="32"/>
        <v>-0.16201360665035569</v>
      </c>
      <c r="I133" s="363">
        <f t="shared" si="33"/>
        <v>30050.89165360995</v>
      </c>
      <c r="J133" s="366">
        <f t="shared" si="34"/>
        <v>1.5707630499120768</v>
      </c>
      <c r="K133" s="374">
        <f t="shared" si="35"/>
        <v>9.1275737820384855</v>
      </c>
      <c r="L133" s="375">
        <f t="shared" si="36"/>
        <v>1.4610178243376448</v>
      </c>
      <c r="M133" s="363">
        <f t="shared" si="37"/>
        <v>1.0552131151114366</v>
      </c>
      <c r="N133" s="366">
        <f t="shared" si="38"/>
        <v>0.32492126748213174</v>
      </c>
      <c r="O133" s="367">
        <f t="shared" si="39"/>
        <v>1.0046820117390169</v>
      </c>
      <c r="P133" s="368">
        <f t="shared" si="40"/>
        <v>0.12660208230402215</v>
      </c>
      <c r="Q133" s="369">
        <f t="shared" si="41"/>
        <v>-3.9366610515483744</v>
      </c>
      <c r="R133" s="370">
        <f t="shared" si="42"/>
        <v>-120.69129657698437</v>
      </c>
      <c r="S133" s="372">
        <f t="shared" si="43"/>
        <v>59.308703423015629</v>
      </c>
      <c r="U133" s="345">
        <f t="shared" si="50"/>
        <v>7244.4</v>
      </c>
      <c r="V133" s="345">
        <f t="shared" si="51"/>
        <v>52481331.359999992</v>
      </c>
      <c r="X133" s="371">
        <f t="shared" si="44"/>
        <v>17.27983051600464</v>
      </c>
      <c r="Y133" s="372">
        <f t="shared" si="45"/>
        <v>-24.904555576351211</v>
      </c>
      <c r="AA133" s="371">
        <f t="shared" si="46"/>
        <v>39.344082904451852</v>
      </c>
      <c r="AB133" s="372">
        <f t="shared" si="47"/>
        <v>-95.786741000633128</v>
      </c>
      <c r="AD133">
        <f t="shared" si="52"/>
        <v>0</v>
      </c>
      <c r="AE133">
        <f t="shared" si="53"/>
        <v>0</v>
      </c>
    </row>
    <row r="134" spans="1:31" x14ac:dyDescent="0.2">
      <c r="A134" s="373">
        <v>7328.75</v>
      </c>
      <c r="B134" s="390">
        <f t="shared" si="49"/>
        <v>7.3287500000000003</v>
      </c>
      <c r="C134" s="363">
        <f t="shared" si="27"/>
        <v>10.36620898709627</v>
      </c>
      <c r="D134" s="364">
        <f t="shared" si="28"/>
        <v>1.4741787955560144</v>
      </c>
      <c r="E134" s="364">
        <f t="shared" si="29"/>
        <v>1.0041478226555827</v>
      </c>
      <c r="F134" s="365">
        <f t="shared" si="30"/>
        <v>9.0923442425541318E-2</v>
      </c>
      <c r="G134" s="364">
        <f t="shared" si="31"/>
        <v>1.0135780084872716</v>
      </c>
      <c r="H134" s="365">
        <f t="shared" si="32"/>
        <v>-0.16386660757602306</v>
      </c>
      <c r="I134" s="363">
        <f t="shared" si="33"/>
        <v>30400.788499199818</v>
      </c>
      <c r="J134" s="366">
        <f t="shared" si="34"/>
        <v>1.5707634329112328</v>
      </c>
      <c r="K134" s="374">
        <f t="shared" si="35"/>
        <v>9.2325820876512186</v>
      </c>
      <c r="L134" s="375">
        <f t="shared" si="36"/>
        <v>1.4622713620874865</v>
      </c>
      <c r="M134" s="363">
        <f t="shared" si="37"/>
        <v>1.0564717613489467</v>
      </c>
      <c r="N134" s="366">
        <f t="shared" si="38"/>
        <v>0.32843958510859567</v>
      </c>
      <c r="O134" s="367">
        <f t="shared" si="39"/>
        <v>1.0047915493534276</v>
      </c>
      <c r="P134" s="368">
        <f t="shared" si="40"/>
        <v>0.12807019744444573</v>
      </c>
      <c r="Q134" s="369">
        <f t="shared" si="41"/>
        <v>-4.0452931428158116</v>
      </c>
      <c r="R134" s="370">
        <f t="shared" si="42"/>
        <v>-121.01578049432699</v>
      </c>
      <c r="S134" s="372">
        <f t="shared" si="43"/>
        <v>58.984219505673011</v>
      </c>
      <c r="U134" s="345">
        <f t="shared" si="50"/>
        <v>7328.75</v>
      </c>
      <c r="V134" s="345">
        <f t="shared" si="51"/>
        <v>53710576.5625</v>
      </c>
      <c r="X134" s="371">
        <f t="shared" si="44"/>
        <v>17.26828306294021</v>
      </c>
      <c r="Y134" s="372">
        <f t="shared" si="45"/>
        <v>-25.034339849191316</v>
      </c>
      <c r="AA134" s="371">
        <f t="shared" si="46"/>
        <v>39.246998266248845</v>
      </c>
      <c r="AB134" s="372">
        <f t="shared" si="47"/>
        <v>-95.981440645135677</v>
      </c>
      <c r="AD134">
        <f t="shared" si="52"/>
        <v>0</v>
      </c>
      <c r="AE134">
        <f t="shared" si="53"/>
        <v>0</v>
      </c>
    </row>
    <row r="135" spans="1:31" x14ac:dyDescent="0.2">
      <c r="A135" s="373">
        <v>7413.1</v>
      </c>
      <c r="B135" s="390">
        <f t="shared" si="49"/>
        <v>7.4131</v>
      </c>
      <c r="C135" s="363">
        <f t="shared" si="27"/>
        <v>10.484414490141896</v>
      </c>
      <c r="D135" s="364">
        <f t="shared" si="28"/>
        <v>1.4752714450387503</v>
      </c>
      <c r="E135" s="364">
        <f t="shared" si="29"/>
        <v>1.004243647654455</v>
      </c>
      <c r="F135" s="365">
        <f t="shared" si="30"/>
        <v>9.196406556631212E-2</v>
      </c>
      <c r="G135" s="364">
        <f t="shared" si="31"/>
        <v>1.0138902047799745</v>
      </c>
      <c r="H135" s="365">
        <f t="shared" si="32"/>
        <v>-0.16571847370779244</v>
      </c>
      <c r="I135" s="363">
        <f t="shared" si="33"/>
        <v>30750.685344794048</v>
      </c>
      <c r="J135" s="366">
        <f t="shared" si="34"/>
        <v>1.5707638071944727</v>
      </c>
      <c r="K135" s="374">
        <f t="shared" si="35"/>
        <v>9.3376045746329801</v>
      </c>
      <c r="L135" s="375">
        <f t="shared" si="36"/>
        <v>1.4634967039913456</v>
      </c>
      <c r="M135" s="363">
        <f t="shared" si="37"/>
        <v>1.0577434539671118</v>
      </c>
      <c r="N135" s="366">
        <f t="shared" si="38"/>
        <v>0.33194948616451458</v>
      </c>
      <c r="O135" s="367">
        <f t="shared" si="39"/>
        <v>1.0049023491027183</v>
      </c>
      <c r="P135" s="368">
        <f t="shared" si="40"/>
        <v>0.1295381064310217</v>
      </c>
      <c r="Q135" s="369">
        <f t="shared" si="41"/>
        <v>-4.152833591366722</v>
      </c>
      <c r="R135" s="370">
        <f t="shared" si="42"/>
        <v>-121.33988753004019</v>
      </c>
      <c r="S135" s="372">
        <f t="shared" si="43"/>
        <v>58.660112469959813</v>
      </c>
      <c r="U135" s="345">
        <f t="shared" si="50"/>
        <v>7413.1</v>
      </c>
      <c r="V135" s="345">
        <f t="shared" si="51"/>
        <v>54954051.610000007</v>
      </c>
      <c r="X135" s="371">
        <f t="shared" si="44"/>
        <v>17.256680991215177</v>
      </c>
      <c r="Y135" s="372">
        <f t="shared" si="45"/>
        <v>-25.165256891651907</v>
      </c>
      <c r="AA135" s="371">
        <f t="shared" si="46"/>
        <v>39.151059889422967</v>
      </c>
      <c r="AB135" s="372">
        <f t="shared" si="47"/>
        <v>-96.174630638388265</v>
      </c>
      <c r="AD135">
        <f t="shared" si="52"/>
        <v>0</v>
      </c>
      <c r="AE135">
        <f t="shared" si="53"/>
        <v>0</v>
      </c>
    </row>
    <row r="136" spans="1:31" x14ac:dyDescent="0.2">
      <c r="A136" s="373">
        <v>7499.45</v>
      </c>
      <c r="B136" s="390">
        <f t="shared" si="49"/>
        <v>7.4994499999999995</v>
      </c>
      <c r="C136" s="363">
        <f t="shared" si="27"/>
        <v>10.605435405252896</v>
      </c>
      <c r="D136" s="364">
        <f t="shared" si="28"/>
        <v>1.4763647707883811</v>
      </c>
      <c r="E136" s="364">
        <f t="shared" si="29"/>
        <v>1.0043428709911661</v>
      </c>
      <c r="F136" s="365">
        <f t="shared" si="30"/>
        <v>9.3029155763677443E-2</v>
      </c>
      <c r="G136" s="364">
        <f t="shared" si="31"/>
        <v>1.014213402908936</v>
      </c>
      <c r="H136" s="365">
        <f t="shared" si="32"/>
        <v>-0.16761306130231643</v>
      </c>
      <c r="I136" s="363">
        <f t="shared" si="33"/>
        <v>31108.878499713184</v>
      </c>
      <c r="J136" s="366">
        <f t="shared" si="34"/>
        <v>1.5707641816309306</v>
      </c>
      <c r="K136" s="374">
        <f t="shared" si="35"/>
        <v>9.4451314171965102</v>
      </c>
      <c r="L136" s="375">
        <f t="shared" si="36"/>
        <v>1.4647228712447673</v>
      </c>
      <c r="M136" s="363">
        <f t="shared" si="37"/>
        <v>1.0590587643314102</v>
      </c>
      <c r="N136" s="366">
        <f t="shared" si="38"/>
        <v>0.33553383279042431</v>
      </c>
      <c r="O136" s="367">
        <f t="shared" si="39"/>
        <v>1.0050170831637582</v>
      </c>
      <c r="P136" s="368">
        <f t="shared" si="40"/>
        <v>0.13104060466552903</v>
      </c>
      <c r="Q136" s="369">
        <f t="shared" si="41"/>
        <v>-4.2618199683988047</v>
      </c>
      <c r="R136" s="370">
        <f t="shared" si="42"/>
        <v>-121.67127916805021</v>
      </c>
      <c r="S136" s="372">
        <f t="shared" si="43"/>
        <v>58.328720831949795</v>
      </c>
      <c r="U136" s="345">
        <f t="shared" si="50"/>
        <v>7499.45</v>
      </c>
      <c r="V136" s="345">
        <f t="shared" si="51"/>
        <v>56241750.302499995</v>
      </c>
      <c r="X136" s="371">
        <f t="shared" si="44"/>
        <v>17.244746164986925</v>
      </c>
      <c r="Y136" s="372">
        <f t="shared" si="45"/>
        <v>-25.300392070813427</v>
      </c>
      <c r="AA136" s="371">
        <f t="shared" si="46"/>
        <v>39.054008338619141</v>
      </c>
      <c r="AB136" s="372">
        <f t="shared" si="47"/>
        <v>-96.370887097236746</v>
      </c>
      <c r="AD136">
        <f t="shared" si="52"/>
        <v>0</v>
      </c>
      <c r="AE136">
        <f t="shared" si="53"/>
        <v>0</v>
      </c>
    </row>
    <row r="137" spans="1:31" x14ac:dyDescent="0.2">
      <c r="A137" s="373">
        <v>7585.8</v>
      </c>
      <c r="B137" s="390">
        <f t="shared" si="49"/>
        <v>7.5857999999999999</v>
      </c>
      <c r="C137" s="363">
        <f t="shared" si="27"/>
        <v>10.726468711618359</v>
      </c>
      <c r="D137" s="364">
        <f t="shared" si="28"/>
        <v>1.4774334244653879</v>
      </c>
      <c r="E137" s="364">
        <f t="shared" si="29"/>
        <v>1.0044432334457805</v>
      </c>
      <c r="F137" s="365">
        <f t="shared" si="30"/>
        <v>9.4094034324443382E-2</v>
      </c>
      <c r="G137" s="364">
        <f t="shared" si="31"/>
        <v>1.0145402391914355</v>
      </c>
      <c r="H137" s="365">
        <f t="shared" si="32"/>
        <v>-0.16950643499860701</v>
      </c>
      <c r="I137" s="363">
        <f t="shared" si="33"/>
        <v>31467.071654636584</v>
      </c>
      <c r="J137" s="366">
        <f t="shared" si="34"/>
        <v>1.5707645475428853</v>
      </c>
      <c r="K137" s="374">
        <f t="shared" si="35"/>
        <v>9.5526721406815724</v>
      </c>
      <c r="L137" s="375">
        <f t="shared" si="36"/>
        <v>1.4659214327214376</v>
      </c>
      <c r="M137" s="363">
        <f t="shared" si="37"/>
        <v>1.0603876471398468</v>
      </c>
      <c r="N137" s="366">
        <f t="shared" si="38"/>
        <v>0.33910924141584026</v>
      </c>
      <c r="O137" s="367">
        <f t="shared" si="39"/>
        <v>1.005133139492655</v>
      </c>
      <c r="P137" s="368">
        <f t="shared" si="40"/>
        <v>0.13254288198051739</v>
      </c>
      <c r="Q137" s="369">
        <f t="shared" si="41"/>
        <v>-4.3697158817780295</v>
      </c>
      <c r="R137" s="370">
        <f t="shared" si="42"/>
        <v>-122.00225621368327</v>
      </c>
      <c r="S137" s="372">
        <f t="shared" si="43"/>
        <v>57.997743786316732</v>
      </c>
      <c r="U137" s="345">
        <f t="shared" si="50"/>
        <v>7585.8</v>
      </c>
      <c r="V137" s="345">
        <f t="shared" si="51"/>
        <v>57544361.640000001</v>
      </c>
      <c r="X137" s="371">
        <f t="shared" si="44"/>
        <v>17.232752004018433</v>
      </c>
      <c r="Y137" s="372">
        <f t="shared" si="45"/>
        <v>-25.43659634635058</v>
      </c>
      <c r="AA137" s="371">
        <f t="shared" si="46"/>
        <v>38.958106586208409</v>
      </c>
      <c r="AB137" s="372">
        <f t="shared" si="47"/>
        <v>-96.565659867332698</v>
      </c>
      <c r="AD137">
        <f t="shared" si="52"/>
        <v>0</v>
      </c>
      <c r="AE137">
        <f t="shared" si="53"/>
        <v>0</v>
      </c>
    </row>
    <row r="138" spans="1:31" x14ac:dyDescent="0.2">
      <c r="A138" s="373">
        <v>7674.15</v>
      </c>
      <c r="B138" s="390">
        <f t="shared" si="49"/>
        <v>7.67415</v>
      </c>
      <c r="C138" s="363">
        <f t="shared" si="27"/>
        <v>10.850317729762812</v>
      </c>
      <c r="D138" s="364">
        <f t="shared" si="28"/>
        <v>1.4785021526029716</v>
      </c>
      <c r="E138" s="364">
        <f t="shared" si="29"/>
        <v>1.0045470990935166</v>
      </c>
      <c r="F138" s="365">
        <f t="shared" si="30"/>
        <v>9.5183355626700716E-2</v>
      </c>
      <c r="G138" s="364">
        <f t="shared" si="31"/>
        <v>1.0148784073704191</v>
      </c>
      <c r="H138" s="365">
        <f t="shared" si="32"/>
        <v>-0.17144239284212032</v>
      </c>
      <c r="I138" s="363">
        <f t="shared" si="33"/>
        <v>31833.561118884994</v>
      </c>
      <c r="J138" s="366">
        <f t="shared" si="34"/>
        <v>1.5707649134071067</v>
      </c>
      <c r="K138" s="374">
        <f t="shared" si="35"/>
        <v>9.6627175577163023</v>
      </c>
      <c r="L138" s="375">
        <f t="shared" si="36"/>
        <v>1.4671201402873186</v>
      </c>
      <c r="M138" s="363">
        <f t="shared" si="37"/>
        <v>1.0617613034036013</v>
      </c>
      <c r="N138" s="366">
        <f t="shared" si="38"/>
        <v>0.34275815097634393</v>
      </c>
      <c r="O138" s="367">
        <f t="shared" si="39"/>
        <v>1.0052532521974062</v>
      </c>
      <c r="P138" s="368">
        <f t="shared" si="40"/>
        <v>0.1340797231482318</v>
      </c>
      <c r="Q138" s="369">
        <f t="shared" si="41"/>
        <v>-4.4790089663388164</v>
      </c>
      <c r="R138" s="370">
        <f t="shared" si="42"/>
        <v>-122.34046023480981</v>
      </c>
      <c r="S138" s="372">
        <f t="shared" si="43"/>
        <v>57.659539765190189</v>
      </c>
      <c r="U138" s="345">
        <f t="shared" si="50"/>
        <v>7674.15</v>
      </c>
      <c r="V138" s="345">
        <f t="shared" si="51"/>
        <v>58892578.222499996</v>
      </c>
      <c r="X138" s="371">
        <f t="shared" si="44"/>
        <v>17.22041768502331</v>
      </c>
      <c r="Y138" s="372">
        <f t="shared" si="45"/>
        <v>-25.577003542233189</v>
      </c>
      <c r="AA138" s="371">
        <f t="shared" si="46"/>
        <v>38.861147820642742</v>
      </c>
      <c r="AB138" s="372">
        <f t="shared" si="47"/>
        <v>-96.763456692576653</v>
      </c>
      <c r="AD138">
        <f t="shared" si="52"/>
        <v>0</v>
      </c>
      <c r="AE138">
        <f t="shared" si="53"/>
        <v>0</v>
      </c>
    </row>
    <row r="139" spans="1:31" x14ac:dyDescent="0.2">
      <c r="A139" s="373">
        <v>7762.5</v>
      </c>
      <c r="B139" s="390">
        <f t="shared" si="49"/>
        <v>7.7625000000000002</v>
      </c>
      <c r="C139" s="363">
        <f t="shared" si="27"/>
        <v>10.974178861190655</v>
      </c>
      <c r="D139" s="364">
        <f t="shared" si="28"/>
        <v>1.4795467573042993</v>
      </c>
      <c r="E139" s="364">
        <f t="shared" si="29"/>
        <v>1.0046521565105377</v>
      </c>
      <c r="F139" s="365">
        <f t="shared" si="30"/>
        <v>9.6272450398378812E-2</v>
      </c>
      <c r="G139" s="364">
        <f t="shared" si="31"/>
        <v>1.0152203767031229</v>
      </c>
      <c r="H139" s="365">
        <f t="shared" si="32"/>
        <v>-0.17337705370694406</v>
      </c>
      <c r="I139" s="363">
        <f t="shared" si="33"/>
        <v>32200.050583137574</v>
      </c>
      <c r="J139" s="366">
        <f t="shared" si="34"/>
        <v>1.5707652709430564</v>
      </c>
      <c r="K139" s="374">
        <f t="shared" si="35"/>
        <v>9.772776546409796</v>
      </c>
      <c r="L139" s="375">
        <f t="shared" si="36"/>
        <v>1.4682918503118858</v>
      </c>
      <c r="M139" s="363">
        <f t="shared" si="37"/>
        <v>1.0631490598906501</v>
      </c>
      <c r="N139" s="366">
        <f t="shared" si="38"/>
        <v>0.34639758285369587</v>
      </c>
      <c r="O139" s="367">
        <f t="shared" si="39"/>
        <v>1.0053747486612563</v>
      </c>
      <c r="P139" s="368">
        <f t="shared" si="40"/>
        <v>0.13561632783430619</v>
      </c>
      <c r="Q139" s="369">
        <f t="shared" si="41"/>
        <v>-4.587213897829753</v>
      </c>
      <c r="R139" s="370">
        <f t="shared" si="42"/>
        <v>-122.67821054004779</v>
      </c>
      <c r="S139" s="372">
        <f t="shared" si="43"/>
        <v>57.321789459952214</v>
      </c>
      <c r="U139" s="345">
        <f t="shared" si="50"/>
        <v>7762.5</v>
      </c>
      <c r="V139" s="345">
        <f t="shared" si="51"/>
        <v>60256406.25</v>
      </c>
      <c r="X139" s="371">
        <f t="shared" si="44"/>
        <v>17.208019439636782</v>
      </c>
      <c r="Y139" s="372">
        <f t="shared" si="45"/>
        <v>-25.718414074872484</v>
      </c>
      <c r="AA139" s="371">
        <f t="shared" si="46"/>
        <v>38.765341134538339</v>
      </c>
      <c r="AB139" s="372">
        <f t="shared" si="47"/>
        <v>-96.959796465175287</v>
      </c>
      <c r="AD139">
        <f t="shared" si="52"/>
        <v>0</v>
      </c>
      <c r="AE139">
        <f t="shared" si="53"/>
        <v>0</v>
      </c>
    </row>
    <row r="140" spans="1:31" x14ac:dyDescent="0.2">
      <c r="A140" s="373">
        <v>7852.9</v>
      </c>
      <c r="B140" s="390">
        <f t="shared" si="49"/>
        <v>7.8529</v>
      </c>
      <c r="C140" s="363">
        <f t="shared" si="27"/>
        <v>11.100926078616073</v>
      </c>
      <c r="D140" s="364">
        <f t="shared" si="28"/>
        <v>1.4805914705422809</v>
      </c>
      <c r="E140" s="364">
        <f t="shared" si="29"/>
        <v>1.004760884771958</v>
      </c>
      <c r="F140" s="365">
        <f t="shared" si="30"/>
        <v>9.7386578524086623E-2</v>
      </c>
      <c r="G140" s="364">
        <f t="shared" si="31"/>
        <v>1.0155742112777966</v>
      </c>
      <c r="H140" s="365">
        <f t="shared" si="32"/>
        <v>-0.17535524863456636</v>
      </c>
      <c r="I140" s="363">
        <f t="shared" si="33"/>
        <v>32575.043764448277</v>
      </c>
      <c r="J140" s="366">
        <f t="shared" si="34"/>
        <v>1.5707656284478004</v>
      </c>
      <c r="K140" s="374">
        <f t="shared" si="35"/>
        <v>9.8854028272839045</v>
      </c>
      <c r="L140" s="375">
        <f t="shared" si="36"/>
        <v>1.4694637405486226</v>
      </c>
      <c r="M140" s="363">
        <f t="shared" si="37"/>
        <v>1.0645835539794268</v>
      </c>
      <c r="N140" s="366">
        <f t="shared" si="38"/>
        <v>0.35011158928456632</v>
      </c>
      <c r="O140" s="367">
        <f t="shared" si="39"/>
        <v>1.0055004962692828</v>
      </c>
      <c r="P140" s="368">
        <f t="shared" si="40"/>
        <v>0.13718833909942774</v>
      </c>
      <c r="Q140" s="369">
        <f t="shared" si="41"/>
        <v>-4.6968299005368417</v>
      </c>
      <c r="R140" s="370">
        <f t="shared" si="42"/>
        <v>-123.02331820405416</v>
      </c>
      <c r="S140" s="372">
        <f t="shared" si="43"/>
        <v>56.976681795945836</v>
      </c>
      <c r="U140" s="345">
        <f t="shared" si="50"/>
        <v>7852.9</v>
      </c>
      <c r="V140" s="345">
        <f t="shared" si="51"/>
        <v>61668038.409999996</v>
      </c>
      <c r="X140" s="371">
        <f t="shared" si="44"/>
        <v>17.195266547490952</v>
      </c>
      <c r="Y140" s="372">
        <f t="shared" si="45"/>
        <v>-25.864087087507649</v>
      </c>
      <c r="AA140" s="371">
        <f t="shared" si="46"/>
        <v>38.66847802397708</v>
      </c>
      <c r="AB140" s="372">
        <f t="shared" si="47"/>
        <v>-97.159231116546536</v>
      </c>
      <c r="AD140">
        <f t="shared" si="52"/>
        <v>0</v>
      </c>
      <c r="AE140">
        <f t="shared" si="53"/>
        <v>0</v>
      </c>
    </row>
    <row r="141" spans="1:31" x14ac:dyDescent="0.2">
      <c r="A141" s="373">
        <v>7943.3</v>
      </c>
      <c r="B141" s="390">
        <f t="shared" si="49"/>
        <v>7.9432999999999998</v>
      </c>
      <c r="C141" s="363">
        <f t="shared" ref="C141:C204" si="54">SQRT(1+(A141/pole1)^2)</f>
        <v>11.227685138323666</v>
      </c>
      <c r="D141" s="364">
        <f t="shared" ref="D141:D204" si="55">ATAN(A141/pole1)</f>
        <v>1.4816125955291242</v>
      </c>
      <c r="E141" s="364">
        <f t="shared" ref="E141:E204" si="56">SQRT(1+(A141/Zero1)^2)</f>
        <v>1.0048708599536587</v>
      </c>
      <c r="F141" s="365">
        <f t="shared" ref="F141:F204" si="57">ATAN(A141/Zero1)</f>
        <v>9.8500464167135579E-2</v>
      </c>
      <c r="G141" s="364">
        <f t="shared" ref="G141:G204" si="58">IF(VIN_nom&gt;Vout, 1, SQRT(1+(A141/z_RHP)^2))</f>
        <v>1.0159320172761219</v>
      </c>
      <c r="H141" s="365">
        <f t="shared" ref="H141:H204" si="59">IF(VIN_nom&gt;Vout, 0, -ATAN(A141/z_RHP))</f>
        <v>-0.17733205787340017</v>
      </c>
      <c r="I141" s="363">
        <f t="shared" ref="I141:I204" si="60">SQRT(1+(A141/Pole2)^2)</f>
        <v>32950.036945763051</v>
      </c>
      <c r="J141" s="366">
        <f t="shared" ref="J141:J204" si="61">ATAN(A141/Pole2)</f>
        <v>1.5707659778152643</v>
      </c>
      <c r="K141" s="374">
        <f t="shared" ref="K141:K147" si="62">SQRT(1+(A141/Zero2)^2)</f>
        <v>9.998042378174965</v>
      </c>
      <c r="L141" s="375">
        <f t="shared" ref="L141:L147" si="63">ATAN(A141/Zero2)</f>
        <v>1.4706092269219104</v>
      </c>
      <c r="M141" s="363">
        <f t="shared" ref="M141:M204" si="64">SQRT(1+(A141/pole4)^2)</f>
        <v>1.0660326931288722</v>
      </c>
      <c r="N141" s="366">
        <f t="shared" ref="N141:N204" si="65">ATAN(A141/pole4)</f>
        <v>0.35381554923046127</v>
      </c>
      <c r="O141" s="367">
        <f t="shared" ref="O141:O204" si="66">SQRT((1-(V141/pterm2))^2+(A141/pterm1)^2)</f>
        <v>1.0056276920824034</v>
      </c>
      <c r="P141" s="368">
        <f t="shared" ref="P141:P204" si="67">IF((ATAN((A141/pterm1)/(1-A141^2/pterm2))&gt;0),ATAN((A141/pterm1)/(1-A141^2/pterm2)),PI()+ATAN((A141/pterm1)/(1-A141^2/pterm2)))</f>
        <v>0.13876009721343877</v>
      </c>
      <c r="Q141" s="369">
        <f t="shared" ref="Q141:Q204" si="68">20*LOG10(((E141*K141*G141)/(C141*I141*O141*M141))*Adc)</f>
        <v>-4.8053599106747988</v>
      </c>
      <c r="R141" s="370">
        <f t="shared" ref="R141:R204" si="69">((F141+L141+H141)-(D141+J141+P141+N141))*radconv</f>
        <v>-123.36793109796572</v>
      </c>
      <c r="S141" s="372">
        <f t="shared" ref="S141:S204" si="70">IF(R141&gt;0,R141,R141+180)</f>
        <v>56.632068902034277</v>
      </c>
      <c r="U141" s="345">
        <f t="shared" si="50"/>
        <v>7943.3</v>
      </c>
      <c r="V141" s="345">
        <f t="shared" si="51"/>
        <v>63096014.890000001</v>
      </c>
      <c r="X141" s="371">
        <f t="shared" ref="X141:X204" si="71">20*LOG10((K141/(I141*M141))*AEA)</f>
        <v>17.182445202359165</v>
      </c>
      <c r="Y141" s="372">
        <f t="shared" ref="Y141:Y204" si="72">(L141-(J141+N141))*radconv</f>
        <v>-26.010696842662501</v>
      </c>
      <c r="AA141" s="371">
        <f t="shared" ref="AA141:AA204" si="73">20*LOG10((E141*G141/(C141*O141))*Acs*Am)</f>
        <v>38.572769358970909</v>
      </c>
      <c r="AB141" s="372">
        <f t="shared" ref="AB141:AB204" si="74">(F141+H141-(D141+P141))*radconv</f>
        <v>-97.357234255303268</v>
      </c>
      <c r="AD141">
        <f t="shared" si="52"/>
        <v>0</v>
      </c>
      <c r="AE141">
        <f t="shared" si="53"/>
        <v>0</v>
      </c>
    </row>
    <row r="142" spans="1:31" x14ac:dyDescent="0.2">
      <c r="A142" s="373">
        <v>8035.8</v>
      </c>
      <c r="B142" s="390">
        <f t="shared" ref="B142:B205" si="75">A142/1000</f>
        <v>8.0358000000000001</v>
      </c>
      <c r="C142" s="363">
        <f t="shared" si="54"/>
        <v>11.357400666714982</v>
      </c>
      <c r="D142" s="364">
        <f t="shared" si="55"/>
        <v>1.4826338464692357</v>
      </c>
      <c r="E142" s="364">
        <f t="shared" si="56"/>
        <v>1.0049846801473541</v>
      </c>
      <c r="F142" s="365">
        <f t="shared" si="57"/>
        <v>9.9639971675054978E-2</v>
      </c>
      <c r="G142" s="364">
        <f t="shared" si="58"/>
        <v>1.0163022416436391</v>
      </c>
      <c r="H142" s="365">
        <f t="shared" si="59"/>
        <v>-0.1793533396380704</v>
      </c>
      <c r="I142" s="363">
        <f t="shared" si="60"/>
        <v>33333.741251869076</v>
      </c>
      <c r="J142" s="366">
        <f t="shared" si="61"/>
        <v>1.5707663271620143</v>
      </c>
      <c r="K142" s="374">
        <f t="shared" si="62"/>
        <v>10.113311829275824</v>
      </c>
      <c r="L142" s="375">
        <f t="shared" si="63"/>
        <v>1.471754909219233</v>
      </c>
      <c r="M142" s="363">
        <f t="shared" si="64"/>
        <v>1.0675305930136736</v>
      </c>
      <c r="N142" s="366">
        <f t="shared" si="65"/>
        <v>0.35759509011698165</v>
      </c>
      <c r="O142" s="367">
        <f t="shared" si="66"/>
        <v>1.005759341448546</v>
      </c>
      <c r="P142" s="368">
        <f t="shared" si="67"/>
        <v>0.14036810243505238</v>
      </c>
      <c r="Q142" s="369">
        <f t="shared" si="68"/>
        <v>-4.9153135647990851</v>
      </c>
      <c r="R142" s="370">
        <f t="shared" si="69"/>
        <v>-123.72002732017849</v>
      </c>
      <c r="S142" s="372">
        <f t="shared" si="70"/>
        <v>56.279972679821512</v>
      </c>
      <c r="U142" s="345">
        <f t="shared" ref="U142:U205" si="76">IF(Q142&lt;0,A142,1000000000)</f>
        <v>8035.8</v>
      </c>
      <c r="V142" s="345">
        <f t="shared" ref="V142:V205" si="77">A142^2</f>
        <v>64574081.640000001</v>
      </c>
      <c r="X142" s="371">
        <f t="shared" si="71"/>
        <v>17.169254503638292</v>
      </c>
      <c r="Y142" s="372">
        <f t="shared" si="72"/>
        <v>-26.161625839924643</v>
      </c>
      <c r="AA142" s="371">
        <f t="shared" si="73"/>
        <v>38.476006403567496</v>
      </c>
      <c r="AB142" s="372">
        <f t="shared" si="74"/>
        <v>-97.558401480253835</v>
      </c>
      <c r="AD142">
        <f t="shared" ref="AD142:AD205" si="78">SUM((Q143&lt;0)*(Q142&gt;0))*A142</f>
        <v>0</v>
      </c>
      <c r="AE142">
        <f t="shared" si="53"/>
        <v>0</v>
      </c>
    </row>
    <row r="143" spans="1:31" x14ac:dyDescent="0.2">
      <c r="A143" s="373">
        <v>8128.3</v>
      </c>
      <c r="B143" s="390">
        <f t="shared" si="75"/>
        <v>8.1282999999999994</v>
      </c>
      <c r="C143" s="363">
        <f t="shared" si="54"/>
        <v>11.487127772820912</v>
      </c>
      <c r="D143" s="364">
        <f t="shared" si="55"/>
        <v>1.4836320319286942</v>
      </c>
      <c r="E143" s="364">
        <f t="shared" si="56"/>
        <v>1.005099804994364</v>
      </c>
      <c r="F143" s="365">
        <f t="shared" si="57"/>
        <v>0.10077921962197915</v>
      </c>
      <c r="G143" s="364">
        <f t="shared" si="58"/>
        <v>1.0166766151613003</v>
      </c>
      <c r="H143" s="365">
        <f t="shared" si="59"/>
        <v>-0.18137314104590713</v>
      </c>
      <c r="I143" s="363">
        <f t="shared" si="60"/>
        <v>33717.445557979067</v>
      </c>
      <c r="J143" s="366">
        <f t="shared" si="61"/>
        <v>1.5707666685576369</v>
      </c>
      <c r="K143" s="374">
        <f t="shared" si="62"/>
        <v>10.228594255785593</v>
      </c>
      <c r="L143" s="375">
        <f t="shared" si="63"/>
        <v>1.4728747678979939</v>
      </c>
      <c r="M143" s="363">
        <f t="shared" si="64"/>
        <v>1.0690436996364518</v>
      </c>
      <c r="N143" s="366">
        <f t="shared" si="65"/>
        <v>0.36136398571728134</v>
      </c>
      <c r="O143" s="367">
        <f t="shared" si="66"/>
        <v>1.0058925065221704</v>
      </c>
      <c r="P143" s="368">
        <f t="shared" si="67"/>
        <v>0.14197583665717176</v>
      </c>
      <c r="Q143" s="369">
        <f t="shared" si="68"/>
        <v>-5.0241832613920598</v>
      </c>
      <c r="R143" s="370">
        <f t="shared" si="69"/>
        <v>-124.07158571293745</v>
      </c>
      <c r="S143" s="372">
        <f t="shared" si="70"/>
        <v>55.928414287062552</v>
      </c>
      <c r="U143" s="345">
        <f t="shared" si="76"/>
        <v>8128.3</v>
      </c>
      <c r="V143" s="345">
        <f t="shared" si="77"/>
        <v>66069260.890000001</v>
      </c>
      <c r="X143" s="371">
        <f t="shared" si="71"/>
        <v>17.155990896530092</v>
      </c>
      <c r="Y143" s="372">
        <f t="shared" si="72"/>
        <v>-26.313424036004911</v>
      </c>
      <c r="AA143" s="371">
        <f t="shared" si="73"/>
        <v>38.380400314082721</v>
      </c>
      <c r="AB143" s="372">
        <f t="shared" si="74"/>
        <v>-97.758161676932517</v>
      </c>
      <c r="AD143">
        <f t="shared" si="78"/>
        <v>0</v>
      </c>
      <c r="AE143">
        <f t="shared" si="53"/>
        <v>0</v>
      </c>
    </row>
    <row r="144" spans="1:31" x14ac:dyDescent="0.2">
      <c r="A144" s="373">
        <v>8222.9500000000007</v>
      </c>
      <c r="B144" s="390">
        <f t="shared" si="75"/>
        <v>8.2229500000000009</v>
      </c>
      <c r="C144" s="363">
        <f t="shared" si="54"/>
        <v>11.619881737603409</v>
      </c>
      <c r="D144" s="364">
        <f t="shared" si="55"/>
        <v>1.4846303463938479</v>
      </c>
      <c r="E144" s="364">
        <f t="shared" si="56"/>
        <v>1.0052189557408611</v>
      </c>
      <c r="F144" s="365">
        <f t="shared" si="57"/>
        <v>0.10194467571412193</v>
      </c>
      <c r="G144" s="364">
        <f t="shared" si="58"/>
        <v>1.0170639804843378</v>
      </c>
      <c r="H144" s="365">
        <f t="shared" si="59"/>
        <v>-0.18343834134415443</v>
      </c>
      <c r="I144" s="363">
        <f t="shared" si="60"/>
        <v>34110.068396613438</v>
      </c>
      <c r="J144" s="366">
        <f t="shared" si="61"/>
        <v>1.5707670099378175</v>
      </c>
      <c r="K144" s="374">
        <f t="shared" si="62"/>
        <v>10.346569198639122</v>
      </c>
      <c r="L144" s="375">
        <f t="shared" si="63"/>
        <v>1.4739948223516406</v>
      </c>
      <c r="M144" s="363">
        <f t="shared" si="64"/>
        <v>1.0706076495289252</v>
      </c>
      <c r="N144" s="366">
        <f t="shared" si="65"/>
        <v>0.36520939900717964</v>
      </c>
      <c r="O144" s="367">
        <f t="shared" si="66"/>
        <v>1.0060303354439639</v>
      </c>
      <c r="P144" s="368">
        <f t="shared" si="67"/>
        <v>0.14362065618262451</v>
      </c>
      <c r="Q144" s="369">
        <f t="shared" si="68"/>
        <v>-5.1344879247380177</v>
      </c>
      <c r="R144" s="370">
        <f t="shared" si="69"/>
        <v>-124.43074879996777</v>
      </c>
      <c r="S144" s="372">
        <f t="shared" si="70"/>
        <v>55.569251200032227</v>
      </c>
      <c r="U144" s="345">
        <f t="shared" si="76"/>
        <v>8222.9500000000007</v>
      </c>
      <c r="V144" s="345">
        <f t="shared" si="77"/>
        <v>67616906.702500015</v>
      </c>
      <c r="X144" s="371">
        <f t="shared" si="71"/>
        <v>17.142343019187823</v>
      </c>
      <c r="Y144" s="372">
        <f t="shared" si="72"/>
        <v>-26.469595154802825</v>
      </c>
      <c r="AA144" s="371">
        <f t="shared" si="73"/>
        <v>38.283743528079029</v>
      </c>
      <c r="AB144" s="372">
        <f t="shared" si="74"/>
        <v>-97.961153645164927</v>
      </c>
      <c r="AD144">
        <f t="shared" si="78"/>
        <v>0</v>
      </c>
      <c r="AE144">
        <f t="shared" si="53"/>
        <v>0</v>
      </c>
    </row>
    <row r="145" spans="1:31" x14ac:dyDescent="0.2">
      <c r="A145" s="373">
        <v>8270.2750000000015</v>
      </c>
      <c r="B145" s="390">
        <f t="shared" si="75"/>
        <v>8.2702750000000016</v>
      </c>
      <c r="C145" s="363">
        <f t="shared" si="54"/>
        <v>11.686262988772397</v>
      </c>
      <c r="D145" s="364">
        <f t="shared" si="55"/>
        <v>1.4851209978700708</v>
      </c>
      <c r="E145" s="364">
        <f t="shared" si="56"/>
        <v>1.0052790430391711</v>
      </c>
      <c r="F145" s="365">
        <f t="shared" si="57"/>
        <v>0.10252729976270943</v>
      </c>
      <c r="G145" s="364">
        <f t="shared" si="58"/>
        <v>1.0172592889014718</v>
      </c>
      <c r="H145" s="365">
        <f t="shared" si="59"/>
        <v>-0.1844703494820733</v>
      </c>
      <c r="I145" s="363">
        <f t="shared" si="60"/>
        <v>34306.379815932094</v>
      </c>
      <c r="J145" s="366">
        <f t="shared" si="61"/>
        <v>1.5707671776976877</v>
      </c>
      <c r="K145" s="374">
        <f t="shared" si="62"/>
        <v>10.405561454784435</v>
      </c>
      <c r="L145" s="375">
        <f t="shared" si="63"/>
        <v>1.4745453251180582</v>
      </c>
      <c r="M145" s="363">
        <f t="shared" si="64"/>
        <v>1.0713955481872468</v>
      </c>
      <c r="N145" s="366">
        <f t="shared" si="65"/>
        <v>0.36712788151687831</v>
      </c>
      <c r="O145" s="367">
        <f t="shared" si="66"/>
        <v>1.0060998448132814</v>
      </c>
      <c r="P145" s="368">
        <f t="shared" si="67"/>
        <v>0.14444295735768475</v>
      </c>
      <c r="Q145" s="369">
        <f t="shared" si="68"/>
        <v>-5.1892328906448837</v>
      </c>
      <c r="R145" s="370">
        <f t="shared" si="69"/>
        <v>-124.61011233517269</v>
      </c>
      <c r="S145" s="372">
        <f t="shared" si="70"/>
        <v>55.389887664827313</v>
      </c>
      <c r="U145" s="345">
        <f t="shared" si="76"/>
        <v>8270.2750000000015</v>
      </c>
      <c r="V145" s="345">
        <f t="shared" si="77"/>
        <v>68397448.575625017</v>
      </c>
      <c r="X145" s="371">
        <f t="shared" si="71"/>
        <v>17.135490122392735</v>
      </c>
      <c r="Y145" s="372">
        <f t="shared" si="72"/>
        <v>-26.547984232574326</v>
      </c>
      <c r="AA145" s="371">
        <f t="shared" si="73"/>
        <v>38.235851458967254</v>
      </c>
      <c r="AB145" s="372">
        <f t="shared" si="74"/>
        <v>-98.062128102598365</v>
      </c>
      <c r="AD145">
        <f t="shared" si="78"/>
        <v>0</v>
      </c>
      <c r="AE145">
        <f t="shared" si="53"/>
        <v>0</v>
      </c>
    </row>
    <row r="146" spans="1:31" x14ac:dyDescent="0.2">
      <c r="A146" s="373">
        <v>8317.6</v>
      </c>
      <c r="B146" s="390">
        <f t="shared" si="75"/>
        <v>8.3176000000000005</v>
      </c>
      <c r="C146" s="363">
        <f t="shared" si="54"/>
        <v>11.752647021498182</v>
      </c>
      <c r="D146" s="364">
        <f t="shared" si="55"/>
        <v>1.4856061066385486</v>
      </c>
      <c r="E146" s="364">
        <f t="shared" si="56"/>
        <v>1.0053394715393802</v>
      </c>
      <c r="F146" s="365">
        <f t="shared" si="57"/>
        <v>0.10310985396880848</v>
      </c>
      <c r="G146" s="364">
        <f t="shared" si="58"/>
        <v>1.0174556803246337</v>
      </c>
      <c r="H146" s="365">
        <f t="shared" si="59"/>
        <v>-0.18550196031760935</v>
      </c>
      <c r="I146" s="363">
        <f t="shared" si="60"/>
        <v>34502.691235251688</v>
      </c>
      <c r="J146" s="366">
        <f t="shared" si="61"/>
        <v>1.570767343548537</v>
      </c>
      <c r="K146" s="374">
        <f t="shared" si="62"/>
        <v>10.464556828814867</v>
      </c>
      <c r="L146" s="375">
        <f t="shared" si="63"/>
        <v>1.4750896209782181</v>
      </c>
      <c r="M146" s="363">
        <f t="shared" si="64"/>
        <v>1.0721873843933716</v>
      </c>
      <c r="N146" s="366">
        <f t="shared" si="65"/>
        <v>0.36904353737755868</v>
      </c>
      <c r="O146" s="367">
        <f t="shared" si="66"/>
        <v>1.0061697507356242</v>
      </c>
      <c r="P146" s="368">
        <f t="shared" si="67"/>
        <v>0.14526518560579488</v>
      </c>
      <c r="Q146" s="369">
        <f t="shared" si="68"/>
        <v>-5.2437105609654386</v>
      </c>
      <c r="R146" s="370">
        <f t="shared" si="69"/>
        <v>-124.78932892123488</v>
      </c>
      <c r="S146" s="372">
        <f t="shared" si="70"/>
        <v>55.210671078765117</v>
      </c>
      <c r="U146" s="345">
        <f t="shared" si="76"/>
        <v>8317.6</v>
      </c>
      <c r="V146" s="345">
        <f t="shared" si="77"/>
        <v>69182469.760000005</v>
      </c>
      <c r="X146" s="371">
        <f t="shared" si="71"/>
        <v>17.128617856731768</v>
      </c>
      <c r="Y146" s="372">
        <f t="shared" si="72"/>
        <v>-26.626566875440698</v>
      </c>
      <c r="AA146" s="371">
        <f t="shared" si="73"/>
        <v>38.188246054307662</v>
      </c>
      <c r="AB146" s="372">
        <f t="shared" si="74"/>
        <v>-98.162762045794182</v>
      </c>
      <c r="AD146">
        <f t="shared" si="78"/>
        <v>0</v>
      </c>
      <c r="AE146">
        <f t="shared" si="53"/>
        <v>0</v>
      </c>
    </row>
    <row r="147" spans="1:31" x14ac:dyDescent="0.2">
      <c r="A147" s="373">
        <v>8366.0499999999993</v>
      </c>
      <c r="B147" s="390">
        <f t="shared" si="75"/>
        <v>8.3660499999999995</v>
      </c>
      <c r="C147" s="363">
        <f t="shared" si="54"/>
        <v>11.820611954157267</v>
      </c>
      <c r="D147" s="364">
        <f t="shared" si="55"/>
        <v>1.4860971026664593</v>
      </c>
      <c r="E147" s="364">
        <f t="shared" si="56"/>
        <v>1.0054016899337894</v>
      </c>
      <c r="F147" s="365">
        <f t="shared" si="57"/>
        <v>0.10370618377931533</v>
      </c>
      <c r="G147" s="364">
        <f t="shared" si="58"/>
        <v>1.0176578615984322</v>
      </c>
      <c r="H147" s="365">
        <f t="shared" si="59"/>
        <v>-0.18655768075680856</v>
      </c>
      <c r="I147" s="363">
        <f t="shared" si="60"/>
        <v>34703.669328565593</v>
      </c>
      <c r="J147" s="366">
        <f t="shared" si="61"/>
        <v>1.5707675113981536</v>
      </c>
      <c r="K147" s="374">
        <f t="shared" si="62"/>
        <v>10.52495780373342</v>
      </c>
      <c r="L147" s="375">
        <f t="shared" si="63"/>
        <v>1.4756405343903978</v>
      </c>
      <c r="M147" s="363">
        <f t="shared" si="64"/>
        <v>1.0730021139259145</v>
      </c>
      <c r="N147" s="366">
        <f t="shared" si="65"/>
        <v>0.37100179543976985</v>
      </c>
      <c r="O147" s="367">
        <f t="shared" si="66"/>
        <v>1.0062417292107015</v>
      </c>
      <c r="P147" s="368">
        <f t="shared" si="67"/>
        <v>0.14610688372510952</v>
      </c>
      <c r="Q147" s="369">
        <f t="shared" si="68"/>
        <v>-5.2992096387418721</v>
      </c>
      <c r="R147" s="370">
        <f t="shared" si="69"/>
        <v>-124.97265234147581</v>
      </c>
      <c r="S147" s="372">
        <f t="shared" si="70"/>
        <v>55.027347658524192</v>
      </c>
      <c r="U147" s="345">
        <f t="shared" si="76"/>
        <v>8366.0499999999993</v>
      </c>
      <c r="V147" s="345">
        <f t="shared" si="77"/>
        <v>69990792.602499992</v>
      </c>
      <c r="X147" s="371">
        <f t="shared" si="71"/>
        <v>17.121562117118579</v>
      </c>
      <c r="Y147" s="372">
        <f t="shared" si="72"/>
        <v>-26.707211401374586</v>
      </c>
      <c r="AA147" s="371">
        <f t="shared" si="73"/>
        <v>38.139802716144416</v>
      </c>
      <c r="AB147" s="372">
        <f t="shared" si="74"/>
        <v>-98.265440940101243</v>
      </c>
      <c r="AD147">
        <f t="shared" si="78"/>
        <v>0</v>
      </c>
      <c r="AE147">
        <f t="shared" si="53"/>
        <v>0</v>
      </c>
    </row>
    <row r="148" spans="1:31" x14ac:dyDescent="0.2">
      <c r="A148" s="376">
        <v>8414.5</v>
      </c>
      <c r="B148" s="390">
        <f t="shared" si="75"/>
        <v>8.4145000000000003</v>
      </c>
      <c r="C148" s="363">
        <f t="shared" si="54"/>
        <v>11.888579703912566</v>
      </c>
      <c r="D148" s="364">
        <f t="shared" si="55"/>
        <v>1.4865824847005993</v>
      </c>
      <c r="E148" s="364">
        <f t="shared" si="56"/>
        <v>1.0054642658140103</v>
      </c>
      <c r="F148" s="365">
        <f t="shared" si="57"/>
        <v>0.10430243957570007</v>
      </c>
      <c r="G148" s="364">
        <f t="shared" si="58"/>
        <v>1.0178611766470413</v>
      </c>
      <c r="H148" s="365">
        <f t="shared" si="59"/>
        <v>-0.187612980617127</v>
      </c>
      <c r="I148" s="363">
        <f t="shared" si="60"/>
        <v>34904.647421880472</v>
      </c>
      <c r="J148" s="366">
        <f t="shared" si="61"/>
        <v>1.5707676773148418</v>
      </c>
      <c r="K148" s="374">
        <f t="shared" ref="K148:K157" si="79">SQRT(1+(A148/Zero2)^2)</f>
        <v>10.585361936580069</v>
      </c>
      <c r="L148" s="375">
        <f t="shared" ref="L148:L157" si="80">ATAN(A148/Zero2)</f>
        <v>1.4761851605200884</v>
      </c>
      <c r="M148" s="363">
        <f t="shared" si="64"/>
        <v>1.0738209519267108</v>
      </c>
      <c r="N148" s="366">
        <f t="shared" si="65"/>
        <v>0.37295707446635468</v>
      </c>
      <c r="O148" s="367">
        <f t="shared" si="66"/>
        <v>1.0063141232319901</v>
      </c>
      <c r="P148" s="368">
        <f t="shared" si="67"/>
        <v>0.14694850455869177</v>
      </c>
      <c r="Q148" s="369">
        <f t="shared" si="68"/>
        <v>-5.3544351606821134</v>
      </c>
      <c r="R148" s="370">
        <f t="shared" si="69"/>
        <v>-125.15581925655725</v>
      </c>
      <c r="S148" s="372">
        <f t="shared" si="70"/>
        <v>54.844180743442749</v>
      </c>
      <c r="U148" s="345">
        <f t="shared" si="76"/>
        <v>8414.5</v>
      </c>
      <c r="V148" s="345">
        <f t="shared" si="77"/>
        <v>70803810.25</v>
      </c>
      <c r="X148" s="371">
        <f t="shared" si="71"/>
        <v>17.114485995018271</v>
      </c>
      <c r="Y148" s="372">
        <f t="shared" si="72"/>
        <v>-26.788045365142878</v>
      </c>
      <c r="AA148" s="371">
        <f t="shared" si="73"/>
        <v>38.091653316304487</v>
      </c>
      <c r="AB148" s="372">
        <f t="shared" si="74"/>
        <v>-98.367773891414345</v>
      </c>
      <c r="AD148">
        <f t="shared" si="78"/>
        <v>0</v>
      </c>
      <c r="AE148">
        <f t="shared" si="53"/>
        <v>0</v>
      </c>
    </row>
    <row r="149" spans="1:31" x14ac:dyDescent="0.2">
      <c r="A149" s="376">
        <v>8462.9500000000007</v>
      </c>
      <c r="B149" s="390">
        <f t="shared" si="75"/>
        <v>8.4629500000000011</v>
      </c>
      <c r="C149" s="363">
        <f t="shared" si="54"/>
        <v>11.956550222722205</v>
      </c>
      <c r="D149" s="364">
        <f t="shared" si="55"/>
        <v>1.4870623482534735</v>
      </c>
      <c r="E149" s="364">
        <f t="shared" si="56"/>
        <v>1.0055271991133012</v>
      </c>
      <c r="F149" s="365">
        <f t="shared" si="57"/>
        <v>0.10489862094785768</v>
      </c>
      <c r="G149" s="364">
        <f t="shared" si="58"/>
        <v>1.0180656247911923</v>
      </c>
      <c r="H149" s="365">
        <f t="shared" si="59"/>
        <v>-0.18866785780076378</v>
      </c>
      <c r="I149" s="363">
        <f t="shared" si="60"/>
        <v>35105.625515196298</v>
      </c>
      <c r="J149" s="366">
        <f t="shared" si="61"/>
        <v>1.5707678413317989</v>
      </c>
      <c r="K149" s="374">
        <f t="shared" si="79"/>
        <v>10.645769173600524</v>
      </c>
      <c r="L149" s="375">
        <f t="shared" si="80"/>
        <v>1.4767236060691076</v>
      </c>
      <c r="M149" s="363">
        <f t="shared" si="64"/>
        <v>1.0746438890042682</v>
      </c>
      <c r="N149" s="366">
        <f t="shared" si="65"/>
        <v>0.37490936633366612</v>
      </c>
      <c r="O149" s="367">
        <f t="shared" si="66"/>
        <v>1.0063869327564188</v>
      </c>
      <c r="P149" s="368">
        <f t="shared" si="67"/>
        <v>0.14779004767681264</v>
      </c>
      <c r="Q149" s="369">
        <f t="shared" si="68"/>
        <v>-5.4093903755848523</v>
      </c>
      <c r="R149" s="370">
        <f t="shared" si="69"/>
        <v>-125.33882844051055</v>
      </c>
      <c r="S149" s="372">
        <f t="shared" si="70"/>
        <v>54.661171559489446</v>
      </c>
      <c r="U149" s="345">
        <f t="shared" si="76"/>
        <v>8462.9500000000007</v>
      </c>
      <c r="V149" s="345">
        <f t="shared" si="77"/>
        <v>71621522.702500015</v>
      </c>
      <c r="X149" s="371">
        <f t="shared" si="71"/>
        <v>17.107389456958789</v>
      </c>
      <c r="Y149" s="372">
        <f t="shared" si="72"/>
        <v>-26.86906218963313</v>
      </c>
      <c r="AA149" s="371">
        <f t="shared" si="73"/>
        <v>38.043794639461225</v>
      </c>
      <c r="AB149" s="372">
        <f t="shared" si="74"/>
        <v>-98.469766250877427</v>
      </c>
      <c r="AD149">
        <f t="shared" si="78"/>
        <v>0</v>
      </c>
      <c r="AE149">
        <f t="shared" si="53"/>
        <v>0</v>
      </c>
    </row>
    <row r="150" spans="1:31" x14ac:dyDescent="0.2">
      <c r="A150" s="376">
        <v>8511.4</v>
      </c>
      <c r="B150" s="390">
        <f t="shared" si="75"/>
        <v>8.5114000000000001</v>
      </c>
      <c r="C150" s="363">
        <f t="shared" si="54"/>
        <v>12.024523463628629</v>
      </c>
      <c r="D150" s="364">
        <f t="shared" si="55"/>
        <v>1.4875367866882008</v>
      </c>
      <c r="E150" s="364">
        <f t="shared" si="56"/>
        <v>1.0055904897645571</v>
      </c>
      <c r="F150" s="365">
        <f t="shared" si="57"/>
        <v>0.10549472748599713</v>
      </c>
      <c r="G150" s="364">
        <f t="shared" si="58"/>
        <v>1.0182712053483773</v>
      </c>
      <c r="H150" s="365">
        <f t="shared" si="59"/>
        <v>-0.18972231021536087</v>
      </c>
      <c r="I150" s="363">
        <f t="shared" si="60"/>
        <v>35306.603608513054</v>
      </c>
      <c r="J150" s="366">
        <f t="shared" si="61"/>
        <v>1.5707680034814671</v>
      </c>
      <c r="K150" s="374">
        <f t="shared" si="79"/>
        <v>10.706179462250956</v>
      </c>
      <c r="L150" s="375">
        <f t="shared" si="80"/>
        <v>1.4772559753455075</v>
      </c>
      <c r="M150" s="363">
        <f t="shared" si="64"/>
        <v>1.075470915748898</v>
      </c>
      <c r="N150" s="366">
        <f t="shared" si="65"/>
        <v>0.376858663033942</v>
      </c>
      <c r="O150" s="367">
        <f t="shared" si="66"/>
        <v>1.0064601577406829</v>
      </c>
      <c r="P150" s="368">
        <f t="shared" si="67"/>
        <v>0.1486315126500459</v>
      </c>
      <c r="Q150" s="369">
        <f t="shared" si="68"/>
        <v>-5.4640784739125561</v>
      </c>
      <c r="R150" s="370">
        <f t="shared" si="69"/>
        <v>-125.52167868827684</v>
      </c>
      <c r="S150" s="372">
        <f t="shared" si="70"/>
        <v>54.478321311723164</v>
      </c>
      <c r="U150" s="345">
        <f t="shared" si="76"/>
        <v>8511.4</v>
      </c>
      <c r="V150" s="345">
        <f t="shared" si="77"/>
        <v>72443929.959999993</v>
      </c>
      <c r="X150" s="371">
        <f t="shared" si="71"/>
        <v>17.100272474548078</v>
      </c>
      <c r="Y150" s="372">
        <f t="shared" si="72"/>
        <v>-26.950255441481982</v>
      </c>
      <c r="AA150" s="371">
        <f t="shared" si="73"/>
        <v>37.996223523544238</v>
      </c>
      <c r="AB150" s="372">
        <f t="shared" si="74"/>
        <v>-98.571423246794851</v>
      </c>
      <c r="AD150">
        <f t="shared" si="78"/>
        <v>0</v>
      </c>
      <c r="AE150">
        <f t="shared" si="53"/>
        <v>0</v>
      </c>
    </row>
    <row r="151" spans="1:31" x14ac:dyDescent="0.2">
      <c r="A151" s="376">
        <v>8560.9500000000007</v>
      </c>
      <c r="B151" s="390">
        <f t="shared" si="75"/>
        <v>8.5609500000000001</v>
      </c>
      <c r="C151" s="363">
        <f t="shared" si="54"/>
        <v>12.094042724319996</v>
      </c>
      <c r="D151" s="364">
        <f t="shared" si="55"/>
        <v>1.4880164805222669</v>
      </c>
      <c r="E151" s="364">
        <f t="shared" si="56"/>
        <v>1.0056555868988959</v>
      </c>
      <c r="F151" s="365">
        <f t="shared" si="57"/>
        <v>0.10610429009014594</v>
      </c>
      <c r="G151" s="364">
        <f t="shared" si="58"/>
        <v>1.0184826239245837</v>
      </c>
      <c r="H151" s="365">
        <f t="shared" si="59"/>
        <v>-0.19080026120691684</v>
      </c>
      <c r="I151" s="363">
        <f t="shared" si="60"/>
        <v>35512.144671957671</v>
      </c>
      <c r="J151" s="366">
        <f t="shared" si="61"/>
        <v>1.5707681674142293</v>
      </c>
      <c r="K151" s="374">
        <f t="shared" si="79"/>
        <v>10.767964397939467</v>
      </c>
      <c r="L151" s="375">
        <f t="shared" si="80"/>
        <v>1.4777942529316799</v>
      </c>
      <c r="M151" s="363">
        <f t="shared" si="64"/>
        <v>1.0763209393313768</v>
      </c>
      <c r="N151" s="366">
        <f t="shared" si="65"/>
        <v>0.37884911004680594</v>
      </c>
      <c r="O151" s="367">
        <f t="shared" si="66"/>
        <v>1.0065354748820163</v>
      </c>
      <c r="P151" s="368">
        <f t="shared" si="67"/>
        <v>0.14949200081768296</v>
      </c>
      <c r="Q151" s="369">
        <f t="shared" si="68"/>
        <v>-5.5197351838085105</v>
      </c>
      <c r="R151" s="370">
        <f t="shared" si="69"/>
        <v>-125.70851471068143</v>
      </c>
      <c r="S151" s="372">
        <f t="shared" si="70"/>
        <v>54.291485289318572</v>
      </c>
      <c r="U151" s="345">
        <f t="shared" si="76"/>
        <v>8560.9500000000007</v>
      </c>
      <c r="V151" s="345">
        <f t="shared" si="77"/>
        <v>73289864.902500018</v>
      </c>
      <c r="X151" s="371">
        <f t="shared" si="71"/>
        <v>17.092972739144386</v>
      </c>
      <c r="Y151" s="372">
        <f t="shared" si="72"/>
        <v>-27.033468013519812</v>
      </c>
      <c r="AA151" s="371">
        <f t="shared" si="73"/>
        <v>37.94786654905198</v>
      </c>
      <c r="AB151" s="372">
        <f t="shared" si="74"/>
        <v>-98.675046697161619</v>
      </c>
      <c r="AD151">
        <f t="shared" si="78"/>
        <v>0</v>
      </c>
      <c r="AE151">
        <f t="shared" si="53"/>
        <v>0</v>
      </c>
    </row>
    <row r="152" spans="1:31" x14ac:dyDescent="0.2">
      <c r="A152" s="376">
        <v>8610.5</v>
      </c>
      <c r="B152" s="390">
        <f t="shared" si="75"/>
        <v>8.6105</v>
      </c>
      <c r="C152" s="363">
        <f t="shared" si="54"/>
        <v>12.163564736114132</v>
      </c>
      <c r="D152" s="364">
        <f t="shared" si="55"/>
        <v>1.4884906909928977</v>
      </c>
      <c r="E152" s="364">
        <f t="shared" si="56"/>
        <v>1.005721057652776</v>
      </c>
      <c r="F152" s="365">
        <f t="shared" si="57"/>
        <v>0.10671377355772776</v>
      </c>
      <c r="G152" s="364">
        <f t="shared" si="58"/>
        <v>1.0186952254635118</v>
      </c>
      <c r="H152" s="365">
        <f t="shared" si="59"/>
        <v>-0.19187776351365612</v>
      </c>
      <c r="I152" s="363">
        <f t="shared" si="60"/>
        <v>35717.685735403225</v>
      </c>
      <c r="J152" s="366">
        <f t="shared" si="61"/>
        <v>1.5707683294602557</v>
      </c>
      <c r="K152" s="374">
        <f t="shared" si="79"/>
        <v>10.829752417967969</v>
      </c>
      <c r="L152" s="375">
        <f t="shared" si="80"/>
        <v>1.4783263884976041</v>
      </c>
      <c r="M152" s="363">
        <f t="shared" si="64"/>
        <v>1.0771752204276308</v>
      </c>
      <c r="N152" s="366">
        <f t="shared" si="65"/>
        <v>0.3808364077738694</v>
      </c>
      <c r="O152" s="367">
        <f t="shared" si="66"/>
        <v>1.0066112264700293</v>
      </c>
      <c r="P152" s="368">
        <f t="shared" si="67"/>
        <v>0.15035240634426189</v>
      </c>
      <c r="Q152" s="369">
        <f t="shared" si="68"/>
        <v>-5.5751190789988678</v>
      </c>
      <c r="R152" s="370">
        <f t="shared" si="69"/>
        <v>-125.89518201391563</v>
      </c>
      <c r="S152" s="372">
        <f t="shared" si="70"/>
        <v>54.10481798608437</v>
      </c>
      <c r="U152" s="345">
        <f t="shared" si="76"/>
        <v>8610.5</v>
      </c>
      <c r="V152" s="345">
        <f t="shared" si="77"/>
        <v>74140710.25</v>
      </c>
      <c r="X152" s="371">
        <f t="shared" si="71"/>
        <v>17.085651575970484</v>
      </c>
      <c r="Y152" s="372">
        <f t="shared" si="72"/>
        <v>-27.116851948508902</v>
      </c>
      <c r="AA152" s="371">
        <f t="shared" si="73"/>
        <v>37.899803817035519</v>
      </c>
      <c r="AB152" s="372">
        <f t="shared" si="74"/>
        <v>-98.77833006540672</v>
      </c>
      <c r="AD152">
        <f t="shared" si="78"/>
        <v>0</v>
      </c>
      <c r="AE152">
        <f t="shared" si="53"/>
        <v>0</v>
      </c>
    </row>
    <row r="153" spans="1:31" x14ac:dyDescent="0.2">
      <c r="A153" s="376">
        <v>8660.0499999999993</v>
      </c>
      <c r="B153" s="390">
        <f t="shared" si="75"/>
        <v>8.66005</v>
      </c>
      <c r="C153" s="363">
        <f t="shared" si="54"/>
        <v>12.233089452106574</v>
      </c>
      <c r="D153" s="364">
        <f t="shared" si="55"/>
        <v>1.4889595113763112</v>
      </c>
      <c r="E153" s="364">
        <f t="shared" si="56"/>
        <v>1.0057869019532366</v>
      </c>
      <c r="F153" s="365">
        <f t="shared" si="57"/>
        <v>0.10732317745143125</v>
      </c>
      <c r="G153" s="364">
        <f t="shared" si="58"/>
        <v>1.0189090092246647</v>
      </c>
      <c r="H153" s="365">
        <f t="shared" si="59"/>
        <v>-0.19295481491524299</v>
      </c>
      <c r="I153" s="363">
        <f t="shared" si="60"/>
        <v>35923.226798849704</v>
      </c>
      <c r="J153" s="366">
        <f t="shared" si="61"/>
        <v>1.5707684896519325</v>
      </c>
      <c r="K153" s="374">
        <f t="shared" si="79"/>
        <v>10.891543469843835</v>
      </c>
      <c r="L153" s="375">
        <f t="shared" si="80"/>
        <v>1.4788524862759873</v>
      </c>
      <c r="M153" s="363">
        <f t="shared" si="64"/>
        <v>1.07803374891614</v>
      </c>
      <c r="N153" s="366">
        <f t="shared" si="65"/>
        <v>0.38282054802365678</v>
      </c>
      <c r="O153" s="367">
        <f t="shared" si="66"/>
        <v>1.0066874124576461</v>
      </c>
      <c r="P153" s="368">
        <f t="shared" si="67"/>
        <v>0.15121272877143122</v>
      </c>
      <c r="Q153" s="369">
        <f t="shared" si="68"/>
        <v>-5.6302333915256009</v>
      </c>
      <c r="R153" s="370">
        <f t="shared" si="69"/>
        <v>-126.08167937431612</v>
      </c>
      <c r="S153" s="372">
        <f t="shared" si="70"/>
        <v>53.918320625683876</v>
      </c>
      <c r="U153" s="345">
        <f t="shared" si="76"/>
        <v>8660.0499999999993</v>
      </c>
      <c r="V153" s="345">
        <f t="shared" si="77"/>
        <v>74996466.002499983</v>
      </c>
      <c r="X153" s="371">
        <f t="shared" si="71"/>
        <v>17.078308970020796</v>
      </c>
      <c r="Y153" s="372">
        <f t="shared" si="72"/>
        <v>-27.20040080687366</v>
      </c>
      <c r="AA153" s="371">
        <f t="shared" si="73"/>
        <v>37.852032110458474</v>
      </c>
      <c r="AB153" s="372">
        <f t="shared" si="74"/>
        <v>-98.881278567442436</v>
      </c>
      <c r="AD153">
        <f t="shared" si="78"/>
        <v>0</v>
      </c>
      <c r="AE153">
        <f t="shared" si="53"/>
        <v>0</v>
      </c>
    </row>
    <row r="154" spans="1:31" x14ac:dyDescent="0.2">
      <c r="A154" s="376">
        <v>8709.6</v>
      </c>
      <c r="B154" s="390">
        <f t="shared" si="75"/>
        <v>8.7096</v>
      </c>
      <c r="C154" s="363">
        <f t="shared" si="54"/>
        <v>12.302616826451313</v>
      </c>
      <c r="D154" s="364">
        <f t="shared" si="55"/>
        <v>1.4894230328497511</v>
      </c>
      <c r="E154" s="364">
        <f t="shared" si="56"/>
        <v>1.0058531197269196</v>
      </c>
      <c r="F154" s="365">
        <f t="shared" si="57"/>
        <v>0.10793250133429562</v>
      </c>
      <c r="G154" s="364">
        <f t="shared" si="58"/>
        <v>1.0191239744640508</v>
      </c>
      <c r="H154" s="365">
        <f t="shared" si="59"/>
        <v>-0.19403141319738421</v>
      </c>
      <c r="I154" s="363">
        <f t="shared" si="60"/>
        <v>36128.7678622971</v>
      </c>
      <c r="J154" s="366">
        <f t="shared" si="61"/>
        <v>1.5707686480209087</v>
      </c>
      <c r="K154" s="374">
        <f t="shared" si="79"/>
        <v>10.953337502256396</v>
      </c>
      <c r="L154" s="375">
        <f t="shared" si="80"/>
        <v>1.4793726481609344</v>
      </c>
      <c r="M154" s="363">
        <f t="shared" si="64"/>
        <v>1.0788965146573575</v>
      </c>
      <c r="N154" s="366">
        <f t="shared" si="65"/>
        <v>0.38480152273014367</v>
      </c>
      <c r="O154" s="367">
        <f t="shared" si="66"/>
        <v>1.0067640327975367</v>
      </c>
      <c r="P154" s="368">
        <f t="shared" si="67"/>
        <v>0.15207296764117759</v>
      </c>
      <c r="Q154" s="369">
        <f t="shared" si="68"/>
        <v>-5.6850812953035099</v>
      </c>
      <c r="R154" s="370">
        <f t="shared" si="69"/>
        <v>-126.26800558944019</v>
      </c>
      <c r="S154" s="372">
        <f t="shared" si="70"/>
        <v>53.731994410559807</v>
      </c>
      <c r="U154" s="345">
        <f t="shared" si="76"/>
        <v>8709.6</v>
      </c>
      <c r="V154" s="345">
        <f t="shared" si="77"/>
        <v>75857132.160000011</v>
      </c>
      <c r="X154" s="371">
        <f t="shared" si="71"/>
        <v>17.070944911112498</v>
      </c>
      <c r="Y154" s="372">
        <f t="shared" si="72"/>
        <v>-27.284108290176068</v>
      </c>
      <c r="AA154" s="371">
        <f t="shared" si="73"/>
        <v>37.80454826558887</v>
      </c>
      <c r="AB154" s="372">
        <f t="shared" si="74"/>
        <v>-98.983897299264143</v>
      </c>
      <c r="AD154">
        <f t="shared" si="78"/>
        <v>0</v>
      </c>
      <c r="AE154">
        <f t="shared" ref="AE154:AE217" si="81">IF(AD154&gt;0,S154,0)</f>
        <v>0</v>
      </c>
    </row>
    <row r="155" spans="1:31" x14ac:dyDescent="0.2">
      <c r="A155" s="376">
        <v>8760.3250000000007</v>
      </c>
      <c r="B155" s="390">
        <f t="shared" si="75"/>
        <v>8.7603249999999999</v>
      </c>
      <c r="C155" s="363">
        <f t="shared" si="54"/>
        <v>12.373795639553105</v>
      </c>
      <c r="D155" s="364">
        <f t="shared" si="55"/>
        <v>1.4898921501701949</v>
      </c>
      <c r="E155" s="364">
        <f t="shared" si="56"/>
        <v>1.0059212945362483</v>
      </c>
      <c r="F155" s="365">
        <f t="shared" si="57"/>
        <v>0.1085561910356246</v>
      </c>
      <c r="G155" s="364">
        <f t="shared" si="58"/>
        <v>1.0193452603199562</v>
      </c>
      <c r="H155" s="365">
        <f t="shared" si="59"/>
        <v>-0.19513306963780422</v>
      </c>
      <c r="I155" s="363">
        <f t="shared" si="60"/>
        <v>36339.183007471976</v>
      </c>
      <c r="J155" s="366">
        <f t="shared" si="61"/>
        <v>1.5707688082895983</v>
      </c>
      <c r="K155" s="374">
        <f t="shared" si="79"/>
        <v>11.016599917590622</v>
      </c>
      <c r="L155" s="375">
        <f t="shared" si="80"/>
        <v>1.4798991001546247</v>
      </c>
      <c r="M155" s="363">
        <f t="shared" si="64"/>
        <v>1.0797841180848196</v>
      </c>
      <c r="N155" s="366">
        <f t="shared" si="65"/>
        <v>0.38682618580142025</v>
      </c>
      <c r="O155" s="367">
        <f t="shared" si="66"/>
        <v>1.0068429199424724</v>
      </c>
      <c r="P155" s="368">
        <f t="shared" si="67"/>
        <v>0.15295351868632773</v>
      </c>
      <c r="Q155" s="369">
        <f t="shared" si="68"/>
        <v>-5.7409571247118105</v>
      </c>
      <c r="R155" s="370">
        <f t="shared" si="69"/>
        <v>-126.45857172193131</v>
      </c>
      <c r="S155" s="372">
        <f t="shared" si="70"/>
        <v>53.541428278068693</v>
      </c>
      <c r="U155" s="345">
        <f t="shared" si="76"/>
        <v>8760.3250000000007</v>
      </c>
      <c r="V155" s="345">
        <f t="shared" si="77"/>
        <v>76743294.105625018</v>
      </c>
      <c r="X155" s="371">
        <f t="shared" si="71"/>
        <v>17.06338399735737</v>
      </c>
      <c r="Y155" s="372">
        <f t="shared" si="72"/>
        <v>-27.369958644559127</v>
      </c>
      <c r="AA155" s="371">
        <f t="shared" si="73"/>
        <v>37.756233349935691</v>
      </c>
      <c r="AB155" s="372">
        <f t="shared" si="74"/>
        <v>-99.088613077372202</v>
      </c>
      <c r="AD155">
        <f t="shared" si="78"/>
        <v>0</v>
      </c>
      <c r="AE155">
        <f t="shared" si="81"/>
        <v>0</v>
      </c>
    </row>
    <row r="156" spans="1:31" x14ac:dyDescent="0.2">
      <c r="A156" s="376">
        <v>8811.0499999999993</v>
      </c>
      <c r="B156" s="390">
        <f t="shared" si="75"/>
        <v>8.8110499999999998</v>
      </c>
      <c r="C156" s="363">
        <f t="shared" si="54"/>
        <v>12.444977144619269</v>
      </c>
      <c r="D156" s="364">
        <f t="shared" si="55"/>
        <v>1.4903559011733656</v>
      </c>
      <c r="E156" s="364">
        <f t="shared" si="56"/>
        <v>1.0059898605846143</v>
      </c>
      <c r="F156" s="365">
        <f t="shared" si="57"/>
        <v>0.10917979596087471</v>
      </c>
      <c r="G156" s="364">
        <f t="shared" si="58"/>
        <v>1.0195677827632059</v>
      </c>
      <c r="H156" s="365">
        <f t="shared" si="59"/>
        <v>-0.19623424653730795</v>
      </c>
      <c r="I156" s="363">
        <f t="shared" si="60"/>
        <v>36549.59815264777</v>
      </c>
      <c r="J156" s="366">
        <f t="shared" si="61"/>
        <v>1.5707689667129623</v>
      </c>
      <c r="K156" s="374">
        <f t="shared" si="79"/>
        <v>11.079865351327422</v>
      </c>
      <c r="L156" s="375">
        <f t="shared" si="80"/>
        <v>1.4804195402661904</v>
      </c>
      <c r="M156" s="363">
        <f t="shared" si="64"/>
        <v>1.0806761405471186</v>
      </c>
      <c r="N156" s="366">
        <f t="shared" si="65"/>
        <v>0.38884751471216911</v>
      </c>
      <c r="O156" s="367">
        <f t="shared" si="66"/>
        <v>1.0069222621826943</v>
      </c>
      <c r="P156" s="368">
        <f t="shared" si="67"/>
        <v>0.15383398119392799</v>
      </c>
      <c r="Q156" s="369">
        <f t="shared" si="68"/>
        <v>-5.7965603110764174</v>
      </c>
      <c r="R156" s="370">
        <f t="shared" si="69"/>
        <v>-126.64895601232072</v>
      </c>
      <c r="S156" s="372">
        <f t="shared" si="70"/>
        <v>53.351043987679276</v>
      </c>
      <c r="U156" s="345">
        <f t="shared" si="76"/>
        <v>8811.0499999999993</v>
      </c>
      <c r="V156" s="345">
        <f t="shared" si="77"/>
        <v>77634602.102499992</v>
      </c>
      <c r="X156" s="371">
        <f t="shared" si="71"/>
        <v>17.055800594301097</v>
      </c>
      <c r="Y156" s="372">
        <f t="shared" si="72"/>
        <v>-27.455962315359173</v>
      </c>
      <c r="AA156" s="371">
        <f t="shared" si="73"/>
        <v>37.708213566627357</v>
      </c>
      <c r="AB156" s="372">
        <f t="shared" si="74"/>
        <v>-99.192993696961565</v>
      </c>
      <c r="AD156">
        <f t="shared" si="78"/>
        <v>0</v>
      </c>
      <c r="AE156">
        <f t="shared" si="81"/>
        <v>0</v>
      </c>
    </row>
    <row r="157" spans="1:31" x14ac:dyDescent="0.2">
      <c r="A157" s="376">
        <v>8861.7749999999996</v>
      </c>
      <c r="B157" s="390">
        <f t="shared" si="75"/>
        <v>8.8617749999999997</v>
      </c>
      <c r="C157" s="363">
        <f t="shared" si="54"/>
        <v>12.51616129572086</v>
      </c>
      <c r="D157" s="364">
        <f t="shared" si="55"/>
        <v>1.4908143772189071</v>
      </c>
      <c r="E157" s="364">
        <f t="shared" si="56"/>
        <v>1.0060588177920253</v>
      </c>
      <c r="F157" s="365">
        <f t="shared" si="57"/>
        <v>0.10980331564241021</v>
      </c>
      <c r="G157" s="364">
        <f t="shared" si="58"/>
        <v>1.0197915409843152</v>
      </c>
      <c r="H157" s="365">
        <f t="shared" si="59"/>
        <v>-0.19733494154013276</v>
      </c>
      <c r="I157" s="363">
        <f t="shared" si="60"/>
        <v>36760.013297824466</v>
      </c>
      <c r="J157" s="366">
        <f t="shared" si="61"/>
        <v>1.5707691233226884</v>
      </c>
      <c r="K157" s="374">
        <f t="shared" si="79"/>
        <v>11.143133752055629</v>
      </c>
      <c r="L157" s="375">
        <f t="shared" si="80"/>
        <v>1.4809340706139287</v>
      </c>
      <c r="M157" s="363">
        <f t="shared" si="64"/>
        <v>1.0815725711105131</v>
      </c>
      <c r="N157" s="366">
        <f t="shared" si="65"/>
        <v>0.3908655012150074</v>
      </c>
      <c r="O157" s="367">
        <f t="shared" si="66"/>
        <v>1.0070020594665998</v>
      </c>
      <c r="P157" s="368">
        <f t="shared" si="67"/>
        <v>0.15471435467371525</v>
      </c>
      <c r="Q157" s="369">
        <f t="shared" si="68"/>
        <v>-5.8518940788321796</v>
      </c>
      <c r="R157" s="370">
        <f t="shared" si="69"/>
        <v>-126.83915723718671</v>
      </c>
      <c r="S157" s="372">
        <f t="shared" si="70"/>
        <v>53.160842762813289</v>
      </c>
      <c r="U157" s="345">
        <f t="shared" si="76"/>
        <v>8861.7749999999996</v>
      </c>
      <c r="V157" s="345">
        <f t="shared" si="77"/>
        <v>78531056.15062499</v>
      </c>
      <c r="X157" s="371">
        <f t="shared" si="71"/>
        <v>17.048194705643418</v>
      </c>
      <c r="Y157" s="372">
        <f t="shared" si="72"/>
        <v>-27.542112980904157</v>
      </c>
      <c r="AA157" s="371">
        <f t="shared" si="73"/>
        <v>37.660485687529274</v>
      </c>
      <c r="AB157" s="372">
        <f t="shared" si="74"/>
        <v>-99.297044256282575</v>
      </c>
      <c r="AD157">
        <f t="shared" si="78"/>
        <v>0</v>
      </c>
      <c r="AE157">
        <f t="shared" si="81"/>
        <v>0</v>
      </c>
    </row>
    <row r="158" spans="1:31" x14ac:dyDescent="0.2">
      <c r="A158" s="373">
        <v>8912.5</v>
      </c>
      <c r="B158" s="390">
        <f t="shared" si="75"/>
        <v>8.9124999999999996</v>
      </c>
      <c r="C158" s="363">
        <f t="shared" si="54"/>
        <v>12.587348047966177</v>
      </c>
      <c r="D158" s="364">
        <f t="shared" si="55"/>
        <v>1.4912676676087397</v>
      </c>
      <c r="E158" s="364">
        <f t="shared" si="56"/>
        <v>1.0061281660780543</v>
      </c>
      <c r="F158" s="365">
        <f t="shared" si="57"/>
        <v>0.1104267496129883</v>
      </c>
      <c r="G158" s="364">
        <f t="shared" si="58"/>
        <v>1.0200165341700165</v>
      </c>
      <c r="H158" s="365">
        <f t="shared" si="59"/>
        <v>-0.19843515229724806</v>
      </c>
      <c r="I158" s="363">
        <f t="shared" si="60"/>
        <v>36970.428443002071</v>
      </c>
      <c r="J158" s="366">
        <f t="shared" si="61"/>
        <v>1.5707692781497433</v>
      </c>
      <c r="K158" s="374">
        <f t="shared" ref="K158:K214" si="82">SQRT(1+(A158/Zero2)^2)</f>
        <v>11.206405069522686</v>
      </c>
      <c r="L158" s="375">
        <f t="shared" ref="L158:L214" si="83">ATAN(A158/Zero2)</f>
        <v>1.4814427910225785</v>
      </c>
      <c r="M158" s="363">
        <f t="shared" si="64"/>
        <v>1.082473398823538</v>
      </c>
      <c r="N158" s="366">
        <f t="shared" si="65"/>
        <v>0.39288013719869325</v>
      </c>
      <c r="O158" s="367">
        <f t="shared" si="66"/>
        <v>1.0070823117423102</v>
      </c>
      <c r="P158" s="368">
        <f t="shared" si="67"/>
        <v>0.15559463863580528</v>
      </c>
      <c r="Q158" s="369">
        <f t="shared" si="68"/>
        <v>-5.906961594270058</v>
      </c>
      <c r="R158" s="370">
        <f t="shared" si="69"/>
        <v>-127.02917419476368</v>
      </c>
      <c r="S158" s="372">
        <f t="shared" si="70"/>
        <v>52.970825805236316</v>
      </c>
      <c r="U158" s="345">
        <f t="shared" si="76"/>
        <v>8912.5</v>
      </c>
      <c r="V158" s="345">
        <f t="shared" si="77"/>
        <v>79432656.25</v>
      </c>
      <c r="X158" s="371">
        <f t="shared" si="71"/>
        <v>17.040566339672182</v>
      </c>
      <c r="Y158" s="372">
        <f t="shared" si="72"/>
        <v>-27.628404458692135</v>
      </c>
      <c r="AA158" s="371">
        <f t="shared" si="73"/>
        <v>37.613046538062633</v>
      </c>
      <c r="AB158" s="372">
        <f t="shared" si="74"/>
        <v>-99.400769736071553</v>
      </c>
      <c r="AD158">
        <f t="shared" si="78"/>
        <v>0</v>
      </c>
      <c r="AE158">
        <f t="shared" si="81"/>
        <v>0</v>
      </c>
    </row>
    <row r="159" spans="1:31" x14ac:dyDescent="0.2">
      <c r="A159" s="373">
        <v>8964.4</v>
      </c>
      <c r="B159" s="390">
        <f t="shared" si="75"/>
        <v>8.9643999999999995</v>
      </c>
      <c r="C159" s="363">
        <f t="shared" si="54"/>
        <v>12.660186425157745</v>
      </c>
      <c r="D159" s="364">
        <f t="shared" si="55"/>
        <v>1.4917261818873737</v>
      </c>
      <c r="E159" s="364">
        <f t="shared" si="56"/>
        <v>1.0061995254438079</v>
      </c>
      <c r="F159" s="365">
        <f t="shared" si="57"/>
        <v>0.11106453568402885</v>
      </c>
      <c r="G159" s="364">
        <f t="shared" si="58"/>
        <v>1.020248016478952</v>
      </c>
      <c r="H159" s="365">
        <f t="shared" si="59"/>
        <v>-0.19956034482436633</v>
      </c>
      <c r="I159" s="363">
        <f t="shared" si="60"/>
        <v>37185.717669907201</v>
      </c>
      <c r="J159" s="366">
        <f t="shared" si="61"/>
        <v>1.5707694347497034</v>
      </c>
      <c r="K159" s="374">
        <f t="shared" si="82"/>
        <v>11.271144979030844</v>
      </c>
      <c r="L159" s="375">
        <f t="shared" si="83"/>
        <v>1.481957383899998</v>
      </c>
      <c r="M159" s="363">
        <f t="shared" si="64"/>
        <v>1.0833996330910336</v>
      </c>
      <c r="N159" s="366">
        <f t="shared" si="65"/>
        <v>0.39493796429905831</v>
      </c>
      <c r="O159" s="367">
        <f t="shared" si="66"/>
        <v>1.0071648938600859</v>
      </c>
      <c r="P159" s="368">
        <f t="shared" si="67"/>
        <v>0.15649522043878838</v>
      </c>
      <c r="Q159" s="369">
        <f t="shared" si="68"/>
        <v>-5.9630323681339501</v>
      </c>
      <c r="R159" s="370">
        <f t="shared" si="69"/>
        <v>-127.22340077754744</v>
      </c>
      <c r="S159" s="372">
        <f t="shared" si="70"/>
        <v>52.77659922245256</v>
      </c>
      <c r="U159" s="345">
        <f t="shared" si="76"/>
        <v>8964.4</v>
      </c>
      <c r="V159" s="345">
        <f t="shared" si="77"/>
        <v>80360467.359999999</v>
      </c>
      <c r="X159" s="371">
        <f t="shared" si="71"/>
        <v>17.032738018255341</v>
      </c>
      <c r="Y159" s="372">
        <f t="shared" si="72"/>
        <v>-27.716834239084896</v>
      </c>
      <c r="AA159" s="371">
        <f t="shared" si="73"/>
        <v>37.564804085615584</v>
      </c>
      <c r="AB159" s="372">
        <f t="shared" si="74"/>
        <v>-99.50656653846255</v>
      </c>
      <c r="AD159">
        <f t="shared" si="78"/>
        <v>0</v>
      </c>
      <c r="AE159">
        <f t="shared" si="81"/>
        <v>0</v>
      </c>
    </row>
    <row r="160" spans="1:31" x14ac:dyDescent="0.2">
      <c r="A160" s="373">
        <v>9016.2999999999993</v>
      </c>
      <c r="B160" s="390">
        <f t="shared" si="75"/>
        <v>9.0162999999999993</v>
      </c>
      <c r="C160" s="363">
        <f t="shared" si="54"/>
        <v>12.73302743351643</v>
      </c>
      <c r="D160" s="364">
        <f t="shared" si="55"/>
        <v>1.492179450274304</v>
      </c>
      <c r="E160" s="364">
        <f t="shared" si="56"/>
        <v>1.0062712940442744</v>
      </c>
      <c r="F160" s="365">
        <f t="shared" si="57"/>
        <v>0.11170223103894132</v>
      </c>
      <c r="G160" s="364">
        <f t="shared" si="58"/>
        <v>1.0204807898943182</v>
      </c>
      <c r="H160" s="365">
        <f t="shared" si="59"/>
        <v>-0.20068502545817204</v>
      </c>
      <c r="I160" s="363">
        <f t="shared" si="60"/>
        <v>37401.00689681324</v>
      </c>
      <c r="J160" s="366">
        <f t="shared" si="61"/>
        <v>1.5707695895468092</v>
      </c>
      <c r="K160" s="374">
        <f t="shared" si="82"/>
        <v>11.335887839112253</v>
      </c>
      <c r="L160" s="375">
        <f t="shared" si="83"/>
        <v>1.4824660989037384</v>
      </c>
      <c r="M160" s="363">
        <f t="shared" si="64"/>
        <v>1.0843304473302102</v>
      </c>
      <c r="N160" s="366">
        <f t="shared" si="65"/>
        <v>0.39699226711387592</v>
      </c>
      <c r="O160" s="367">
        <f t="shared" si="66"/>
        <v>1.0072479521820066</v>
      </c>
      <c r="P160" s="368">
        <f t="shared" si="67"/>
        <v>0.1573957074925022</v>
      </c>
      <c r="Q160" s="369">
        <f t="shared" si="68"/>
        <v>-6.0188309372947622</v>
      </c>
      <c r="R160" s="370">
        <f t="shared" si="69"/>
        <v>-127.41743197983895</v>
      </c>
      <c r="S160" s="372">
        <f t="shared" si="70"/>
        <v>52.582568020161048</v>
      </c>
      <c r="U160" s="345">
        <f t="shared" si="76"/>
        <v>9016.2999999999993</v>
      </c>
      <c r="V160" s="345">
        <f t="shared" si="77"/>
        <v>81293665.689999983</v>
      </c>
      <c r="X160" s="371">
        <f t="shared" si="71"/>
        <v>17.024886197696418</v>
      </c>
      <c r="Y160" s="372">
        <f t="shared" si="72"/>
        <v>-27.80539876684853</v>
      </c>
      <c r="AA160" s="371">
        <f t="shared" si="73"/>
        <v>37.51685733701369</v>
      </c>
      <c r="AB160" s="372">
        <f t="shared" si="74"/>
        <v>-99.61203321299044</v>
      </c>
      <c r="AD160">
        <f t="shared" si="78"/>
        <v>0</v>
      </c>
      <c r="AE160">
        <f t="shared" si="81"/>
        <v>0</v>
      </c>
    </row>
    <row r="161" spans="1:31" x14ac:dyDescent="0.2">
      <c r="A161" s="373">
        <v>9068.2000000000007</v>
      </c>
      <c r="B161" s="390">
        <f t="shared" si="75"/>
        <v>9.0682000000000009</v>
      </c>
      <c r="C161" s="363">
        <f t="shared" si="54"/>
        <v>12.805871028143255</v>
      </c>
      <c r="D161" s="364">
        <f t="shared" si="55"/>
        <v>1.4926275621022391</v>
      </c>
      <c r="E161" s="364">
        <f t="shared" si="56"/>
        <v>1.0063434717918991</v>
      </c>
      <c r="F161" s="365">
        <f t="shared" si="57"/>
        <v>0.11233983517854558</v>
      </c>
      <c r="G161" s="364">
        <f t="shared" si="58"/>
        <v>1.0207148535328072</v>
      </c>
      <c r="H161" s="365">
        <f t="shared" si="59"/>
        <v>-0.20180919170462169</v>
      </c>
      <c r="I161" s="363">
        <f t="shared" si="60"/>
        <v>37616.296123720174</v>
      </c>
      <c r="J161" s="366">
        <f t="shared" si="61"/>
        <v>1.5707697425720155</v>
      </c>
      <c r="K161" s="374">
        <f t="shared" si="82"/>
        <v>11.400633599499034</v>
      </c>
      <c r="L161" s="375">
        <f t="shared" si="83"/>
        <v>1.4829690359119787</v>
      </c>
      <c r="M161" s="363">
        <f t="shared" si="64"/>
        <v>1.0852658297565745</v>
      </c>
      <c r="N161" s="366">
        <f t="shared" si="65"/>
        <v>0.3990430373946941</v>
      </c>
      <c r="O161" s="367">
        <f t="shared" si="66"/>
        <v>1.0073314866516041</v>
      </c>
      <c r="P161" s="368">
        <f t="shared" si="67"/>
        <v>0.1582960992734691</v>
      </c>
      <c r="Q161" s="369">
        <f t="shared" si="68"/>
        <v>-6.0743605128400091</v>
      </c>
      <c r="R161" s="370">
        <f t="shared" si="69"/>
        <v>-127.61126658230904</v>
      </c>
      <c r="S161" s="372">
        <f t="shared" si="70"/>
        <v>52.388733417690958</v>
      </c>
      <c r="U161" s="345">
        <f t="shared" si="76"/>
        <v>9068.2000000000007</v>
      </c>
      <c r="V161" s="345">
        <f t="shared" si="77"/>
        <v>82232251.24000001</v>
      </c>
      <c r="X161" s="371">
        <f t="shared" si="71"/>
        <v>17.017010900744285</v>
      </c>
      <c r="Y161" s="372">
        <f t="shared" si="72"/>
        <v>-27.894091848556986</v>
      </c>
      <c r="AA161" s="371">
        <f t="shared" si="73"/>
        <v>37.469203058420575</v>
      </c>
      <c r="AB161" s="372">
        <f t="shared" si="74"/>
        <v>-99.717174733752032</v>
      </c>
      <c r="AD161">
        <f t="shared" si="78"/>
        <v>0</v>
      </c>
      <c r="AE161">
        <f t="shared" si="81"/>
        <v>0</v>
      </c>
    </row>
    <row r="162" spans="1:31" x14ac:dyDescent="0.2">
      <c r="A162" s="373">
        <v>9120.1</v>
      </c>
      <c r="B162" s="390">
        <f t="shared" si="75"/>
        <v>9.1201000000000008</v>
      </c>
      <c r="C162" s="363">
        <f t="shared" si="54"/>
        <v>12.878717165153468</v>
      </c>
      <c r="D162" s="364">
        <f t="shared" si="55"/>
        <v>1.4930706046911022</v>
      </c>
      <c r="E162" s="364">
        <f t="shared" si="56"/>
        <v>1.0064160585986526</v>
      </c>
      <c r="F162" s="365">
        <f t="shared" si="57"/>
        <v>0.11297734760410089</v>
      </c>
      <c r="G162" s="364">
        <f t="shared" si="58"/>
        <v>1.0209502065070266</v>
      </c>
      <c r="H162" s="365">
        <f t="shared" si="59"/>
        <v>-0.20293284107715295</v>
      </c>
      <c r="I162" s="363">
        <f t="shared" si="60"/>
        <v>37831.585350627967</v>
      </c>
      <c r="J162" s="366">
        <f t="shared" si="61"/>
        <v>1.5707698938555723</v>
      </c>
      <c r="K162" s="374">
        <f t="shared" si="82"/>
        <v>11.465382211056552</v>
      </c>
      <c r="L162" s="375">
        <f t="shared" si="83"/>
        <v>1.4834662925585698</v>
      </c>
      <c r="M162" s="363">
        <f t="shared" si="64"/>
        <v>1.0862057685684892</v>
      </c>
      <c r="N162" s="366">
        <f t="shared" si="65"/>
        <v>0.4010902670402558</v>
      </c>
      <c r="O162" s="367">
        <f t="shared" si="66"/>
        <v>1.0074154972121085</v>
      </c>
      <c r="P162" s="368">
        <f t="shared" si="67"/>
        <v>0.15919639525863502</v>
      </c>
      <c r="Q162" s="369">
        <f t="shared" si="68"/>
        <v>-6.129624247827242</v>
      </c>
      <c r="R162" s="370">
        <f t="shared" si="69"/>
        <v>-127.80490338771592</v>
      </c>
      <c r="S162" s="372">
        <f t="shared" si="70"/>
        <v>52.195096612284075</v>
      </c>
      <c r="U162" s="345">
        <f t="shared" si="76"/>
        <v>9120.1</v>
      </c>
      <c r="V162" s="345">
        <f t="shared" si="77"/>
        <v>83176224.010000005</v>
      </c>
      <c r="X162" s="371">
        <f t="shared" si="71"/>
        <v>17.009112154493483</v>
      </c>
      <c r="Y162" s="372">
        <f t="shared" si="72"/>
        <v>-27.982907427768048</v>
      </c>
      <c r="AA162" s="371">
        <f t="shared" si="73"/>
        <v>37.421838069684149</v>
      </c>
      <c r="AB162" s="372">
        <f t="shared" si="74"/>
        <v>-99.821995959947898</v>
      </c>
      <c r="AD162">
        <f t="shared" si="78"/>
        <v>0</v>
      </c>
      <c r="AE162">
        <f t="shared" si="81"/>
        <v>0</v>
      </c>
    </row>
    <row r="163" spans="1:31" x14ac:dyDescent="0.2">
      <c r="A163" s="373">
        <v>9173.2000000000007</v>
      </c>
      <c r="B163" s="390">
        <f t="shared" si="75"/>
        <v>9.1732000000000014</v>
      </c>
      <c r="C163" s="363">
        <f t="shared" si="54"/>
        <v>12.953250192413096</v>
      </c>
      <c r="D163" s="364">
        <f t="shared" si="55"/>
        <v>1.4935187336495719</v>
      </c>
      <c r="E163" s="364">
        <f t="shared" si="56"/>
        <v>1.0064907469762641</v>
      </c>
      <c r="F163" s="365">
        <f t="shared" si="57"/>
        <v>0.11362950476226095</v>
      </c>
      <c r="G163" s="364">
        <f t="shared" si="58"/>
        <v>1.0211923346359755</v>
      </c>
      <c r="H163" s="365">
        <f t="shared" si="59"/>
        <v>-0.20408193325822999</v>
      </c>
      <c r="I163" s="363">
        <f t="shared" si="60"/>
        <v>38051.852363129896</v>
      </c>
      <c r="J163" s="366">
        <f t="shared" si="61"/>
        <v>1.5707700468653265</v>
      </c>
      <c r="K163" s="374">
        <f t="shared" si="82"/>
        <v>11.531630801066854</v>
      </c>
      <c r="L163" s="375">
        <f t="shared" si="83"/>
        <v>1.4839692671184481</v>
      </c>
      <c r="M163" s="363">
        <f t="shared" si="64"/>
        <v>1.0871721433724832</v>
      </c>
      <c r="N163" s="366">
        <f t="shared" si="65"/>
        <v>0.40318115880187566</v>
      </c>
      <c r="O163" s="367">
        <f t="shared" si="66"/>
        <v>1.0075019428837821</v>
      </c>
      <c r="P163" s="368">
        <f t="shared" si="67"/>
        <v>0.16011740764707921</v>
      </c>
      <c r="Q163" s="369">
        <f t="shared" si="68"/>
        <v>-6.185893854458099</v>
      </c>
      <c r="R163" s="370">
        <f t="shared" si="69"/>
        <v>-128.00281140887165</v>
      </c>
      <c r="S163" s="372">
        <f t="shared" si="70"/>
        <v>51.997188591128349</v>
      </c>
      <c r="U163" s="345">
        <f t="shared" si="76"/>
        <v>9173.2000000000007</v>
      </c>
      <c r="V163" s="345">
        <f t="shared" si="77"/>
        <v>84147598.24000001</v>
      </c>
      <c r="X163" s="371">
        <f t="shared" si="71"/>
        <v>17.00100654208503</v>
      </c>
      <c r="Y163" s="372">
        <f t="shared" si="72"/>
        <v>-28.073897148561166</v>
      </c>
      <c r="AA163" s="371">
        <f t="shared" si="73"/>
        <v>37.373674075461743</v>
      </c>
      <c r="AB163" s="372">
        <f t="shared" si="74"/>
        <v>-99.928914260310492</v>
      </c>
      <c r="AD163">
        <f t="shared" si="78"/>
        <v>0</v>
      </c>
      <c r="AE163">
        <f t="shared" si="81"/>
        <v>0</v>
      </c>
    </row>
    <row r="164" spans="1:31" x14ac:dyDescent="0.2">
      <c r="A164" s="373">
        <v>9226.2999999999993</v>
      </c>
      <c r="B164" s="390">
        <f t="shared" si="75"/>
        <v>9.2262999999999984</v>
      </c>
      <c r="C164" s="363">
        <f t="shared" si="54"/>
        <v>13.02778579117436</v>
      </c>
      <c r="D164" s="364">
        <f t="shared" si="55"/>
        <v>1.4939617349544567</v>
      </c>
      <c r="E164" s="364">
        <f t="shared" si="56"/>
        <v>1.0065658633597745</v>
      </c>
      <c r="F164" s="365">
        <f t="shared" si="57"/>
        <v>0.1142815648614359</v>
      </c>
      <c r="G164" s="364">
        <f t="shared" si="58"/>
        <v>1.0214358105200918</v>
      </c>
      <c r="H164" s="365">
        <f t="shared" si="59"/>
        <v>-0.2052304791455368</v>
      </c>
      <c r="I164" s="363">
        <f t="shared" si="60"/>
        <v>38272.119375632697</v>
      </c>
      <c r="J164" s="366">
        <f t="shared" si="61"/>
        <v>1.5707701981138509</v>
      </c>
      <c r="K164" s="374">
        <f t="shared" si="82"/>
        <v>11.597882275059874</v>
      </c>
      <c r="L164" s="375">
        <f t="shared" si="83"/>
        <v>1.4844664954424776</v>
      </c>
      <c r="M164" s="363">
        <f t="shared" si="64"/>
        <v>1.0881432626522676</v>
      </c>
      <c r="N164" s="366">
        <f t="shared" si="65"/>
        <v>0.40526832761961035</v>
      </c>
      <c r="O164" s="367">
        <f t="shared" si="66"/>
        <v>1.0075888867954499</v>
      </c>
      <c r="P164" s="368">
        <f t="shared" si="67"/>
        <v>0.16103831865231269</v>
      </c>
      <c r="Q164" s="369">
        <f t="shared" si="68"/>
        <v>-6.2418916823432111</v>
      </c>
      <c r="R164" s="370">
        <f t="shared" si="69"/>
        <v>-128.20050991420982</v>
      </c>
      <c r="S164" s="372">
        <f t="shared" si="70"/>
        <v>51.799490085790183</v>
      </c>
      <c r="U164" s="345">
        <f t="shared" si="76"/>
        <v>9226.2999999999993</v>
      </c>
      <c r="V164" s="345">
        <f t="shared" si="77"/>
        <v>85124611.689999983</v>
      </c>
      <c r="X164" s="371">
        <f t="shared" si="71"/>
        <v>16.992876454120392</v>
      </c>
      <c r="Y164" s="372">
        <f t="shared" si="72"/>
        <v>-28.165002694533626</v>
      </c>
      <c r="AA164" s="371">
        <f t="shared" si="73"/>
        <v>37.325806335541273</v>
      </c>
      <c r="AB164" s="372">
        <f t="shared" si="74"/>
        <v>-100.03550721967618</v>
      </c>
      <c r="AD164">
        <f t="shared" si="78"/>
        <v>0</v>
      </c>
      <c r="AE164">
        <f t="shared" si="81"/>
        <v>0</v>
      </c>
    </row>
    <row r="165" spans="1:31" x14ac:dyDescent="0.2">
      <c r="A165" s="373">
        <v>9279.4</v>
      </c>
      <c r="B165" s="390">
        <f t="shared" si="75"/>
        <v>9.279399999999999</v>
      </c>
      <c r="C165" s="363">
        <f t="shared" si="54"/>
        <v>13.102323917551512</v>
      </c>
      <c r="D165" s="364">
        <f t="shared" si="55"/>
        <v>1.494399695942874</v>
      </c>
      <c r="E165" s="364">
        <f t="shared" si="56"/>
        <v>1.0066414076533696</v>
      </c>
      <c r="F165" s="365">
        <f t="shared" si="57"/>
        <v>0.11493352736892705</v>
      </c>
      <c r="G165" s="364">
        <f t="shared" si="58"/>
        <v>1.0216806331958279</v>
      </c>
      <c r="H165" s="365">
        <f t="shared" si="59"/>
        <v>-0.20637847610049539</v>
      </c>
      <c r="I165" s="363">
        <f t="shared" si="60"/>
        <v>38492.386388136365</v>
      </c>
      <c r="J165" s="366">
        <f t="shared" si="61"/>
        <v>1.5707703476313803</v>
      </c>
      <c r="K165" s="374">
        <f t="shared" si="82"/>
        <v>11.664136583893161</v>
      </c>
      <c r="L165" s="375">
        <f t="shared" si="83"/>
        <v>1.4849580752015077</v>
      </c>
      <c r="M165" s="363">
        <f t="shared" si="64"/>
        <v>1.089119113716525</v>
      </c>
      <c r="N165" s="366">
        <f t="shared" si="65"/>
        <v>0.40735176529203238</v>
      </c>
      <c r="O165" s="367">
        <f t="shared" si="66"/>
        <v>1.0076763288853312</v>
      </c>
      <c r="P165" s="368">
        <f t="shared" si="67"/>
        <v>0.16195912771554652</v>
      </c>
      <c r="Q165" s="369">
        <f t="shared" si="68"/>
        <v>-6.2976209283602769</v>
      </c>
      <c r="R165" s="370">
        <f t="shared" si="69"/>
        <v>-128.3979976908021</v>
      </c>
      <c r="S165" s="372">
        <f t="shared" si="70"/>
        <v>51.6020023091979</v>
      </c>
      <c r="U165" s="345">
        <f t="shared" si="76"/>
        <v>9279.4</v>
      </c>
      <c r="V165" s="345">
        <f t="shared" si="77"/>
        <v>86107264.359999999</v>
      </c>
      <c r="X165" s="371">
        <f t="shared" si="71"/>
        <v>16.98472193273664</v>
      </c>
      <c r="Y165" s="372">
        <f t="shared" si="72"/>
        <v>-28.256218001383122</v>
      </c>
      <c r="AA165" s="371">
        <f t="shared" si="73"/>
        <v>37.278231610907952</v>
      </c>
      <c r="AB165" s="372">
        <f t="shared" si="74"/>
        <v>-100.14177968941898</v>
      </c>
      <c r="AD165">
        <f t="shared" si="78"/>
        <v>0</v>
      </c>
      <c r="AE165">
        <f t="shared" si="81"/>
        <v>0</v>
      </c>
    </row>
    <row r="166" spans="1:31" x14ac:dyDescent="0.2">
      <c r="A166" s="373">
        <v>9332.5</v>
      </c>
      <c r="B166" s="390">
        <f t="shared" si="75"/>
        <v>9.3324999999999996</v>
      </c>
      <c r="C166" s="363">
        <f t="shared" si="54"/>
        <v>13.176864528650341</v>
      </c>
      <c r="D166" s="364">
        <f t="shared" si="55"/>
        <v>1.4948327019835357</v>
      </c>
      <c r="E166" s="364">
        <f t="shared" si="56"/>
        <v>1.0067173797607181</v>
      </c>
      <c r="F166" s="365">
        <f t="shared" si="57"/>
        <v>0.11558539175252697</v>
      </c>
      <c r="G166" s="364">
        <f t="shared" si="58"/>
        <v>1.021926801695233</v>
      </c>
      <c r="H166" s="365">
        <f t="shared" si="59"/>
        <v>-0.20752592149283675</v>
      </c>
      <c r="I166" s="363">
        <f t="shared" si="60"/>
        <v>38712.653400640898</v>
      </c>
      <c r="J166" s="366">
        <f t="shared" si="61"/>
        <v>1.5707704954474619</v>
      </c>
      <c r="K166" s="374">
        <f t="shared" si="82"/>
        <v>11.730393679532417</v>
      </c>
      <c r="L166" s="375">
        <f t="shared" si="83"/>
        <v>1.4854441018707423</v>
      </c>
      <c r="M166" s="363">
        <f t="shared" si="64"/>
        <v>1.0900996838576558</v>
      </c>
      <c r="N166" s="366">
        <f t="shared" si="65"/>
        <v>0.40943146377657591</v>
      </c>
      <c r="O166" s="367">
        <f t="shared" si="66"/>
        <v>1.0077642690913156</v>
      </c>
      <c r="P166" s="368">
        <f t="shared" si="67"/>
        <v>0.16287983427846553</v>
      </c>
      <c r="Q166" s="369">
        <f t="shared" si="68"/>
        <v>-6.3530847314857652</v>
      </c>
      <c r="R166" s="370">
        <f t="shared" si="69"/>
        <v>-128.59527354827785</v>
      </c>
      <c r="S166" s="372">
        <f t="shared" si="70"/>
        <v>51.404726451722155</v>
      </c>
      <c r="U166" s="345">
        <f t="shared" si="76"/>
        <v>9332.5</v>
      </c>
      <c r="V166" s="345">
        <f t="shared" si="77"/>
        <v>87095556.25</v>
      </c>
      <c r="X166" s="371">
        <f t="shared" si="71"/>
        <v>16.976543024174781</v>
      </c>
      <c r="Y166" s="372">
        <f t="shared" si="72"/>
        <v>-28.347537139671243</v>
      </c>
      <c r="AA166" s="371">
        <f t="shared" si="73"/>
        <v>37.230946716344327</v>
      </c>
      <c r="AB166" s="372">
        <f t="shared" si="74"/>
        <v>-100.24773640860661</v>
      </c>
      <c r="AD166">
        <f t="shared" si="78"/>
        <v>0</v>
      </c>
      <c r="AE166">
        <f t="shared" si="81"/>
        <v>0</v>
      </c>
    </row>
    <row r="167" spans="1:31" x14ac:dyDescent="0.2">
      <c r="A167" s="373">
        <v>9386.85</v>
      </c>
      <c r="B167" s="390">
        <f t="shared" si="75"/>
        <v>9.3868500000000008</v>
      </c>
      <c r="C167" s="363">
        <f t="shared" si="54"/>
        <v>13.253162391622496</v>
      </c>
      <c r="D167" s="364">
        <f t="shared" si="55"/>
        <v>1.4952708570069233</v>
      </c>
      <c r="E167" s="364">
        <f t="shared" si="56"/>
        <v>1.0067955832262967</v>
      </c>
      <c r="F167" s="365">
        <f t="shared" si="57"/>
        <v>0.11625249917203739</v>
      </c>
      <c r="G167" s="364">
        <f t="shared" si="58"/>
        <v>1.0221801578253678</v>
      </c>
      <c r="H167" s="365">
        <f t="shared" si="59"/>
        <v>-0.20869980438353145</v>
      </c>
      <c r="I167" s="363">
        <f t="shared" si="60"/>
        <v>38938.105606472665</v>
      </c>
      <c r="J167" s="366">
        <f t="shared" si="61"/>
        <v>1.5707706450113446</v>
      </c>
      <c r="K167" s="374">
        <f t="shared" si="82"/>
        <v>11.798213336624247</v>
      </c>
      <c r="L167" s="375">
        <f t="shared" si="83"/>
        <v>1.4859359165418724</v>
      </c>
      <c r="M167" s="363">
        <f t="shared" si="64"/>
        <v>1.091108210838994</v>
      </c>
      <c r="N167" s="366">
        <f t="shared" si="65"/>
        <v>0.41155623889632953</v>
      </c>
      <c r="O167" s="367">
        <f t="shared" si="66"/>
        <v>1.0078547952306027</v>
      </c>
      <c r="P167" s="368">
        <f t="shared" si="67"/>
        <v>0.16382210799439428</v>
      </c>
      <c r="Q167" s="369">
        <f t="shared" si="68"/>
        <v>-6.4095825070865224</v>
      </c>
      <c r="R167" s="370">
        <f t="shared" si="69"/>
        <v>-128.79697269604651</v>
      </c>
      <c r="S167" s="372">
        <f t="shared" si="70"/>
        <v>51.20302730395349</v>
      </c>
      <c r="U167" s="345">
        <f t="shared" si="76"/>
        <v>9386.85</v>
      </c>
      <c r="V167" s="345">
        <f t="shared" si="77"/>
        <v>88112952.922499999</v>
      </c>
      <c r="X167" s="371">
        <f t="shared" si="71"/>
        <v>16.96814637744761</v>
      </c>
      <c r="Y167" s="372">
        <f t="shared" si="72"/>
        <v>-28.441107450975323</v>
      </c>
      <c r="AA167" s="371">
        <f t="shared" si="73"/>
        <v>37.182845587470737</v>
      </c>
      <c r="AB167" s="372">
        <f t="shared" si="74"/>
        <v>-100.35586524507117</v>
      </c>
      <c r="AD167">
        <f t="shared" si="78"/>
        <v>0</v>
      </c>
      <c r="AE167">
        <f t="shared" si="81"/>
        <v>0</v>
      </c>
    </row>
    <row r="168" spans="1:31" x14ac:dyDescent="0.2">
      <c r="A168" s="373">
        <v>9441.2000000000007</v>
      </c>
      <c r="B168" s="390">
        <f t="shared" si="75"/>
        <v>9.4412000000000003</v>
      </c>
      <c r="C168" s="363">
        <f t="shared" si="54"/>
        <v>13.32946276980655</v>
      </c>
      <c r="D168" s="364">
        <f t="shared" si="55"/>
        <v>1.4957039959474214</v>
      </c>
      <c r="E168" s="364">
        <f t="shared" si="56"/>
        <v>1.0068742346787214</v>
      </c>
      <c r="F168" s="365">
        <f t="shared" si="57"/>
        <v>0.11691950266685547</v>
      </c>
      <c r="G168" s="364">
        <f t="shared" si="58"/>
        <v>1.0224349218216162</v>
      </c>
      <c r="H168" s="365">
        <f t="shared" si="59"/>
        <v>-0.20987310388863964</v>
      </c>
      <c r="I168" s="363">
        <f t="shared" si="60"/>
        <v>39163.557812305291</v>
      </c>
      <c r="J168" s="366">
        <f t="shared" si="61"/>
        <v>1.5707707928532435</v>
      </c>
      <c r="K168" s="374">
        <f t="shared" si="82"/>
        <v>11.866035814866091</v>
      </c>
      <c r="L168" s="375">
        <f t="shared" si="83"/>
        <v>1.4864221092177121</v>
      </c>
      <c r="M168" s="363">
        <f t="shared" si="64"/>
        <v>1.0921216547022445</v>
      </c>
      <c r="N168" s="366">
        <f t="shared" si="65"/>
        <v>0.41367708016881216</v>
      </c>
      <c r="O168" s="367">
        <f t="shared" si="66"/>
        <v>1.0079458430810944</v>
      </c>
      <c r="P168" s="368">
        <f t="shared" si="67"/>
        <v>0.16476427314533251</v>
      </c>
      <c r="Q168" s="369">
        <f t="shared" si="68"/>
        <v>-6.4658086697211914</v>
      </c>
      <c r="R168" s="370">
        <f t="shared" si="69"/>
        <v>-128.99844737712851</v>
      </c>
      <c r="S168" s="372">
        <f t="shared" si="70"/>
        <v>51.001552622871486</v>
      </c>
      <c r="U168" s="345">
        <f t="shared" si="76"/>
        <v>9441.2000000000007</v>
      </c>
      <c r="V168" s="345">
        <f t="shared" si="77"/>
        <v>89136257.440000013</v>
      </c>
      <c r="X168" s="371">
        <f t="shared" si="71"/>
        <v>16.95972429240727</v>
      </c>
      <c r="Y168" s="372">
        <f t="shared" si="72"/>
        <v>-28.534774387373812</v>
      </c>
      <c r="AA168" s="371">
        <f t="shared" si="73"/>
        <v>37.135041509876409</v>
      </c>
      <c r="AB168" s="372">
        <f t="shared" si="74"/>
        <v>-100.46367298975468</v>
      </c>
      <c r="AD168">
        <f t="shared" si="78"/>
        <v>0</v>
      </c>
      <c r="AE168">
        <f t="shared" si="81"/>
        <v>0</v>
      </c>
    </row>
    <row r="169" spans="1:31" x14ac:dyDescent="0.2">
      <c r="A169" s="373">
        <v>9495.5499999999993</v>
      </c>
      <c r="B169" s="390">
        <f t="shared" si="75"/>
        <v>9.4955499999999997</v>
      </c>
      <c r="C169" s="363">
        <f t="shared" si="54"/>
        <v>13.405765620255693</v>
      </c>
      <c r="D169" s="364">
        <f t="shared" si="55"/>
        <v>1.4961322042926291</v>
      </c>
      <c r="E169" s="364">
        <f t="shared" si="56"/>
        <v>1.0069533340130179</v>
      </c>
      <c r="F169" s="365">
        <f t="shared" si="57"/>
        <v>0.11758640166791189</v>
      </c>
      <c r="G169" s="364">
        <f t="shared" si="58"/>
        <v>1.0226910926318318</v>
      </c>
      <c r="H169" s="365">
        <f t="shared" si="59"/>
        <v>-0.21104581721495458</v>
      </c>
      <c r="I169" s="363">
        <f t="shared" si="60"/>
        <v>39389.010018138761</v>
      </c>
      <c r="J169" s="366">
        <f t="shared" si="61"/>
        <v>1.5707709390027269</v>
      </c>
      <c r="K169" s="374">
        <f t="shared" si="82"/>
        <v>11.933861066158496</v>
      </c>
      <c r="L169" s="375">
        <f t="shared" si="83"/>
        <v>1.4869027755230555</v>
      </c>
      <c r="M169" s="363">
        <f t="shared" si="64"/>
        <v>1.0931400017721682</v>
      </c>
      <c r="N169" s="366">
        <f t="shared" si="65"/>
        <v>0.41579397948280467</v>
      </c>
      <c r="O169" s="367">
        <f t="shared" si="66"/>
        <v>1.0080374125751201</v>
      </c>
      <c r="P169" s="368">
        <f t="shared" si="67"/>
        <v>0.16570632913415823</v>
      </c>
      <c r="Q169" s="369">
        <f t="shared" si="68"/>
        <v>-6.5217664054716185</v>
      </c>
      <c r="R169" s="370">
        <f t="shared" si="69"/>
        <v>-129.19969638601461</v>
      </c>
      <c r="S169" s="372">
        <f t="shared" si="70"/>
        <v>50.800303613985392</v>
      </c>
      <c r="U169" s="345">
        <f t="shared" si="76"/>
        <v>9495.5499999999993</v>
      </c>
      <c r="V169" s="345">
        <f t="shared" si="77"/>
        <v>90165469.80249998</v>
      </c>
      <c r="X169" s="371">
        <f t="shared" si="71"/>
        <v>16.951276831025353</v>
      </c>
      <c r="Y169" s="372">
        <f t="shared" si="72"/>
        <v>-28.628532006925116</v>
      </c>
      <c r="AA169" s="371">
        <f t="shared" si="73"/>
        <v>37.087531235507903</v>
      </c>
      <c r="AB169" s="372">
        <f t="shared" si="74"/>
        <v>-100.5711643790895</v>
      </c>
      <c r="AD169">
        <f t="shared" si="78"/>
        <v>0</v>
      </c>
      <c r="AE169">
        <f t="shared" si="81"/>
        <v>0</v>
      </c>
    </row>
    <row r="170" spans="1:31" x14ac:dyDescent="0.2">
      <c r="A170" s="373">
        <v>9549.9</v>
      </c>
      <c r="B170" s="390">
        <f t="shared" si="75"/>
        <v>9.5498999999999992</v>
      </c>
      <c r="C170" s="363">
        <f t="shared" si="54"/>
        <v>13.482070900993984</v>
      </c>
      <c r="D170" s="364">
        <f t="shared" si="55"/>
        <v>1.4965555656021161</v>
      </c>
      <c r="E170" s="364">
        <f t="shared" si="56"/>
        <v>1.0070328811236469</v>
      </c>
      <c r="F170" s="365">
        <f t="shared" si="57"/>
        <v>0.11825319560668754</v>
      </c>
      <c r="G170" s="364">
        <f t="shared" si="58"/>
        <v>1.0229486691991152</v>
      </c>
      <c r="H170" s="365">
        <f t="shared" si="59"/>
        <v>-0.21221794157850926</v>
      </c>
      <c r="I170" s="363">
        <f t="shared" si="60"/>
        <v>39614.462223973067</v>
      </c>
      <c r="J170" s="366">
        <f t="shared" si="61"/>
        <v>1.5707710834886905</v>
      </c>
      <c r="K170" s="374">
        <f t="shared" si="82"/>
        <v>12.001689043487373</v>
      </c>
      <c r="L170" s="375">
        <f t="shared" si="83"/>
        <v>1.4873780089313366</v>
      </c>
      <c r="M170" s="363">
        <f t="shared" si="64"/>
        <v>1.0941632383583957</v>
      </c>
      <c r="N170" s="366">
        <f t="shared" si="65"/>
        <v>0.41790692889853032</v>
      </c>
      <c r="O170" s="367">
        <f t="shared" si="66"/>
        <v>1.0081295036446496</v>
      </c>
      <c r="P170" s="368">
        <f t="shared" si="67"/>
        <v>0.16664827536428028</v>
      </c>
      <c r="Q170" s="369">
        <f t="shared" si="68"/>
        <v>-6.5774588425593485</v>
      </c>
      <c r="R170" s="370">
        <f t="shared" si="69"/>
        <v>-129.40071854030418</v>
      </c>
      <c r="S170" s="372">
        <f t="shared" si="70"/>
        <v>50.599281459695817</v>
      </c>
      <c r="U170" s="345">
        <f t="shared" si="76"/>
        <v>9549.9</v>
      </c>
      <c r="V170" s="345">
        <f t="shared" si="77"/>
        <v>91200590.00999999</v>
      </c>
      <c r="X170" s="371">
        <f t="shared" si="71"/>
        <v>16.942804059142301</v>
      </c>
      <c r="Y170" s="372">
        <f t="shared" si="72"/>
        <v>-28.722374500735839</v>
      </c>
      <c r="AA170" s="371">
        <f t="shared" si="73"/>
        <v>37.040311570303224</v>
      </c>
      <c r="AB170" s="372">
        <f t="shared" si="74"/>
        <v>-100.67834403956834</v>
      </c>
      <c r="AD170">
        <f t="shared" si="78"/>
        <v>0</v>
      </c>
      <c r="AE170">
        <f t="shared" si="81"/>
        <v>0</v>
      </c>
    </row>
    <row r="171" spans="1:31" x14ac:dyDescent="0.2">
      <c r="A171" s="373">
        <v>9605.5249999999996</v>
      </c>
      <c r="B171" s="390">
        <f t="shared" si="75"/>
        <v>9.6055250000000001</v>
      </c>
      <c r="C171" s="363">
        <f t="shared" si="54"/>
        <v>13.560168705678642</v>
      </c>
      <c r="D171" s="364">
        <f t="shared" si="55"/>
        <v>1.4969839248734027</v>
      </c>
      <c r="E171" s="364">
        <f t="shared" si="56"/>
        <v>1.0071147578802819</v>
      </c>
      <c r="F171" s="365">
        <f t="shared" si="57"/>
        <v>0.11893552252468453</v>
      </c>
      <c r="G171" s="364">
        <f t="shared" si="58"/>
        <v>1.0232137427735537</v>
      </c>
      <c r="H171" s="365">
        <f t="shared" si="59"/>
        <v>-0.21341695013465384</v>
      </c>
      <c r="I171" s="363">
        <f t="shared" si="60"/>
        <v>39845.203327001203</v>
      </c>
      <c r="J171" s="366">
        <f t="shared" si="61"/>
        <v>1.5707712296711125</v>
      </c>
      <c r="K171" s="374">
        <f t="shared" si="82"/>
        <v>12.071110976274282</v>
      </c>
      <c r="L171" s="375">
        <f t="shared" si="83"/>
        <v>1.4878588606516927</v>
      </c>
      <c r="M171" s="363">
        <f t="shared" si="64"/>
        <v>1.0952155277297946</v>
      </c>
      <c r="N171" s="366">
        <f t="shared" si="65"/>
        <v>0.42006534804185319</v>
      </c>
      <c r="O171" s="367">
        <f t="shared" si="66"/>
        <v>1.0082242950854141</v>
      </c>
      <c r="P171" s="368">
        <f t="shared" si="67"/>
        <v>0.16761220449589484</v>
      </c>
      <c r="Q171" s="369">
        <f t="shared" si="68"/>
        <v>-6.6341862699772509</v>
      </c>
      <c r="R171" s="370">
        <f t="shared" si="69"/>
        <v>-129.60622037592847</v>
      </c>
      <c r="S171" s="372">
        <f t="shared" si="70"/>
        <v>50.393779624071527</v>
      </c>
      <c r="U171" s="345">
        <f t="shared" si="76"/>
        <v>9605.5249999999996</v>
      </c>
      <c r="V171" s="345">
        <f t="shared" si="77"/>
        <v>92266110.52562499</v>
      </c>
      <c r="X171" s="371">
        <f t="shared" si="71"/>
        <v>16.934106388490179</v>
      </c>
      <c r="Y171" s="372">
        <f t="shared" si="72"/>
        <v>-28.818500409666139</v>
      </c>
      <c r="AA171" s="371">
        <f t="shared" si="73"/>
        <v>36.992281813537438</v>
      </c>
      <c r="AB171" s="372">
        <f t="shared" si="74"/>
        <v>-100.78771996626233</v>
      </c>
      <c r="AD171">
        <f t="shared" si="78"/>
        <v>0</v>
      </c>
      <c r="AE171">
        <f t="shared" si="81"/>
        <v>0</v>
      </c>
    </row>
    <row r="172" spans="1:31" x14ac:dyDescent="0.2">
      <c r="A172" s="373">
        <v>9661.15</v>
      </c>
      <c r="B172" s="390">
        <f t="shared" si="75"/>
        <v>9.6611499999999992</v>
      </c>
      <c r="C172" s="363">
        <f t="shared" si="54"/>
        <v>13.638268970044509</v>
      </c>
      <c r="D172" s="364">
        <f t="shared" si="55"/>
        <v>1.4974073781778687</v>
      </c>
      <c r="E172" s="364">
        <f t="shared" si="56"/>
        <v>1.0071971034429981</v>
      </c>
      <c r="F172" s="365">
        <f t="shared" si="57"/>
        <v>0.11961773819005181</v>
      </c>
      <c r="G172" s="364">
        <f t="shared" si="58"/>
        <v>1.0234802865789006</v>
      </c>
      <c r="H172" s="365">
        <f t="shared" si="59"/>
        <v>-0.21461533590001236</v>
      </c>
      <c r="I172" s="363">
        <f t="shared" si="60"/>
        <v>40075.944430030184</v>
      </c>
      <c r="J172" s="366">
        <f t="shared" si="61"/>
        <v>1.5707713741702154</v>
      </c>
      <c r="K172" s="374">
        <f t="shared" si="82"/>
        <v>12.140535668203835</v>
      </c>
      <c r="L172" s="375">
        <f t="shared" si="83"/>
        <v>1.4883342130559361</v>
      </c>
      <c r="M172" s="363">
        <f t="shared" si="64"/>
        <v>1.0962729096527914</v>
      </c>
      <c r="N172" s="366">
        <f t="shared" si="65"/>
        <v>0.42221961350964615</v>
      </c>
      <c r="O172" s="367">
        <f t="shared" si="66"/>
        <v>1.0083196327147199</v>
      </c>
      <c r="P172" s="368">
        <f t="shared" si="67"/>
        <v>0.16857601739596281</v>
      </c>
      <c r="Q172" s="369">
        <f t="shared" si="68"/>
        <v>-6.6906422558055088</v>
      </c>
      <c r="R172" s="370">
        <f t="shared" si="69"/>
        <v>-129.81148215488378</v>
      </c>
      <c r="S172" s="372">
        <f t="shared" si="70"/>
        <v>50.188517845116223</v>
      </c>
      <c r="U172" s="345">
        <f t="shared" si="76"/>
        <v>9661.15</v>
      </c>
      <c r="V172" s="345">
        <f t="shared" si="77"/>
        <v>93337819.32249999</v>
      </c>
      <c r="X172" s="371">
        <f t="shared" si="71"/>
        <v>16.925382357224102</v>
      </c>
      <c r="Y172" s="372">
        <f t="shared" si="72"/>
        <v>-28.914703321675574</v>
      </c>
      <c r="AA172" s="371">
        <f t="shared" si="73"/>
        <v>36.944549858975257</v>
      </c>
      <c r="AB172" s="372">
        <f t="shared" si="74"/>
        <v>-100.89677883320823</v>
      </c>
      <c r="AD172">
        <f t="shared" si="78"/>
        <v>0</v>
      </c>
      <c r="AE172">
        <f t="shared" si="81"/>
        <v>0</v>
      </c>
    </row>
    <row r="173" spans="1:31" x14ac:dyDescent="0.2">
      <c r="A173" s="373">
        <v>9716.7749999999996</v>
      </c>
      <c r="B173" s="390">
        <f t="shared" si="75"/>
        <v>9.7167750000000002</v>
      </c>
      <c r="C173" s="363">
        <f t="shared" si="54"/>
        <v>13.716371652075713</v>
      </c>
      <c r="D173" s="364">
        <f t="shared" si="55"/>
        <v>1.4978260091678495</v>
      </c>
      <c r="E173" s="364">
        <f t="shared" si="56"/>
        <v>1.0072799176968201</v>
      </c>
      <c r="F173" s="365">
        <f t="shared" si="57"/>
        <v>0.12029984199512124</v>
      </c>
      <c r="G173" s="364">
        <f t="shared" si="58"/>
        <v>1.0237482994667844</v>
      </c>
      <c r="H173" s="365">
        <f t="shared" si="59"/>
        <v>-0.21581309592031353</v>
      </c>
      <c r="I173" s="363">
        <f t="shared" si="60"/>
        <v>40306.685533059994</v>
      </c>
      <c r="J173" s="366">
        <f t="shared" si="61"/>
        <v>1.570771517014909</v>
      </c>
      <c r="K173" s="374">
        <f t="shared" si="82"/>
        <v>12.209963072211355</v>
      </c>
      <c r="L173" s="375">
        <f t="shared" si="83"/>
        <v>1.4888041597368258</v>
      </c>
      <c r="M173" s="363">
        <f t="shared" si="64"/>
        <v>1.0973353694059833</v>
      </c>
      <c r="N173" s="366">
        <f t="shared" si="65"/>
        <v>0.42436971734290924</v>
      </c>
      <c r="O173" s="367">
        <f t="shared" si="66"/>
        <v>1.0084155164584678</v>
      </c>
      <c r="P173" s="368">
        <f t="shared" si="67"/>
        <v>0.16953971342665763</v>
      </c>
      <c r="Q173" s="369">
        <f t="shared" si="68"/>
        <v>-6.7468299739840401</v>
      </c>
      <c r="R173" s="370">
        <f t="shared" si="69"/>
        <v>-130.0165026822699</v>
      </c>
      <c r="S173" s="372">
        <f t="shared" si="70"/>
        <v>49.983497317730098</v>
      </c>
      <c r="U173" s="345">
        <f t="shared" si="76"/>
        <v>9716.7749999999996</v>
      </c>
      <c r="V173" s="345">
        <f t="shared" si="77"/>
        <v>94415716.40062499</v>
      </c>
      <c r="X173" s="371">
        <f t="shared" si="71"/>
        <v>16.916632047579078</v>
      </c>
      <c r="Y173" s="372">
        <f t="shared" si="72"/>
        <v>-29.010977419933372</v>
      </c>
      <c r="AA173" s="371">
        <f t="shared" si="73"/>
        <v>36.897112450441753</v>
      </c>
      <c r="AB173" s="372">
        <f t="shared" si="74"/>
        <v>-101.00552526233656</v>
      </c>
      <c r="AD173">
        <f t="shared" si="78"/>
        <v>0</v>
      </c>
      <c r="AE173">
        <f t="shared" si="81"/>
        <v>0</v>
      </c>
    </row>
    <row r="174" spans="1:31" x14ac:dyDescent="0.2">
      <c r="A174" s="373">
        <v>9772.4</v>
      </c>
      <c r="B174" s="390">
        <f t="shared" si="75"/>
        <v>9.7723999999999993</v>
      </c>
      <c r="C174" s="363">
        <f t="shared" si="54"/>
        <v>13.794476710706657</v>
      </c>
      <c r="D174" s="364">
        <f t="shared" si="55"/>
        <v>1.4982398996079533</v>
      </c>
      <c r="E174" s="364">
        <f t="shared" si="56"/>
        <v>1.0073632005261561</v>
      </c>
      <c r="F174" s="365">
        <f t="shared" si="57"/>
        <v>0.12098183333284034</v>
      </c>
      <c r="G174" s="364">
        <f t="shared" si="58"/>
        <v>1.0240177802837107</v>
      </c>
      <c r="H174" s="365">
        <f t="shared" si="59"/>
        <v>-0.21701022725155206</v>
      </c>
      <c r="I174" s="363">
        <f t="shared" si="60"/>
        <v>40537.426636090611</v>
      </c>
      <c r="J174" s="366">
        <f t="shared" si="61"/>
        <v>1.5707716582334441</v>
      </c>
      <c r="K174" s="374">
        <f t="shared" si="82"/>
        <v>12.279393142294772</v>
      </c>
      <c r="L174" s="375">
        <f t="shared" si="83"/>
        <v>1.4892687921800303</v>
      </c>
      <c r="M174" s="363">
        <f t="shared" si="64"/>
        <v>1.0984028922543667</v>
      </c>
      <c r="N174" s="366">
        <f t="shared" si="65"/>
        <v>0.4265156517672738</v>
      </c>
      <c r="O174" s="367">
        <f t="shared" si="66"/>
        <v>1.0085119462421666</v>
      </c>
      <c r="P174" s="368">
        <f t="shared" si="67"/>
        <v>0.17050329195074659</v>
      </c>
      <c r="Q174" s="369">
        <f t="shared" si="68"/>
        <v>-6.8027525406608556</v>
      </c>
      <c r="R174" s="370">
        <f t="shared" si="69"/>
        <v>-130.221280786883</v>
      </c>
      <c r="S174" s="372">
        <f t="shared" si="70"/>
        <v>49.778719213117</v>
      </c>
      <c r="U174" s="345">
        <f t="shared" si="76"/>
        <v>9772.4</v>
      </c>
      <c r="V174" s="345">
        <f t="shared" si="77"/>
        <v>95499801.75999999</v>
      </c>
      <c r="X174" s="371">
        <f t="shared" si="71"/>
        <v>16.907855545420858</v>
      </c>
      <c r="Y174" s="372">
        <f t="shared" si="72"/>
        <v>-29.107317018876966</v>
      </c>
      <c r="AA174" s="371">
        <f t="shared" si="73"/>
        <v>36.84996638592316</v>
      </c>
      <c r="AB174" s="372">
        <f t="shared" si="74"/>
        <v>-101.11396376800603</v>
      </c>
      <c r="AD174">
        <f t="shared" si="78"/>
        <v>0</v>
      </c>
      <c r="AE174">
        <f t="shared" si="81"/>
        <v>0</v>
      </c>
    </row>
    <row r="175" spans="1:31" x14ac:dyDescent="0.2">
      <c r="A175" s="373">
        <v>9829.2999999999993</v>
      </c>
      <c r="B175" s="390">
        <f t="shared" si="75"/>
        <v>9.8292999999999999</v>
      </c>
      <c r="C175" s="363">
        <f t="shared" si="54"/>
        <v>13.874374459683331</v>
      </c>
      <c r="D175" s="364">
        <f t="shared" si="55"/>
        <v>1.4986584555101388</v>
      </c>
      <c r="E175" s="364">
        <f t="shared" si="56"/>
        <v>1.0074488769982564</v>
      </c>
      <c r="F175" s="365">
        <f t="shared" si="57"/>
        <v>0.12167933983557516</v>
      </c>
      <c r="G175" s="364">
        <f t="shared" si="58"/>
        <v>1.0242949555414103</v>
      </c>
      <c r="H175" s="365">
        <f t="shared" si="59"/>
        <v>-0.21823414491872034</v>
      </c>
      <c r="I175" s="363">
        <f t="shared" si="60"/>
        <v>40773.456636315117</v>
      </c>
      <c r="J175" s="366">
        <f t="shared" si="61"/>
        <v>1.5707718010351843</v>
      </c>
      <c r="K175" s="374">
        <f t="shared" si="82"/>
        <v>12.350417354762753</v>
      </c>
      <c r="L175" s="375">
        <f t="shared" si="83"/>
        <v>1.489738669508359</v>
      </c>
      <c r="M175" s="363">
        <f t="shared" si="64"/>
        <v>1.0995001072950294</v>
      </c>
      <c r="N175" s="366">
        <f t="shared" si="65"/>
        <v>0.42870645213261799</v>
      </c>
      <c r="O175" s="367">
        <f t="shared" si="66"/>
        <v>1.0086111512058034</v>
      </c>
      <c r="P175" s="368">
        <f t="shared" si="67"/>
        <v>0.17148883475250465</v>
      </c>
      <c r="Q175" s="369">
        <f t="shared" si="68"/>
        <v>-6.8596857799205582</v>
      </c>
      <c r="R175" s="370">
        <f t="shared" si="69"/>
        <v>-130.43050066371327</v>
      </c>
      <c r="S175" s="372">
        <f t="shared" si="70"/>
        <v>49.569499336286725</v>
      </c>
      <c r="U175" s="345">
        <f t="shared" si="76"/>
        <v>9829.2999999999993</v>
      </c>
      <c r="V175" s="345">
        <f t="shared" si="77"/>
        <v>96615138.48999998</v>
      </c>
      <c r="X175" s="371">
        <f t="shared" si="71"/>
        <v>16.898850867231623</v>
      </c>
      <c r="Y175" s="372">
        <f t="shared" si="72"/>
        <v>-29.205926827814483</v>
      </c>
      <c r="AA175" s="371">
        <f t="shared" si="73"/>
        <v>36.80203782485269</v>
      </c>
      <c r="AB175" s="372">
        <f t="shared" si="74"/>
        <v>-101.22457383589878</v>
      </c>
      <c r="AD175">
        <f t="shared" si="78"/>
        <v>0</v>
      </c>
      <c r="AE175">
        <f t="shared" si="81"/>
        <v>0</v>
      </c>
    </row>
    <row r="176" spans="1:31" x14ac:dyDescent="0.2">
      <c r="A176" s="373">
        <v>9886.2000000000007</v>
      </c>
      <c r="B176" s="390">
        <f t="shared" si="75"/>
        <v>9.8862000000000005</v>
      </c>
      <c r="C176" s="363">
        <f t="shared" si="54"/>
        <v>13.954274611464015</v>
      </c>
      <c r="D176" s="364">
        <f t="shared" si="55"/>
        <v>1.4990722183033867</v>
      </c>
      <c r="E176" s="364">
        <f t="shared" si="56"/>
        <v>1.007535043526173</v>
      </c>
      <c r="F176" s="365">
        <f t="shared" si="57"/>
        <v>0.12237672737308875</v>
      </c>
      <c r="G176" s="364">
        <f t="shared" si="58"/>
        <v>1.024573664335271</v>
      </c>
      <c r="H176" s="365">
        <f t="shared" si="59"/>
        <v>-0.2194573985471038</v>
      </c>
      <c r="I176" s="363">
        <f t="shared" si="60"/>
        <v>41009.486636540452</v>
      </c>
      <c r="J176" s="366">
        <f t="shared" si="61"/>
        <v>1.5707719421931345</v>
      </c>
      <c r="K176" s="374">
        <f t="shared" si="82"/>
        <v>12.421444262830834</v>
      </c>
      <c r="L176" s="375">
        <f t="shared" si="83"/>
        <v>1.4902031733386933</v>
      </c>
      <c r="M176" s="363">
        <f t="shared" si="64"/>
        <v>1.1006025889666611</v>
      </c>
      <c r="N176" s="366">
        <f t="shared" si="65"/>
        <v>0.43089287389291797</v>
      </c>
      <c r="O176" s="367">
        <f t="shared" si="66"/>
        <v>1.0087109273692856</v>
      </c>
      <c r="P176" s="368">
        <f t="shared" si="67"/>
        <v>0.17247425325217211</v>
      </c>
      <c r="Q176" s="369">
        <f t="shared" si="68"/>
        <v>-6.9163479897146063</v>
      </c>
      <c r="R176" s="370">
        <f t="shared" si="69"/>
        <v>-130.63946447221537</v>
      </c>
      <c r="S176" s="372">
        <f t="shared" si="70"/>
        <v>49.360535527784634</v>
      </c>
      <c r="U176" s="345">
        <f t="shared" si="76"/>
        <v>9886.2000000000007</v>
      </c>
      <c r="V176" s="345">
        <f t="shared" si="77"/>
        <v>97736950.440000013</v>
      </c>
      <c r="X176" s="371">
        <f t="shared" si="71"/>
        <v>16.889818974814329</v>
      </c>
      <c r="Y176" s="372">
        <f t="shared" si="72"/>
        <v>-29.304593545736942</v>
      </c>
      <c r="AA176" s="371">
        <f t="shared" si="73"/>
        <v>36.754407507475939</v>
      </c>
      <c r="AB176" s="372">
        <f t="shared" si="74"/>
        <v>-101.3348709264784</v>
      </c>
      <c r="AD176">
        <f t="shared" si="78"/>
        <v>0</v>
      </c>
      <c r="AE176">
        <f t="shared" si="81"/>
        <v>0</v>
      </c>
    </row>
    <row r="177" spans="1:31" x14ac:dyDescent="0.2">
      <c r="A177" s="373">
        <v>9943.1</v>
      </c>
      <c r="B177" s="390">
        <f t="shared" si="75"/>
        <v>9.9431000000000012</v>
      </c>
      <c r="C177" s="363">
        <f t="shared" si="54"/>
        <v>14.034177125009382</v>
      </c>
      <c r="D177" s="364">
        <f t="shared" si="55"/>
        <v>1.4994812697123978</v>
      </c>
      <c r="E177" s="364">
        <f t="shared" si="56"/>
        <v>1.0076216999841847</v>
      </c>
      <c r="F177" s="365">
        <f t="shared" si="57"/>
        <v>0.12307399529764031</v>
      </c>
      <c r="G177" s="364">
        <f t="shared" si="58"/>
        <v>1.024853905414159</v>
      </c>
      <c r="H177" s="365">
        <f t="shared" si="59"/>
        <v>-0.22067998501912761</v>
      </c>
      <c r="I177" s="363">
        <f t="shared" si="60"/>
        <v>41245.516636766588</v>
      </c>
      <c r="J177" s="366">
        <f t="shared" si="61"/>
        <v>1.5707720817355146</v>
      </c>
      <c r="K177" s="374">
        <f t="shared" si="82"/>
        <v>12.492473820520896</v>
      </c>
      <c r="L177" s="375">
        <f t="shared" si="83"/>
        <v>1.4906623951265692</v>
      </c>
      <c r="M177" s="363">
        <f t="shared" si="64"/>
        <v>1.1017103214583066</v>
      </c>
      <c r="N177" s="366">
        <f t="shared" si="65"/>
        <v>0.43307490932050896</v>
      </c>
      <c r="O177" s="367">
        <f t="shared" si="66"/>
        <v>1.0088112746516105</v>
      </c>
      <c r="P177" s="368">
        <f t="shared" si="67"/>
        <v>0.17345954676963352</v>
      </c>
      <c r="Q177" s="369">
        <f t="shared" si="68"/>
        <v>-6.9727423263327104</v>
      </c>
      <c r="R177" s="370">
        <f t="shared" si="69"/>
        <v>-130.84817103322902</v>
      </c>
      <c r="S177" s="372">
        <f t="shared" si="70"/>
        <v>49.151828966770978</v>
      </c>
      <c r="U177" s="345">
        <f t="shared" si="76"/>
        <v>9943.1</v>
      </c>
      <c r="V177" s="345">
        <f t="shared" si="77"/>
        <v>98865237.610000014</v>
      </c>
      <c r="X177" s="371">
        <f t="shared" si="71"/>
        <v>16.880759970963229</v>
      </c>
      <c r="Y177" s="372">
        <f t="shared" si="72"/>
        <v>-29.403311491482452</v>
      </c>
      <c r="AA177" s="371">
        <f t="shared" si="73"/>
        <v>36.707072174708927</v>
      </c>
      <c r="AB177" s="372">
        <f t="shared" si="74"/>
        <v>-101.44485954174655</v>
      </c>
      <c r="AD177">
        <f t="shared" si="78"/>
        <v>0</v>
      </c>
      <c r="AE177">
        <f t="shared" si="81"/>
        <v>0</v>
      </c>
    </row>
    <row r="178" spans="1:31" x14ac:dyDescent="0.2">
      <c r="A178" s="373">
        <v>10000</v>
      </c>
      <c r="B178" s="390">
        <f t="shared" si="75"/>
        <v>10</v>
      </c>
      <c r="C178" s="363">
        <f t="shared" si="54"/>
        <v>14.114081960208228</v>
      </c>
      <c r="D178" s="364">
        <f t="shared" si="55"/>
        <v>1.4998856896175718</v>
      </c>
      <c r="E178" s="364">
        <f t="shared" si="56"/>
        <v>1.0077088462458996</v>
      </c>
      <c r="F178" s="365">
        <f t="shared" si="57"/>
        <v>0.12377114296217652</v>
      </c>
      <c r="G178" s="364">
        <f t="shared" si="58"/>
        <v>1.0251356775214326</v>
      </c>
      <c r="H178" s="365">
        <f t="shared" si="59"/>
        <v>-0.22190190122859435</v>
      </c>
      <c r="I178" s="363">
        <f t="shared" si="60"/>
        <v>41481.546636993517</v>
      </c>
      <c r="J178" s="366">
        <f t="shared" si="61"/>
        <v>1.5707722196899025</v>
      </c>
      <c r="K178" s="374">
        <f t="shared" si="82"/>
        <v>12.563505982892902</v>
      </c>
      <c r="L178" s="375">
        <f t="shared" si="83"/>
        <v>1.4911164242682464</v>
      </c>
      <c r="M178" s="363">
        <f t="shared" si="64"/>
        <v>1.1028232889473844</v>
      </c>
      <c r="N178" s="366">
        <f t="shared" si="65"/>
        <v>0.43525255088577597</v>
      </c>
      <c r="O178" s="367">
        <f t="shared" si="66"/>
        <v>1.0089121929713478</v>
      </c>
      <c r="P178" s="368">
        <f t="shared" si="67"/>
        <v>0.17444471462543654</v>
      </c>
      <c r="Q178" s="369">
        <f t="shared" si="68"/>
        <v>-7.0288718884706869</v>
      </c>
      <c r="R178" s="370">
        <f t="shared" si="69"/>
        <v>-131.05661919187213</v>
      </c>
      <c r="S178" s="372">
        <f t="shared" si="70"/>
        <v>48.94338080812787</v>
      </c>
      <c r="U178" s="345">
        <f t="shared" si="76"/>
        <v>10000</v>
      </c>
      <c r="V178" s="345">
        <f t="shared" si="77"/>
        <v>100000000</v>
      </c>
      <c r="X178" s="371">
        <f t="shared" si="71"/>
        <v>16.871673961855276</v>
      </c>
      <c r="Y178" s="372">
        <f t="shared" si="72"/>
        <v>-29.502075113187495</v>
      </c>
      <c r="AA178" s="371">
        <f t="shared" si="73"/>
        <v>36.660028621678904</v>
      </c>
      <c r="AB178" s="372">
        <f t="shared" si="74"/>
        <v>-101.55454407868464</v>
      </c>
      <c r="AD178">
        <f t="shared" si="78"/>
        <v>0</v>
      </c>
      <c r="AE178">
        <f t="shared" si="81"/>
        <v>0</v>
      </c>
    </row>
    <row r="179" spans="1:31" x14ac:dyDescent="0.2">
      <c r="A179" s="373">
        <v>10058.25</v>
      </c>
      <c r="B179" s="390">
        <f t="shared" si="75"/>
        <v>10.058249999999999</v>
      </c>
      <c r="C179" s="363">
        <f t="shared" si="54"/>
        <v>14.195884968326906</v>
      </c>
      <c r="D179" s="364">
        <f t="shared" si="55"/>
        <v>1.5002949886033885</v>
      </c>
      <c r="E179" s="364">
        <f t="shared" si="56"/>
        <v>1.0077985673658214</v>
      </c>
      <c r="F179" s="365">
        <f t="shared" si="57"/>
        <v>0.12448470578842535</v>
      </c>
      <c r="G179" s="364">
        <f t="shared" si="58"/>
        <v>1.0254257195361023</v>
      </c>
      <c r="H179" s="365">
        <f t="shared" si="59"/>
        <v>-0.22315211088408837</v>
      </c>
      <c r="I179" s="363">
        <f t="shared" si="60"/>
        <v>41723.176646013992</v>
      </c>
      <c r="J179" s="366">
        <f t="shared" si="61"/>
        <v>1.5707723593005569</v>
      </c>
      <c r="K179" s="374">
        <f t="shared" si="82"/>
        <v>12.636226094866471</v>
      </c>
      <c r="L179" s="375">
        <f t="shared" si="83"/>
        <v>1.4915759379560245</v>
      </c>
      <c r="M179" s="363">
        <f t="shared" si="64"/>
        <v>1.1039680687660107</v>
      </c>
      <c r="N179" s="366">
        <f t="shared" si="65"/>
        <v>0.4374772996894693</v>
      </c>
      <c r="O179" s="367">
        <f t="shared" si="66"/>
        <v>1.0090160970976458</v>
      </c>
      <c r="P179" s="368">
        <f t="shared" si="67"/>
        <v>0.17545312553317541</v>
      </c>
      <c r="Q179" s="369">
        <f t="shared" si="68"/>
        <v>-7.0860620754847243</v>
      </c>
      <c r="R179" s="370">
        <f t="shared" si="69"/>
        <v>-131.26974410508666</v>
      </c>
      <c r="S179" s="372">
        <f t="shared" si="70"/>
        <v>48.730255894913341</v>
      </c>
      <c r="U179" s="345">
        <f t="shared" si="76"/>
        <v>10058.25</v>
      </c>
      <c r="V179" s="345">
        <f t="shared" si="77"/>
        <v>101168393.0625</v>
      </c>
      <c r="X179" s="371">
        <f t="shared" si="71"/>
        <v>16.862344519919304</v>
      </c>
      <c r="Y179" s="372">
        <f t="shared" si="72"/>
        <v>-29.603223634394581</v>
      </c>
      <c r="AA179" s="371">
        <f t="shared" si="73"/>
        <v>36.612167876600843</v>
      </c>
      <c r="AB179" s="372">
        <f t="shared" si="74"/>
        <v>-101.66652047069209</v>
      </c>
      <c r="AD179">
        <f t="shared" si="78"/>
        <v>0</v>
      </c>
      <c r="AE179">
        <f t="shared" si="81"/>
        <v>0</v>
      </c>
    </row>
    <row r="180" spans="1:31" x14ac:dyDescent="0.2">
      <c r="A180" s="373">
        <v>10116.5</v>
      </c>
      <c r="B180" s="390">
        <f t="shared" si="75"/>
        <v>10.1165</v>
      </c>
      <c r="C180" s="363">
        <f t="shared" si="54"/>
        <v>14.27769032736918</v>
      </c>
      <c r="D180" s="364">
        <f t="shared" si="55"/>
        <v>1.5006995974228765</v>
      </c>
      <c r="E180" s="364">
        <f t="shared" si="56"/>
        <v>1.0078888015369507</v>
      </c>
      <c r="F180" s="365">
        <f t="shared" si="57"/>
        <v>0.125198141210314</v>
      </c>
      <c r="G180" s="364">
        <f t="shared" si="58"/>
        <v>1.0257173634080803</v>
      </c>
      <c r="H180" s="365">
        <f t="shared" si="59"/>
        <v>-0.22440161154340424</v>
      </c>
      <c r="I180" s="363">
        <f t="shared" si="60"/>
        <v>41964.80665503526</v>
      </c>
      <c r="J180" s="366">
        <f t="shared" si="61"/>
        <v>1.5707724973034773</v>
      </c>
      <c r="K180" s="374">
        <f t="shared" si="82"/>
        <v>12.708948844480213</v>
      </c>
      <c r="L180" s="375">
        <f t="shared" si="83"/>
        <v>1.4920301929091009</v>
      </c>
      <c r="M180" s="363">
        <f t="shared" si="64"/>
        <v>1.1051183013464314</v>
      </c>
      <c r="N180" s="366">
        <f t="shared" si="65"/>
        <v>0.43969742832310427</v>
      </c>
      <c r="O180" s="367">
        <f t="shared" si="66"/>
        <v>1.0091205995054078</v>
      </c>
      <c r="P180" s="368">
        <f t="shared" si="67"/>
        <v>0.17646140330676052</v>
      </c>
      <c r="Q180" s="369">
        <f t="shared" si="68"/>
        <v>-7.1429811677934376</v>
      </c>
      <c r="R180" s="370">
        <f t="shared" si="69"/>
        <v>-131.48259583572599</v>
      </c>
      <c r="S180" s="372">
        <f t="shared" si="70"/>
        <v>48.517404164274012</v>
      </c>
      <c r="U180" s="345">
        <f t="shared" si="76"/>
        <v>10116.5</v>
      </c>
      <c r="V180" s="345">
        <f t="shared" si="77"/>
        <v>102343572.25</v>
      </c>
      <c r="X180" s="371">
        <f t="shared" si="71"/>
        <v>16.852987011548191</v>
      </c>
      <c r="Y180" s="372">
        <f t="shared" si="72"/>
        <v>-29.704408650544345</v>
      </c>
      <c r="AA180" s="371">
        <f t="shared" si="73"/>
        <v>36.564606292663242</v>
      </c>
      <c r="AB180" s="372">
        <f t="shared" si="74"/>
        <v>-101.77818718518165</v>
      </c>
      <c r="AD180">
        <f t="shared" si="78"/>
        <v>0</v>
      </c>
      <c r="AE180">
        <f t="shared" si="81"/>
        <v>0</v>
      </c>
    </row>
    <row r="181" spans="1:31" x14ac:dyDescent="0.2">
      <c r="A181" s="373">
        <v>10174.75</v>
      </c>
      <c r="B181" s="390">
        <f t="shared" si="75"/>
        <v>10.17475</v>
      </c>
      <c r="C181" s="363">
        <f t="shared" si="54"/>
        <v>14.359497997155763</v>
      </c>
      <c r="D181" s="364">
        <f t="shared" si="55"/>
        <v>1.5010995961036249</v>
      </c>
      <c r="E181" s="364">
        <f t="shared" si="56"/>
        <v>1.0079795486215024</v>
      </c>
      <c r="F181" s="365">
        <f t="shared" si="57"/>
        <v>0.12591144853589301</v>
      </c>
      <c r="G181" s="364">
        <f t="shared" si="58"/>
        <v>1.0260106077713818</v>
      </c>
      <c r="H181" s="365">
        <f t="shared" si="59"/>
        <v>-0.22565039991123886</v>
      </c>
      <c r="I181" s="363">
        <f t="shared" si="60"/>
        <v>42206.436664057321</v>
      </c>
      <c r="J181" s="366">
        <f t="shared" si="61"/>
        <v>1.5707726337262764</v>
      </c>
      <c r="K181" s="374">
        <f t="shared" si="82"/>
        <v>12.781674186712701</v>
      </c>
      <c r="L181" s="375">
        <f t="shared" si="83"/>
        <v>1.4924792787020469</v>
      </c>
      <c r="M181" s="363">
        <f t="shared" si="64"/>
        <v>1.1062739696803525</v>
      </c>
      <c r="N181" s="366">
        <f t="shared" si="65"/>
        <v>0.44191292934624538</v>
      </c>
      <c r="O181" s="367">
        <f t="shared" si="66"/>
        <v>1.0092257001058831</v>
      </c>
      <c r="P181" s="368">
        <f t="shared" si="67"/>
        <v>0.1774695472194025</v>
      </c>
      <c r="Q181" s="369">
        <f t="shared" si="68"/>
        <v>-7.1996323109740619</v>
      </c>
      <c r="R181" s="370">
        <f t="shared" si="69"/>
        <v>-131.69517322126171</v>
      </c>
      <c r="S181" s="372">
        <f t="shared" si="70"/>
        <v>48.304826778738288</v>
      </c>
      <c r="U181" s="345">
        <f t="shared" si="76"/>
        <v>10174.75</v>
      </c>
      <c r="V181" s="345">
        <f t="shared" si="77"/>
        <v>103525537.5625</v>
      </c>
      <c r="X181" s="371">
        <f t="shared" si="71"/>
        <v>16.843601560798284</v>
      </c>
      <c r="Y181" s="372">
        <f t="shared" si="72"/>
        <v>-29.80562460466842</v>
      </c>
      <c r="AA181" s="371">
        <f t="shared" si="73"/>
        <v>36.517340600232522</v>
      </c>
      <c r="AB181" s="372">
        <f t="shared" si="74"/>
        <v>-101.8895486165933</v>
      </c>
      <c r="AD181">
        <f t="shared" si="78"/>
        <v>0</v>
      </c>
      <c r="AE181">
        <f t="shared" si="81"/>
        <v>0</v>
      </c>
    </row>
    <row r="182" spans="1:31" x14ac:dyDescent="0.2">
      <c r="A182" s="373">
        <v>10233</v>
      </c>
      <c r="B182" s="390">
        <f t="shared" si="75"/>
        <v>10.233000000000001</v>
      </c>
      <c r="C182" s="363">
        <f t="shared" si="54"/>
        <v>14.441307938416676</v>
      </c>
      <c r="D182" s="364">
        <f t="shared" si="55"/>
        <v>1.5014950628657773</v>
      </c>
      <c r="E182" s="364">
        <f t="shared" si="56"/>
        <v>1.0080708084809582</v>
      </c>
      <c r="F182" s="365">
        <f t="shared" si="57"/>
        <v>0.12662462707398264</v>
      </c>
      <c r="G182" s="364">
        <f t="shared" si="58"/>
        <v>1.0263054512540901</v>
      </c>
      <c r="H182" s="365">
        <f t="shared" si="59"/>
        <v>-0.22689847270493138</v>
      </c>
      <c r="I182" s="363">
        <f t="shared" si="60"/>
        <v>42448.066673080168</v>
      </c>
      <c r="J182" s="366">
        <f t="shared" si="61"/>
        <v>1.5707727685959381</v>
      </c>
      <c r="K182" s="374">
        <f t="shared" si="82"/>
        <v>12.85440207755976</v>
      </c>
      <c r="L182" s="375">
        <f t="shared" si="83"/>
        <v>1.492923282890696</v>
      </c>
      <c r="M182" s="363">
        <f t="shared" si="64"/>
        <v>1.1074350567502664</v>
      </c>
      <c r="N182" s="366">
        <f t="shared" si="65"/>
        <v>0.44412379553115572</v>
      </c>
      <c r="O182" s="367">
        <f t="shared" si="66"/>
        <v>1.0093313988098542</v>
      </c>
      <c r="P182" s="368">
        <f t="shared" si="67"/>
        <v>0.17847755654505496</v>
      </c>
      <c r="Q182" s="369">
        <f t="shared" si="68"/>
        <v>-7.2560185930368117</v>
      </c>
      <c r="R182" s="370">
        <f t="shared" si="69"/>
        <v>-131.90747512414515</v>
      </c>
      <c r="S182" s="372">
        <f t="shared" si="70"/>
        <v>48.092524875854849</v>
      </c>
      <c r="U182" s="345">
        <f t="shared" si="76"/>
        <v>10233</v>
      </c>
      <c r="V182" s="345">
        <f t="shared" si="77"/>
        <v>104714289</v>
      </c>
      <c r="X182" s="371">
        <f t="shared" si="71"/>
        <v>16.834188294867293</v>
      </c>
      <c r="Y182" s="372">
        <f t="shared" si="72"/>
        <v>-29.906866067614331</v>
      </c>
      <c r="AA182" s="371">
        <f t="shared" si="73"/>
        <v>36.470367584100757</v>
      </c>
      <c r="AB182" s="372">
        <f t="shared" si="74"/>
        <v>-102.00060905653078</v>
      </c>
      <c r="AD182">
        <f t="shared" si="78"/>
        <v>0</v>
      </c>
      <c r="AE182">
        <f t="shared" si="81"/>
        <v>0</v>
      </c>
    </row>
    <row r="183" spans="1:31" x14ac:dyDescent="0.2">
      <c r="A183" s="373">
        <v>10292.5</v>
      </c>
      <c r="B183" s="390">
        <f t="shared" si="75"/>
        <v>10.2925</v>
      </c>
      <c r="C183" s="363">
        <f t="shared" si="54"/>
        <v>14.524875763020376</v>
      </c>
      <c r="D183" s="364">
        <f t="shared" si="55"/>
        <v>1.5018944166971899</v>
      </c>
      <c r="E183" s="364">
        <f t="shared" si="56"/>
        <v>1.0081645559602999</v>
      </c>
      <c r="F183" s="365">
        <f t="shared" si="57"/>
        <v>0.12735297619200109</v>
      </c>
      <c r="G183" s="364">
        <f t="shared" si="58"/>
        <v>1.0266082713788725</v>
      </c>
      <c r="H183" s="365">
        <f t="shared" si="59"/>
        <v>-0.22817258600412471</v>
      </c>
      <c r="I183" s="363">
        <f t="shared" si="60"/>
        <v>42694.881875430459</v>
      </c>
      <c r="J183" s="366">
        <f t="shared" si="61"/>
        <v>1.5707729047837289</v>
      </c>
      <c r="K183" s="374">
        <f t="shared" si="82"/>
        <v>12.928693239275882</v>
      </c>
      <c r="L183" s="375">
        <f t="shared" si="83"/>
        <v>1.4933716577107414</v>
      </c>
      <c r="M183" s="363">
        <f t="shared" si="64"/>
        <v>1.1086266365546282</v>
      </c>
      <c r="N183" s="366">
        <f t="shared" si="65"/>
        <v>0.44637731280656384</v>
      </c>
      <c r="O183" s="367">
        <f t="shared" si="66"/>
        <v>1.0094399831265697</v>
      </c>
      <c r="P183" s="368">
        <f t="shared" si="67"/>
        <v>0.17950705726777322</v>
      </c>
      <c r="Q183" s="369">
        <f t="shared" si="68"/>
        <v>-7.3133445856294923</v>
      </c>
      <c r="R183" s="370">
        <f t="shared" si="69"/>
        <v>-132.12404729117088</v>
      </c>
      <c r="S183" s="372">
        <f t="shared" si="70"/>
        <v>47.875952708829118</v>
      </c>
      <c r="U183" s="345">
        <f t="shared" si="76"/>
        <v>10292.5</v>
      </c>
      <c r="V183" s="345">
        <f t="shared" si="77"/>
        <v>105935556.25</v>
      </c>
      <c r="X183" s="371">
        <f t="shared" si="71"/>
        <v>16.824544446003308</v>
      </c>
      <c r="Y183" s="372">
        <f t="shared" si="72"/>
        <v>-30.010300914830335</v>
      </c>
      <c r="AA183" s="371">
        <f t="shared" si="73"/>
        <v>36.422685440372071</v>
      </c>
      <c r="AB183" s="372">
        <f t="shared" si="74"/>
        <v>-102.11374637634054</v>
      </c>
      <c r="AD183">
        <f t="shared" si="78"/>
        <v>0</v>
      </c>
      <c r="AE183">
        <f t="shared" si="81"/>
        <v>0</v>
      </c>
    </row>
    <row r="184" spans="1:31" x14ac:dyDescent="0.2">
      <c r="A184" s="373">
        <v>10352</v>
      </c>
      <c r="B184" s="390">
        <f t="shared" si="75"/>
        <v>10.352</v>
      </c>
      <c r="C184" s="363">
        <f t="shared" si="54"/>
        <v>14.608445877598745</v>
      </c>
      <c r="D184" s="364">
        <f t="shared" si="55"/>
        <v>1.5022892014470979</v>
      </c>
      <c r="E184" s="364">
        <f t="shared" si="56"/>
        <v>1.0082588381636932</v>
      </c>
      <c r="F184" s="365">
        <f t="shared" si="57"/>
        <v>0.12808118948053546</v>
      </c>
      <c r="G184" s="364">
        <f t="shared" si="58"/>
        <v>1.026912757078821</v>
      </c>
      <c r="H184" s="365">
        <f t="shared" si="59"/>
        <v>-0.22944594580518402</v>
      </c>
      <c r="I184" s="363">
        <f t="shared" si="60"/>
        <v>42941.697077781544</v>
      </c>
      <c r="J184" s="366">
        <f t="shared" si="61"/>
        <v>1.5707730394059916</v>
      </c>
      <c r="K184" s="374">
        <f t="shared" si="82"/>
        <v>13.002986970475602</v>
      </c>
      <c r="L184" s="375">
        <f t="shared" si="83"/>
        <v>1.4938149089596289</v>
      </c>
      <c r="M184" s="363">
        <f t="shared" si="64"/>
        <v>1.1098238342360087</v>
      </c>
      <c r="N184" s="366">
        <f t="shared" si="65"/>
        <v>0.44862597961809808</v>
      </c>
      <c r="O184" s="367">
        <f t="shared" si="66"/>
        <v>1.0095491913022292</v>
      </c>
      <c r="P184" s="368">
        <f t="shared" si="67"/>
        <v>0.18053641603630496</v>
      </c>
      <c r="Q184" s="369">
        <f t="shared" si="68"/>
        <v>-7.3704005628231517</v>
      </c>
      <c r="R184" s="370">
        <f t="shared" si="69"/>
        <v>-132.34032970412386</v>
      </c>
      <c r="S184" s="372">
        <f t="shared" si="70"/>
        <v>47.65967029587614</v>
      </c>
      <c r="U184" s="345">
        <f t="shared" si="76"/>
        <v>10352</v>
      </c>
      <c r="V184" s="345">
        <f t="shared" si="77"/>
        <v>107163904</v>
      </c>
      <c r="X184" s="371">
        <f t="shared" si="71"/>
        <v>16.814871853103739</v>
      </c>
      <c r="Y184" s="372">
        <f t="shared" si="72"/>
        <v>-30.113751320242919</v>
      </c>
      <c r="AA184" s="371">
        <f t="shared" si="73"/>
        <v>36.375302056077977</v>
      </c>
      <c r="AB184" s="372">
        <f t="shared" si="74"/>
        <v>-102.22657838388093</v>
      </c>
      <c r="AD184">
        <f t="shared" si="78"/>
        <v>0</v>
      </c>
      <c r="AE184">
        <f t="shared" si="81"/>
        <v>0</v>
      </c>
    </row>
    <row r="185" spans="1:31" x14ac:dyDescent="0.2">
      <c r="A185" s="373">
        <v>10411.5</v>
      </c>
      <c r="B185" s="390">
        <f t="shared" si="75"/>
        <v>10.4115</v>
      </c>
      <c r="C185" s="363">
        <f t="shared" si="54"/>
        <v>14.692018243074758</v>
      </c>
      <c r="D185" s="364">
        <f t="shared" si="55"/>
        <v>1.5026794949620734</v>
      </c>
      <c r="E185" s="364">
        <f t="shared" si="56"/>
        <v>1.0083536549411469</v>
      </c>
      <c r="F185" s="365">
        <f t="shared" si="57"/>
        <v>0.12880926620546004</v>
      </c>
      <c r="G185" s="364">
        <f t="shared" si="58"/>
        <v>1.027218906872819</v>
      </c>
      <c r="H185" s="365">
        <f t="shared" si="59"/>
        <v>-0.23071854865063651</v>
      </c>
      <c r="I185" s="363">
        <f t="shared" si="60"/>
        <v>43188.5122801334</v>
      </c>
      <c r="J185" s="366">
        <f t="shared" si="61"/>
        <v>1.5707731724895664</v>
      </c>
      <c r="K185" s="374">
        <f t="shared" si="82"/>
        <v>13.077283227366223</v>
      </c>
      <c r="L185" s="375">
        <f t="shared" si="83"/>
        <v>1.4942531237876568</v>
      </c>
      <c r="M185" s="363">
        <f t="shared" si="64"/>
        <v>1.1110266316336126</v>
      </c>
      <c r="N185" s="366">
        <f t="shared" si="65"/>
        <v>0.45086978894179613</v>
      </c>
      <c r="O185" s="367">
        <f t="shared" si="66"/>
        <v>1.0096590232402465</v>
      </c>
      <c r="P185" s="368">
        <f t="shared" si="67"/>
        <v>0.18156563207927628</v>
      </c>
      <c r="Q185" s="369">
        <f t="shared" si="68"/>
        <v>-7.427189638253906</v>
      </c>
      <c r="R185" s="370">
        <f t="shared" si="69"/>
        <v>-132.55632122880149</v>
      </c>
      <c r="S185" s="372">
        <f t="shared" si="70"/>
        <v>47.443678771198506</v>
      </c>
      <c r="U185" s="345">
        <f t="shared" si="76"/>
        <v>10411.5</v>
      </c>
      <c r="V185" s="345">
        <f t="shared" si="77"/>
        <v>108399332.25</v>
      </c>
      <c r="X185" s="371">
        <f t="shared" si="71"/>
        <v>16.805170661042034</v>
      </c>
      <c r="Y185" s="372">
        <f t="shared" si="72"/>
        <v>-30.217211889602236</v>
      </c>
      <c r="AA185" s="371">
        <f t="shared" si="73"/>
        <v>36.328214172708932</v>
      </c>
      <c r="AB185" s="372">
        <f t="shared" si="74"/>
        <v>-102.33910933919923</v>
      </c>
      <c r="AD185">
        <f t="shared" si="78"/>
        <v>0</v>
      </c>
      <c r="AE185">
        <f t="shared" si="81"/>
        <v>0</v>
      </c>
    </row>
    <row r="186" spans="1:31" x14ac:dyDescent="0.2">
      <c r="A186" s="373">
        <v>10471</v>
      </c>
      <c r="B186" s="390">
        <f t="shared" si="75"/>
        <v>10.471</v>
      </c>
      <c r="C186" s="363">
        <f t="shared" si="54"/>
        <v>14.775592821254451</v>
      </c>
      <c r="D186" s="364">
        <f t="shared" si="55"/>
        <v>1.5030653733329529</v>
      </c>
      <c r="E186" s="364">
        <f t="shared" si="56"/>
        <v>1.0084490061418749</v>
      </c>
      <c r="F186" s="365">
        <f t="shared" si="57"/>
        <v>0.12953720563350365</v>
      </c>
      <c r="G186" s="364">
        <f t="shared" si="58"/>
        <v>1.0275267192734248</v>
      </c>
      <c r="H186" s="365">
        <f t="shared" si="59"/>
        <v>-0.23199039109692601</v>
      </c>
      <c r="I186" s="363">
        <f t="shared" si="60"/>
        <v>43435.327482486005</v>
      </c>
      <c r="J186" s="366">
        <f t="shared" si="61"/>
        <v>1.5707733040606835</v>
      </c>
      <c r="K186" s="374">
        <f t="shared" si="82"/>
        <v>13.151581967143148</v>
      </c>
      <c r="L186" s="375">
        <f t="shared" si="83"/>
        <v>1.494686387383569</v>
      </c>
      <c r="M186" s="363">
        <f t="shared" si="64"/>
        <v>1.1122350105804404</v>
      </c>
      <c r="N186" s="366">
        <f t="shared" si="65"/>
        <v>0.45310873397965412</v>
      </c>
      <c r="O186" s="367">
        <f t="shared" si="66"/>
        <v>1.0097694788435325</v>
      </c>
      <c r="P186" s="368">
        <f t="shared" si="67"/>
        <v>0.182594704626138</v>
      </c>
      <c r="Q186" s="369">
        <f t="shared" si="68"/>
        <v>-7.4837148685331201</v>
      </c>
      <c r="R186" s="370">
        <f t="shared" si="69"/>
        <v>-132.77202075650092</v>
      </c>
      <c r="S186" s="372">
        <f t="shared" si="70"/>
        <v>47.227979243499078</v>
      </c>
      <c r="U186" s="345">
        <f t="shared" si="76"/>
        <v>10471</v>
      </c>
      <c r="V186" s="345">
        <f t="shared" si="77"/>
        <v>109641841</v>
      </c>
      <c r="X186" s="371">
        <f t="shared" si="71"/>
        <v>16.795441017560403</v>
      </c>
      <c r="Y186" s="372">
        <f t="shared" si="72"/>
        <v>-30.320677353958772</v>
      </c>
      <c r="AA186" s="371">
        <f t="shared" si="73"/>
        <v>36.281418585911346</v>
      </c>
      <c r="AB186" s="372">
        <f t="shared" si="74"/>
        <v>-102.45134340254212</v>
      </c>
      <c r="AD186">
        <f t="shared" si="78"/>
        <v>0</v>
      </c>
      <c r="AE186">
        <f t="shared" si="81"/>
        <v>0</v>
      </c>
    </row>
    <row r="187" spans="1:31" x14ac:dyDescent="0.2">
      <c r="A187" s="373">
        <v>10532</v>
      </c>
      <c r="B187" s="390">
        <f t="shared" si="75"/>
        <v>10.532</v>
      </c>
      <c r="C187" s="363">
        <f t="shared" si="54"/>
        <v>14.861276579574033</v>
      </c>
      <c r="D187" s="364">
        <f t="shared" si="55"/>
        <v>1.5034564740822822</v>
      </c>
      <c r="E187" s="364">
        <f t="shared" si="56"/>
        <v>1.0085473157980835</v>
      </c>
      <c r="F187" s="365">
        <f t="shared" si="57"/>
        <v>0.13028335317656486</v>
      </c>
      <c r="G187" s="364">
        <f t="shared" si="58"/>
        <v>1.0278440160933704</v>
      </c>
      <c r="H187" s="365">
        <f t="shared" si="59"/>
        <v>-0.23329350381256581</v>
      </c>
      <c r="I187" s="363">
        <f t="shared" si="60"/>
        <v>43688.364916831466</v>
      </c>
      <c r="J187" s="366">
        <f t="shared" si="61"/>
        <v>1.5707734374054221</v>
      </c>
      <c r="K187" s="374">
        <f t="shared" si="82"/>
        <v>13.227756318160754</v>
      </c>
      <c r="L187" s="375">
        <f t="shared" si="83"/>
        <v>1.4951255207261687</v>
      </c>
      <c r="M187" s="363">
        <f t="shared" si="64"/>
        <v>1.113479628228168</v>
      </c>
      <c r="N187" s="366">
        <f t="shared" si="65"/>
        <v>0.4553990663548671</v>
      </c>
      <c r="O187" s="367">
        <f t="shared" si="66"/>
        <v>1.0098833663871234</v>
      </c>
      <c r="P187" s="368">
        <f t="shared" si="67"/>
        <v>0.18364957040456847</v>
      </c>
      <c r="Q187" s="369">
        <f t="shared" si="68"/>
        <v>-7.5413943394510774</v>
      </c>
      <c r="R187" s="370">
        <f t="shared" si="69"/>
        <v>-132.99285382153377</v>
      </c>
      <c r="S187" s="372">
        <f t="shared" si="70"/>
        <v>47.007146178466229</v>
      </c>
      <c r="U187" s="345">
        <f t="shared" si="76"/>
        <v>10532</v>
      </c>
      <c r="V187" s="345">
        <f t="shared" si="77"/>
        <v>110923024</v>
      </c>
      <c r="X187" s="371">
        <f t="shared" si="71"/>
        <v>16.785436710146563</v>
      </c>
      <c r="Y187" s="372">
        <f t="shared" si="72"/>
        <v>-30.426750885778176</v>
      </c>
      <c r="AA187" s="371">
        <f t="shared" si="73"/>
        <v>36.233743422407237</v>
      </c>
      <c r="AB187" s="372">
        <f t="shared" si="74"/>
        <v>-102.56610293575561</v>
      </c>
      <c r="AD187">
        <f t="shared" si="78"/>
        <v>0</v>
      </c>
      <c r="AE187">
        <f t="shared" si="81"/>
        <v>0</v>
      </c>
    </row>
    <row r="188" spans="1:31" x14ac:dyDescent="0.2">
      <c r="A188" s="373">
        <v>10593</v>
      </c>
      <c r="B188" s="390">
        <f t="shared" si="75"/>
        <v>10.593</v>
      </c>
      <c r="C188" s="363">
        <f t="shared" si="54"/>
        <v>14.946962585009178</v>
      </c>
      <c r="D188" s="364">
        <f t="shared" si="55"/>
        <v>1.5038430907870444</v>
      </c>
      <c r="E188" s="364">
        <f t="shared" si="56"/>
        <v>1.0086461868394114</v>
      </c>
      <c r="F188" s="365">
        <f t="shared" si="57"/>
        <v>0.13102935485487965</v>
      </c>
      <c r="G188" s="364">
        <f t="shared" si="58"/>
        <v>1.0281630572190668</v>
      </c>
      <c r="H188" s="365">
        <f t="shared" si="59"/>
        <v>-0.23459581002136651</v>
      </c>
      <c r="I188" s="363">
        <f t="shared" si="60"/>
        <v>43941.402351177698</v>
      </c>
      <c r="J188" s="366">
        <f t="shared" si="61"/>
        <v>1.570773569214424</v>
      </c>
      <c r="K188" s="374">
        <f t="shared" si="82"/>
        <v>13.30393319078296</v>
      </c>
      <c r="L188" s="375">
        <f t="shared" si="83"/>
        <v>1.4955596252922891</v>
      </c>
      <c r="M188" s="363">
        <f t="shared" si="64"/>
        <v>1.1147300737087722</v>
      </c>
      <c r="N188" s="366">
        <f t="shared" si="65"/>
        <v>0.45768427234661346</v>
      </c>
      <c r="O188" s="367">
        <f t="shared" si="66"/>
        <v>1.0099979092293723</v>
      </c>
      <c r="P188" s="368">
        <f t="shared" si="67"/>
        <v>0.18470428372307046</v>
      </c>
      <c r="Q188" s="369">
        <f t="shared" si="68"/>
        <v>-7.5988028225915691</v>
      </c>
      <c r="R188" s="370">
        <f t="shared" si="69"/>
        <v>-133.21337770196368</v>
      </c>
      <c r="S188" s="372">
        <f t="shared" si="70"/>
        <v>46.78662229803632</v>
      </c>
      <c r="U188" s="345">
        <f t="shared" si="76"/>
        <v>10593</v>
      </c>
      <c r="V188" s="345">
        <f t="shared" si="77"/>
        <v>112211649</v>
      </c>
      <c r="X188" s="371">
        <f t="shared" si="71"/>
        <v>16.775402821895106</v>
      </c>
      <c r="Y188" s="372">
        <f t="shared" si="72"/>
        <v>-30.53281873713788</v>
      </c>
      <c r="AA188" s="371">
        <f t="shared" si="73"/>
        <v>36.186368827518201</v>
      </c>
      <c r="AB188" s="372">
        <f t="shared" si="74"/>
        <v>-102.68055896482576</v>
      </c>
      <c r="AD188">
        <f t="shared" si="78"/>
        <v>0</v>
      </c>
      <c r="AE188">
        <f t="shared" si="81"/>
        <v>0</v>
      </c>
    </row>
    <row r="189" spans="1:31" x14ac:dyDescent="0.2">
      <c r="A189" s="373">
        <v>10654</v>
      </c>
      <c r="B189" s="390">
        <f t="shared" si="75"/>
        <v>10.654</v>
      </c>
      <c r="C189" s="363">
        <f t="shared" si="54"/>
        <v>15.032650799134252</v>
      </c>
      <c r="D189" s="364">
        <f t="shared" si="55"/>
        <v>1.5042253000097079</v>
      </c>
      <c r="E189" s="364">
        <f t="shared" si="56"/>
        <v>1.0087456191007877</v>
      </c>
      <c r="F189" s="365">
        <f t="shared" si="57"/>
        <v>0.13177520988113342</v>
      </c>
      <c r="G189" s="364">
        <f t="shared" si="58"/>
        <v>1.0284838410272352</v>
      </c>
      <c r="H189" s="365">
        <f t="shared" si="59"/>
        <v>-0.23589730605851325</v>
      </c>
      <c r="I189" s="363">
        <f t="shared" si="60"/>
        <v>44194.439785524679</v>
      </c>
      <c r="J189" s="366">
        <f t="shared" si="61"/>
        <v>1.5707736995140682</v>
      </c>
      <c r="K189" s="374">
        <f t="shared" si="82"/>
        <v>13.380112541941076</v>
      </c>
      <c r="L189" s="375">
        <f t="shared" si="83"/>
        <v>1.4959887868105617</v>
      </c>
      <c r="M189" s="363">
        <f t="shared" si="64"/>
        <v>1.1159863274322626</v>
      </c>
      <c r="N189" s="366">
        <f t="shared" si="65"/>
        <v>0.45996434535972225</v>
      </c>
      <c r="O189" s="367">
        <f t="shared" si="66"/>
        <v>1.0101131072640155</v>
      </c>
      <c r="P189" s="368">
        <f t="shared" si="67"/>
        <v>0.18575884375406163</v>
      </c>
      <c r="Q189" s="369">
        <f t="shared" si="68"/>
        <v>-7.6559434335605383</v>
      </c>
      <c r="R189" s="370">
        <f t="shared" si="69"/>
        <v>-133.43359128395846</v>
      </c>
      <c r="S189" s="372">
        <f t="shared" si="70"/>
        <v>46.566408716041536</v>
      </c>
      <c r="U189" s="345">
        <f t="shared" si="76"/>
        <v>10654</v>
      </c>
      <c r="V189" s="345">
        <f t="shared" si="77"/>
        <v>113507716</v>
      </c>
      <c r="X189" s="371">
        <f t="shared" si="71"/>
        <v>16.765339520577406</v>
      </c>
      <c r="Y189" s="372">
        <f t="shared" si="72"/>
        <v>-30.638875619785129</v>
      </c>
      <c r="AA189" s="371">
        <f t="shared" si="73"/>
        <v>36.13929151786693</v>
      </c>
      <c r="AB189" s="372">
        <f t="shared" si="74"/>
        <v>-102.79471566417334</v>
      </c>
      <c r="AD189">
        <f t="shared" si="78"/>
        <v>0</v>
      </c>
      <c r="AE189">
        <f t="shared" si="81"/>
        <v>0</v>
      </c>
    </row>
    <row r="190" spans="1:31" x14ac:dyDescent="0.2">
      <c r="A190" s="373">
        <v>10715</v>
      </c>
      <c r="B190" s="390">
        <f t="shared" si="75"/>
        <v>10.715</v>
      </c>
      <c r="C190" s="363">
        <f t="shared" si="54"/>
        <v>15.118341184393808</v>
      </c>
      <c r="D190" s="364">
        <f t="shared" si="55"/>
        <v>1.5046031765821428</v>
      </c>
      <c r="E190" s="364">
        <f t="shared" si="56"/>
        <v>1.0088456124162701</v>
      </c>
      <c r="F190" s="365">
        <f t="shared" si="57"/>
        <v>0.13252091746897382</v>
      </c>
      <c r="G190" s="364">
        <f t="shared" si="58"/>
        <v>1.0288063658877609</v>
      </c>
      <c r="H190" s="365">
        <f t="shared" si="59"/>
        <v>-0.23719798827472824</v>
      </c>
      <c r="I190" s="363">
        <f t="shared" si="60"/>
        <v>44447.477219872409</v>
      </c>
      <c r="J190" s="366">
        <f t="shared" si="61"/>
        <v>1.5707738283301325</v>
      </c>
      <c r="K190" s="374">
        <f t="shared" si="82"/>
        <v>13.456294329540325</v>
      </c>
      <c r="L190" s="375">
        <f t="shared" si="83"/>
        <v>1.496413089075612</v>
      </c>
      <c r="M190" s="363">
        <f t="shared" si="64"/>
        <v>1.1172483698059674</v>
      </c>
      <c r="N190" s="366">
        <f t="shared" si="65"/>
        <v>0.46223927904209489</v>
      </c>
      <c r="O190" s="367">
        <f t="shared" si="66"/>
        <v>1.0102289603842369</v>
      </c>
      <c r="P190" s="368">
        <f t="shared" si="67"/>
        <v>0.18681324967088819</v>
      </c>
      <c r="Q190" s="369">
        <f t="shared" si="68"/>
        <v>-7.7128192306548646</v>
      </c>
      <c r="R190" s="370">
        <f t="shared" si="69"/>
        <v>-133.65349348012134</v>
      </c>
      <c r="S190" s="372">
        <f t="shared" si="70"/>
        <v>46.346506519878659</v>
      </c>
      <c r="U190" s="345">
        <f t="shared" si="76"/>
        <v>10715</v>
      </c>
      <c r="V190" s="345">
        <f t="shared" si="77"/>
        <v>114811225</v>
      </c>
      <c r="X190" s="371">
        <f t="shared" si="71"/>
        <v>16.75524697659641</v>
      </c>
      <c r="Y190" s="372">
        <f t="shared" si="72"/>
        <v>-30.74491637017001</v>
      </c>
      <c r="AA190" s="371">
        <f t="shared" si="73"/>
        <v>36.092508264753597</v>
      </c>
      <c r="AB190" s="372">
        <f t="shared" si="74"/>
        <v>-102.90857710995132</v>
      </c>
      <c r="AD190">
        <f t="shared" si="78"/>
        <v>0</v>
      </c>
      <c r="AE190">
        <f t="shared" si="81"/>
        <v>0</v>
      </c>
    </row>
    <row r="191" spans="1:31" x14ac:dyDescent="0.2">
      <c r="A191" s="373">
        <v>10777.5</v>
      </c>
      <c r="B191" s="390">
        <f t="shared" si="75"/>
        <v>10.7775</v>
      </c>
      <c r="C191" s="363">
        <f t="shared" si="54"/>
        <v>15.206140923766572</v>
      </c>
      <c r="D191" s="364">
        <f t="shared" si="55"/>
        <v>1.5049859279118238</v>
      </c>
      <c r="E191" s="364">
        <f t="shared" si="56"/>
        <v>1.008948646327686</v>
      </c>
      <c r="F191" s="365">
        <f t="shared" si="57"/>
        <v>0.13328480838609164</v>
      </c>
      <c r="G191" s="364">
        <f t="shared" si="58"/>
        <v>1.029138625773621</v>
      </c>
      <c r="H191" s="365">
        <f t="shared" si="59"/>
        <v>-0.2385298065952792</v>
      </c>
      <c r="I191" s="363">
        <f t="shared" si="60"/>
        <v>44706.736886213046</v>
      </c>
      <c r="J191" s="366">
        <f t="shared" si="61"/>
        <v>1.5707739588013965</v>
      </c>
      <c r="K191" s="374">
        <f t="shared" si="82"/>
        <v>13.534351923809655</v>
      </c>
      <c r="L191" s="375">
        <f t="shared" si="83"/>
        <v>1.4968428706913595</v>
      </c>
      <c r="M191" s="363">
        <f t="shared" si="64"/>
        <v>1.1185474294350906</v>
      </c>
      <c r="N191" s="366">
        <f t="shared" si="65"/>
        <v>0.46456481687826157</v>
      </c>
      <c r="O191" s="367">
        <f t="shared" si="66"/>
        <v>1.0103483416860279</v>
      </c>
      <c r="P191" s="368">
        <f t="shared" si="67"/>
        <v>0.18789342289332378</v>
      </c>
      <c r="Q191" s="369">
        <f t="shared" si="68"/>
        <v>-7.7708220904084593</v>
      </c>
      <c r="R191" s="370">
        <f t="shared" si="69"/>
        <v>-133.87847903211579</v>
      </c>
      <c r="S191" s="372">
        <f t="shared" si="70"/>
        <v>46.121520967884209</v>
      </c>
      <c r="U191" s="345">
        <f t="shared" si="76"/>
        <v>10777.5</v>
      </c>
      <c r="V191" s="345">
        <f t="shared" si="77"/>
        <v>116154506.25</v>
      </c>
      <c r="X191" s="371">
        <f t="shared" si="71"/>
        <v>16.744876106003165</v>
      </c>
      <c r="Y191" s="372">
        <f t="shared" si="72"/>
        <v>-30.853542676162601</v>
      </c>
      <c r="AA191" s="371">
        <f t="shared" si="73"/>
        <v>36.044876275593246</v>
      </c>
      <c r="AB191" s="372">
        <f t="shared" si="74"/>
        <v>-103.02493635595319</v>
      </c>
      <c r="AD191">
        <f t="shared" si="78"/>
        <v>0</v>
      </c>
      <c r="AE191">
        <f t="shared" si="81"/>
        <v>0</v>
      </c>
    </row>
    <row r="192" spans="1:31" x14ac:dyDescent="0.2">
      <c r="A192" s="373">
        <v>10840</v>
      </c>
      <c r="B192" s="390">
        <f t="shared" si="75"/>
        <v>10.84</v>
      </c>
      <c r="C192" s="363">
        <f t="shared" si="54"/>
        <v>15.293942865239817</v>
      </c>
      <c r="D192" s="364">
        <f t="shared" si="55"/>
        <v>1.5053642845748936</v>
      </c>
      <c r="E192" s="364">
        <f t="shared" si="56"/>
        <v>1.009052268869798</v>
      </c>
      <c r="F192" s="365">
        <f t="shared" si="57"/>
        <v>0.13404854285638965</v>
      </c>
      <c r="G192" s="364">
        <f t="shared" si="58"/>
        <v>1.0294727099036767</v>
      </c>
      <c r="H192" s="365">
        <f t="shared" si="59"/>
        <v>-0.23986076287287958</v>
      </c>
      <c r="I192" s="363">
        <f t="shared" si="60"/>
        <v>44965.996552554432</v>
      </c>
      <c r="J192" s="366">
        <f t="shared" si="61"/>
        <v>1.5707740877681486</v>
      </c>
      <c r="K192" s="374">
        <f t="shared" si="82"/>
        <v>13.612411989368118</v>
      </c>
      <c r="L192" s="375">
        <f t="shared" si="83"/>
        <v>1.4972677232391212</v>
      </c>
      <c r="M192" s="363">
        <f t="shared" si="64"/>
        <v>1.1198525242562636</v>
      </c>
      <c r="N192" s="366">
        <f t="shared" si="65"/>
        <v>0.46688494679646264</v>
      </c>
      <c r="O192" s="367">
        <f t="shared" si="66"/>
        <v>1.010468410458035</v>
      </c>
      <c r="P192" s="368">
        <f t="shared" si="67"/>
        <v>0.18897343257507138</v>
      </c>
      <c r="Q192" s="369">
        <f t="shared" si="68"/>
        <v>-7.828553273881135</v>
      </c>
      <c r="R192" s="370">
        <f t="shared" si="69"/>
        <v>-134.10313546810409</v>
      </c>
      <c r="S192" s="372">
        <f t="shared" si="70"/>
        <v>45.896864531895915</v>
      </c>
      <c r="U192" s="345">
        <f t="shared" si="76"/>
        <v>10840</v>
      </c>
      <c r="V192" s="345">
        <f t="shared" si="77"/>
        <v>117505600</v>
      </c>
      <c r="X192" s="371">
        <f t="shared" si="71"/>
        <v>16.734474907010462</v>
      </c>
      <c r="Y192" s="372">
        <f t="shared" si="72"/>
        <v>-30.962141459870111</v>
      </c>
      <c r="AA192" s="371">
        <f t="shared" si="73"/>
        <v>35.997546291113274</v>
      </c>
      <c r="AB192" s="372">
        <f t="shared" si="74"/>
        <v>-103.14099400823396</v>
      </c>
      <c r="AD192">
        <f t="shared" si="78"/>
        <v>0</v>
      </c>
      <c r="AE192">
        <f t="shared" si="81"/>
        <v>0</v>
      </c>
    </row>
    <row r="193" spans="1:31" x14ac:dyDescent="0.2">
      <c r="A193" s="373">
        <v>10902.5</v>
      </c>
      <c r="B193" s="390">
        <f t="shared" si="75"/>
        <v>10.9025</v>
      </c>
      <c r="C193" s="363">
        <f t="shared" si="54"/>
        <v>15.381746971103519</v>
      </c>
      <c r="D193" s="364">
        <f t="shared" si="55"/>
        <v>1.5057383217207247</v>
      </c>
      <c r="E193" s="364">
        <f t="shared" si="56"/>
        <v>1.0091564798612804</v>
      </c>
      <c r="F193" s="365">
        <f t="shared" si="57"/>
        <v>0.13481212003724075</v>
      </c>
      <c r="G193" s="364">
        <f t="shared" si="58"/>
        <v>1.0298086165024973</v>
      </c>
      <c r="H193" s="365">
        <f t="shared" si="59"/>
        <v>-0.24119085323337819</v>
      </c>
      <c r="I193" s="363">
        <f t="shared" si="60"/>
        <v>45225.25621889656</v>
      </c>
      <c r="J193" s="366">
        <f t="shared" si="61"/>
        <v>1.5707742152562634</v>
      </c>
      <c r="K193" s="374">
        <f t="shared" si="82"/>
        <v>13.690474483943476</v>
      </c>
      <c r="L193" s="375">
        <f t="shared" si="83"/>
        <v>1.497687730880197</v>
      </c>
      <c r="M193" s="363">
        <f t="shared" si="64"/>
        <v>1.1211636331936212</v>
      </c>
      <c r="N193" s="366">
        <f t="shared" si="65"/>
        <v>0.46919966274716973</v>
      </c>
      <c r="O193" s="367">
        <f t="shared" si="66"/>
        <v>1.0105891665835678</v>
      </c>
      <c r="P193" s="368">
        <f t="shared" si="67"/>
        <v>0.19005327783004528</v>
      </c>
      <c r="Q193" s="369">
        <f t="shared" si="68"/>
        <v>-7.8860158920465846</v>
      </c>
      <c r="R193" s="370">
        <f t="shared" si="69"/>
        <v>-134.32746170214838</v>
      </c>
      <c r="S193" s="372">
        <f t="shared" si="70"/>
        <v>45.672538297851617</v>
      </c>
      <c r="U193" s="345">
        <f t="shared" si="76"/>
        <v>10902.5</v>
      </c>
      <c r="V193" s="345">
        <f t="shared" si="77"/>
        <v>118864506.25</v>
      </c>
      <c r="X193" s="371">
        <f t="shared" si="71"/>
        <v>16.724043570700477</v>
      </c>
      <c r="Y193" s="372">
        <f t="shared" si="72"/>
        <v>-31.070707554075327</v>
      </c>
      <c r="AA193" s="371">
        <f t="shared" si="73"/>
        <v>35.950515009257813</v>
      </c>
      <c r="AB193" s="372">
        <f t="shared" si="74"/>
        <v>-103.25675414807304</v>
      </c>
      <c r="AD193">
        <f t="shared" si="78"/>
        <v>0</v>
      </c>
      <c r="AE193">
        <f t="shared" si="81"/>
        <v>0</v>
      </c>
    </row>
    <row r="194" spans="1:31" x14ac:dyDescent="0.2">
      <c r="A194" s="373">
        <v>10965</v>
      </c>
      <c r="B194" s="390">
        <f t="shared" si="75"/>
        <v>10.965</v>
      </c>
      <c r="C194" s="363">
        <f t="shared" si="54"/>
        <v>15.469553204502887</v>
      </c>
      <c r="D194" s="364">
        <f t="shared" si="55"/>
        <v>1.5061081127973759</v>
      </c>
      <c r="E194" s="364">
        <f t="shared" si="56"/>
        <v>1.0092612791198525</v>
      </c>
      <c r="F194" s="365">
        <f t="shared" si="57"/>
        <v>0.13557553908709855</v>
      </c>
      <c r="G194" s="364">
        <f t="shared" si="58"/>
        <v>1.0301463437872904</v>
      </c>
      <c r="H194" s="365">
        <f t="shared" si="59"/>
        <v>-0.24252007381991861</v>
      </c>
      <c r="I194" s="363">
        <f t="shared" si="60"/>
        <v>45484.515885239423</v>
      </c>
      <c r="J194" s="366">
        <f t="shared" si="61"/>
        <v>1.5707743412910253</v>
      </c>
      <c r="K194" s="374">
        <f t="shared" si="82"/>
        <v>13.768539366220862</v>
      </c>
      <c r="L194" s="375">
        <f t="shared" si="83"/>
        <v>1.4981029758741029</v>
      </c>
      <c r="M194" s="363">
        <f t="shared" si="64"/>
        <v>1.1224807351728741</v>
      </c>
      <c r="N194" s="366">
        <f t="shared" si="65"/>
        <v>0.47150895894111222</v>
      </c>
      <c r="O194" s="367">
        <f t="shared" si="66"/>
        <v>1.0107106099453307</v>
      </c>
      <c r="P194" s="368">
        <f t="shared" si="67"/>
        <v>0.19113295777320269</v>
      </c>
      <c r="Q194" s="369">
        <f t="shared" si="68"/>
        <v>-7.9432129984452455</v>
      </c>
      <c r="R194" s="370">
        <f t="shared" si="69"/>
        <v>-134.55145667566353</v>
      </c>
      <c r="S194" s="372">
        <f t="shared" si="70"/>
        <v>45.44854332433647</v>
      </c>
      <c r="U194" s="345">
        <f t="shared" si="76"/>
        <v>10965</v>
      </c>
      <c r="V194" s="345">
        <f t="shared" si="77"/>
        <v>120231225</v>
      </c>
      <c r="X194" s="371">
        <f t="shared" si="71"/>
        <v>16.71358229053132</v>
      </c>
      <c r="Y194" s="372">
        <f t="shared" si="72"/>
        <v>-31.179235915403051</v>
      </c>
      <c r="AA194" s="371">
        <f t="shared" si="73"/>
        <v>35.903779183028306</v>
      </c>
      <c r="AB194" s="372">
        <f t="shared" si="74"/>
        <v>-103.37222076026046</v>
      </c>
      <c r="AD194">
        <f t="shared" si="78"/>
        <v>0</v>
      </c>
      <c r="AE194">
        <f t="shared" si="81"/>
        <v>0</v>
      </c>
    </row>
    <row r="195" spans="1:31" x14ac:dyDescent="0.2">
      <c r="A195" s="373">
        <v>11028.75</v>
      </c>
      <c r="B195" s="390">
        <f t="shared" si="75"/>
        <v>11.02875</v>
      </c>
      <c r="C195" s="363">
        <f t="shared" si="54"/>
        <v>15.559117717002739</v>
      </c>
      <c r="D195" s="364">
        <f t="shared" si="55"/>
        <v>1.5064809998425437</v>
      </c>
      <c r="E195" s="364">
        <f t="shared" si="56"/>
        <v>1.0093687802063214</v>
      </c>
      <c r="F195" s="365">
        <f t="shared" si="57"/>
        <v>0.13635406273979522</v>
      </c>
      <c r="G195" s="364">
        <f t="shared" si="58"/>
        <v>1.0304926994319614</v>
      </c>
      <c r="H195" s="365">
        <f t="shared" si="59"/>
        <v>-0.2438749787953047</v>
      </c>
      <c r="I195" s="363">
        <f t="shared" si="60"/>
        <v>45748.960744909869</v>
      </c>
      <c r="J195" s="366">
        <f t="shared" si="61"/>
        <v>1.5707744683748626</v>
      </c>
      <c r="K195" s="374">
        <f t="shared" si="82"/>
        <v>13.848167964077765</v>
      </c>
      <c r="L195" s="375">
        <f t="shared" si="83"/>
        <v>1.4985217026711328</v>
      </c>
      <c r="M195" s="363">
        <f t="shared" si="64"/>
        <v>1.1238303313708109</v>
      </c>
      <c r="N195" s="366">
        <f t="shared" si="65"/>
        <v>0.4738588518908522</v>
      </c>
      <c r="O195" s="367">
        <f t="shared" si="66"/>
        <v>1.0108351900428219</v>
      </c>
      <c r="P195" s="368">
        <f t="shared" si="67"/>
        <v>0.19223406009423297</v>
      </c>
      <c r="Q195" s="369">
        <f t="shared" si="68"/>
        <v>-8.0012836250285293</v>
      </c>
      <c r="R195" s="370">
        <f t="shared" si="69"/>
        <v>-134.77958921429112</v>
      </c>
      <c r="S195" s="372">
        <f t="shared" si="70"/>
        <v>45.220410785708879</v>
      </c>
      <c r="U195" s="345">
        <f t="shared" si="76"/>
        <v>11028.75</v>
      </c>
      <c r="V195" s="345">
        <f t="shared" si="77"/>
        <v>121633326.5625</v>
      </c>
      <c r="X195" s="371">
        <f t="shared" si="71"/>
        <v>16.702881139574078</v>
      </c>
      <c r="Y195" s="372">
        <f t="shared" si="72"/>
        <v>-31.289890866985793</v>
      </c>
      <c r="AA195" s="371">
        <f t="shared" si="73"/>
        <v>35.856409707402264</v>
      </c>
      <c r="AB195" s="372">
        <f t="shared" si="74"/>
        <v>-103.48969834730529</v>
      </c>
      <c r="AD195">
        <f t="shared" si="78"/>
        <v>0</v>
      </c>
      <c r="AE195">
        <f t="shared" si="81"/>
        <v>0</v>
      </c>
    </row>
    <row r="196" spans="1:31" x14ac:dyDescent="0.2">
      <c r="A196" s="373">
        <v>11092.5</v>
      </c>
      <c r="B196" s="390">
        <f t="shared" si="75"/>
        <v>11.092499999999999</v>
      </c>
      <c r="C196" s="363">
        <f t="shared" si="54"/>
        <v>15.648684368151635</v>
      </c>
      <c r="D196" s="364">
        <f t="shared" si="55"/>
        <v>1.5068496184334579</v>
      </c>
      <c r="E196" s="364">
        <f t="shared" si="56"/>
        <v>1.0094768929397622</v>
      </c>
      <c r="F196" s="365">
        <f t="shared" si="57"/>
        <v>0.13713242010786098</v>
      </c>
      <c r="G196" s="364">
        <f t="shared" si="58"/>
        <v>1.0308409455483787</v>
      </c>
      <c r="H196" s="365">
        <f t="shared" si="59"/>
        <v>-0.24522897080738515</v>
      </c>
      <c r="I196" s="363">
        <f t="shared" si="60"/>
        <v>46013.40560458105</v>
      </c>
      <c r="J196" s="366">
        <f t="shared" si="61"/>
        <v>1.5707745939979663</v>
      </c>
      <c r="K196" s="374">
        <f t="shared" si="82"/>
        <v>13.927798962199958</v>
      </c>
      <c r="L196" s="375">
        <f t="shared" si="83"/>
        <v>1.498935641470825</v>
      </c>
      <c r="M196" s="363">
        <f t="shared" si="64"/>
        <v>1.1251861184493912</v>
      </c>
      <c r="N196" s="366">
        <f t="shared" si="65"/>
        <v>0.47620309477733302</v>
      </c>
      <c r="O196" s="367">
        <f t="shared" si="66"/>
        <v>1.0109604848924623</v>
      </c>
      <c r="P196" s="368">
        <f t="shared" si="67"/>
        <v>0.19333498856817163</v>
      </c>
      <c r="Q196" s="369">
        <f t="shared" si="68"/>
        <v>-8.0590842537550103</v>
      </c>
      <c r="R196" s="370">
        <f t="shared" si="69"/>
        <v>-135.00737496983032</v>
      </c>
      <c r="S196" s="372">
        <f t="shared" si="70"/>
        <v>44.992625030169677</v>
      </c>
      <c r="U196" s="345">
        <f t="shared" si="76"/>
        <v>11092.5</v>
      </c>
      <c r="V196" s="345">
        <f t="shared" si="77"/>
        <v>123043556.25</v>
      </c>
      <c r="X196" s="371">
        <f t="shared" si="71"/>
        <v>16.692149248636234</v>
      </c>
      <c r="Y196" s="372">
        <f t="shared" si="72"/>
        <v>-31.400496342135671</v>
      </c>
      <c r="AA196" s="371">
        <f t="shared" si="73"/>
        <v>35.809340969613629</v>
      </c>
      <c r="AB196" s="372">
        <f t="shared" si="74"/>
        <v>-103.60687862769466</v>
      </c>
      <c r="AD196">
        <f t="shared" si="78"/>
        <v>0</v>
      </c>
      <c r="AE196">
        <f t="shared" si="81"/>
        <v>0</v>
      </c>
    </row>
    <row r="197" spans="1:31" x14ac:dyDescent="0.2">
      <c r="A197" s="373">
        <v>11156.25</v>
      </c>
      <c r="B197" s="390">
        <f t="shared" si="75"/>
        <v>11.15625</v>
      </c>
      <c r="C197" s="363">
        <f t="shared" si="54"/>
        <v>15.738253121436314</v>
      </c>
      <c r="D197" s="364">
        <f t="shared" si="55"/>
        <v>1.5072140413463133</v>
      </c>
      <c r="E197" s="364">
        <f t="shared" si="56"/>
        <v>1.0095856171236779</v>
      </c>
      <c r="F197" s="365">
        <f t="shared" si="57"/>
        <v>0.13791061030174806</v>
      </c>
      <c r="G197" s="364">
        <f t="shared" si="58"/>
        <v>1.0311910802212347</v>
      </c>
      <c r="H197" s="365">
        <f t="shared" si="59"/>
        <v>-0.24658204581910984</v>
      </c>
      <c r="I197" s="363">
        <f t="shared" si="60"/>
        <v>46277.850464252951</v>
      </c>
      <c r="J197" s="366">
        <f t="shared" si="61"/>
        <v>1.5707747181853773</v>
      </c>
      <c r="K197" s="374">
        <f t="shared" si="82"/>
        <v>14.00743231965156</v>
      </c>
      <c r="L197" s="375">
        <f t="shared" si="83"/>
        <v>1.4993448737905302</v>
      </c>
      <c r="M197" s="363">
        <f t="shared" si="64"/>
        <v>1.1265480740566638</v>
      </c>
      <c r="N197" s="366">
        <f t="shared" si="65"/>
        <v>0.47854168228102661</v>
      </c>
      <c r="O197" s="367">
        <f t="shared" si="66"/>
        <v>1.011086494367841</v>
      </c>
      <c r="P197" s="368">
        <f t="shared" si="67"/>
        <v>0.1944357422591905</v>
      </c>
      <c r="Q197" s="369">
        <f t="shared" si="68"/>
        <v>-8.1166179489622596</v>
      </c>
      <c r="R197" s="370">
        <f t="shared" si="69"/>
        <v>-135.23481290414054</v>
      </c>
      <c r="S197" s="372">
        <f t="shared" si="70"/>
        <v>44.76518709585946</v>
      </c>
      <c r="U197" s="345">
        <f t="shared" si="76"/>
        <v>11156.25</v>
      </c>
      <c r="V197" s="345">
        <f t="shared" si="77"/>
        <v>124461914.0625</v>
      </c>
      <c r="X197" s="371">
        <f t="shared" si="71"/>
        <v>16.681386829891466</v>
      </c>
      <c r="Y197" s="372">
        <f t="shared" si="72"/>
        <v>-31.511047366900744</v>
      </c>
      <c r="AA197" s="371">
        <f t="shared" si="73"/>
        <v>35.762569693151143</v>
      </c>
      <c r="AB197" s="372">
        <f t="shared" si="74"/>
        <v>-103.72376553723977</v>
      </c>
      <c r="AD197">
        <f t="shared" si="78"/>
        <v>0</v>
      </c>
      <c r="AE197">
        <f t="shared" si="81"/>
        <v>0</v>
      </c>
    </row>
    <row r="198" spans="1:31" x14ac:dyDescent="0.2">
      <c r="A198" s="373">
        <v>11220</v>
      </c>
      <c r="B198" s="390">
        <f t="shared" si="75"/>
        <v>11.22</v>
      </c>
      <c r="C198" s="363">
        <f t="shared" si="54"/>
        <v>15.827823941169179</v>
      </c>
      <c r="D198" s="364">
        <f t="shared" si="55"/>
        <v>1.5075743397144372</v>
      </c>
      <c r="E198" s="364">
        <f t="shared" si="56"/>
        <v>1.0096949525605452</v>
      </c>
      <c r="F198" s="365">
        <f t="shared" si="57"/>
        <v>0.13868863243310059</v>
      </c>
      <c r="G198" s="364">
        <f t="shared" si="58"/>
        <v>1.0315431015274421</v>
      </c>
      <c r="H198" s="365">
        <f t="shared" si="59"/>
        <v>-0.24793419981232609</v>
      </c>
      <c r="I198" s="363">
        <f t="shared" si="60"/>
        <v>46542.295323925558</v>
      </c>
      <c r="J198" s="366">
        <f t="shared" si="61"/>
        <v>1.5707748409615676</v>
      </c>
      <c r="K198" s="374">
        <f t="shared" si="82"/>
        <v>14.087067996421126</v>
      </c>
      <c r="L198" s="375">
        <f t="shared" si="83"/>
        <v>1.4997494793106825</v>
      </c>
      <c r="M198" s="363">
        <f t="shared" si="64"/>
        <v>1.1279161758471856</v>
      </c>
      <c r="N198" s="366">
        <f t="shared" si="65"/>
        <v>0.48087460935547177</v>
      </c>
      <c r="O198" s="367">
        <f t="shared" si="66"/>
        <v>1.0112132183418976</v>
      </c>
      <c r="P198" s="368">
        <f t="shared" si="67"/>
        <v>0.19553632023261197</v>
      </c>
      <c r="Q198" s="369">
        <f t="shared" si="68"/>
        <v>-8.1738877184641634</v>
      </c>
      <c r="R198" s="370">
        <f t="shared" si="69"/>
        <v>-135.4619020068925</v>
      </c>
      <c r="S198" s="372">
        <f t="shared" si="70"/>
        <v>44.538097993107499</v>
      </c>
      <c r="U198" s="345">
        <f t="shared" si="76"/>
        <v>11220</v>
      </c>
      <c r="V198" s="345">
        <f t="shared" si="77"/>
        <v>125888400</v>
      </c>
      <c r="X198" s="371">
        <f t="shared" si="71"/>
        <v>16.67059409758442</v>
      </c>
      <c r="Y198" s="372">
        <f t="shared" si="72"/>
        <v>-31.621539088189632</v>
      </c>
      <c r="AA198" s="371">
        <f t="shared" si="73"/>
        <v>35.716092655956288</v>
      </c>
      <c r="AB198" s="372">
        <f t="shared" si="74"/>
        <v>-103.84036291870284</v>
      </c>
      <c r="AD198">
        <f t="shared" si="78"/>
        <v>0</v>
      </c>
      <c r="AE198">
        <f t="shared" si="81"/>
        <v>0</v>
      </c>
    </row>
    <row r="199" spans="1:31" x14ac:dyDescent="0.2">
      <c r="A199" s="373">
        <v>11285.5</v>
      </c>
      <c r="B199" s="390">
        <f t="shared" si="75"/>
        <v>11.285500000000001</v>
      </c>
      <c r="C199" s="363">
        <f t="shared" si="54"/>
        <v>15.919855683372525</v>
      </c>
      <c r="D199" s="364">
        <f t="shared" si="55"/>
        <v>1.5079403057704612</v>
      </c>
      <c r="E199" s="364">
        <f t="shared" si="56"/>
        <v>1.0098079258061456</v>
      </c>
      <c r="F199" s="365">
        <f t="shared" si="57"/>
        <v>0.13948783605617768</v>
      </c>
      <c r="G199" s="364">
        <f t="shared" si="58"/>
        <v>1.031906749163213</v>
      </c>
      <c r="H199" s="365">
        <f t="shared" si="59"/>
        <v>-0.24932250826510627</v>
      </c>
      <c r="I199" s="363">
        <f t="shared" si="60"/>
        <v>46813.999454256562</v>
      </c>
      <c r="J199" s="366">
        <f t="shared" si="61"/>
        <v>1.5707749656633605</v>
      </c>
      <c r="K199" s="374">
        <f t="shared" si="82"/>
        <v>14.168892125180742</v>
      </c>
      <c r="L199" s="375">
        <f t="shared" si="83"/>
        <v>1.5001604544523881</v>
      </c>
      <c r="M199" s="363">
        <f t="shared" si="64"/>
        <v>1.1293282114714738</v>
      </c>
      <c r="N199" s="366">
        <f t="shared" si="65"/>
        <v>0.48326567690919942</v>
      </c>
      <c r="O199" s="367">
        <f t="shared" si="66"/>
        <v>1.0113441650674622</v>
      </c>
      <c r="P199" s="368">
        <f t="shared" si="67"/>
        <v>0.1966669261499665</v>
      </c>
      <c r="Q199" s="369">
        <f t="shared" si="68"/>
        <v>-8.232457809665874</v>
      </c>
      <c r="R199" s="370">
        <f t="shared" si="69"/>
        <v>-135.69486056854478</v>
      </c>
      <c r="S199" s="372">
        <f t="shared" si="70"/>
        <v>44.305139431455217</v>
      </c>
      <c r="U199" s="345">
        <f t="shared" si="76"/>
        <v>11285.5</v>
      </c>
      <c r="V199" s="345">
        <f t="shared" si="77"/>
        <v>127362510.25</v>
      </c>
      <c r="X199" s="371">
        <f t="shared" si="71"/>
        <v>16.659473748263245</v>
      </c>
      <c r="Y199" s="372">
        <f t="shared" si="72"/>
        <v>-31.734997171460453</v>
      </c>
      <c r="AA199" s="371">
        <f t="shared" si="73"/>
        <v>35.668642914075754</v>
      </c>
      <c r="AB199" s="372">
        <f t="shared" si="74"/>
        <v>-103.95986339708431</v>
      </c>
      <c r="AD199">
        <f t="shared" si="78"/>
        <v>0</v>
      </c>
      <c r="AE199">
        <f t="shared" si="81"/>
        <v>0</v>
      </c>
    </row>
    <row r="200" spans="1:31" x14ac:dyDescent="0.2">
      <c r="A200" s="373">
        <v>11351</v>
      </c>
      <c r="B200" s="390">
        <f t="shared" si="75"/>
        <v>11.351000000000001</v>
      </c>
      <c r="C200" s="363">
        <f t="shared" si="54"/>
        <v>16.01188953323021</v>
      </c>
      <c r="D200" s="364">
        <f t="shared" si="55"/>
        <v>1.5083020648425696</v>
      </c>
      <c r="E200" s="364">
        <f t="shared" si="56"/>
        <v>1.0099215438982165</v>
      </c>
      <c r="F200" s="365">
        <f t="shared" si="57"/>
        <v>0.14028686036566584</v>
      </c>
      <c r="G200" s="364">
        <f t="shared" si="58"/>
        <v>1.032272384292896</v>
      </c>
      <c r="H200" s="365">
        <f t="shared" si="59"/>
        <v>-0.25070983590110496</v>
      </c>
      <c r="I200" s="363">
        <f t="shared" si="60"/>
        <v>47085.703584588286</v>
      </c>
      <c r="J200" s="366">
        <f t="shared" si="61"/>
        <v>1.5707750889259906</v>
      </c>
      <c r="K200" s="374">
        <f t="shared" si="82"/>
        <v>14.250718619592462</v>
      </c>
      <c r="L200" s="375">
        <f t="shared" si="83"/>
        <v>1.5005667100888138</v>
      </c>
      <c r="M200" s="363">
        <f t="shared" si="64"/>
        <v>1.1307466875485432</v>
      </c>
      <c r="N200" s="366">
        <f t="shared" si="65"/>
        <v>0.48565075907502936</v>
      </c>
      <c r="O200" s="367">
        <f t="shared" si="66"/>
        <v>1.0114758657834495</v>
      </c>
      <c r="P200" s="368">
        <f t="shared" si="67"/>
        <v>0.19779734457334616</v>
      </c>
      <c r="Q200" s="369">
        <f t="shared" si="68"/>
        <v>-8.2907555461741005</v>
      </c>
      <c r="R200" s="370">
        <f t="shared" si="69"/>
        <v>-135.92744881022082</v>
      </c>
      <c r="S200" s="372">
        <f t="shared" si="70"/>
        <v>44.072551189779176</v>
      </c>
      <c r="U200" s="345">
        <f t="shared" si="76"/>
        <v>11351</v>
      </c>
      <c r="V200" s="345">
        <f t="shared" si="77"/>
        <v>128845201</v>
      </c>
      <c r="X200" s="371">
        <f t="shared" si="71"/>
        <v>16.648321863029512</v>
      </c>
      <c r="Y200" s="372">
        <f t="shared" si="72"/>
        <v>-31.848382642541868</v>
      </c>
      <c r="AA200" s="371">
        <f t="shared" si="73"/>
        <v>35.621497062801254</v>
      </c>
      <c r="AB200" s="372">
        <f t="shared" si="74"/>
        <v>-104.07906616767893</v>
      </c>
      <c r="AD200">
        <f t="shared" si="78"/>
        <v>0</v>
      </c>
      <c r="AE200">
        <f t="shared" si="81"/>
        <v>0</v>
      </c>
    </row>
    <row r="201" spans="1:31" x14ac:dyDescent="0.2">
      <c r="A201" s="373">
        <v>11416.5</v>
      </c>
      <c r="B201" s="390">
        <f t="shared" si="75"/>
        <v>11.416499999999999</v>
      </c>
      <c r="C201" s="363">
        <f t="shared" si="54"/>
        <v>16.103925454606543</v>
      </c>
      <c r="D201" s="364">
        <f t="shared" si="55"/>
        <v>1.5086596889655506</v>
      </c>
      <c r="E201" s="364">
        <f t="shared" si="56"/>
        <v>1.0100358066191433</v>
      </c>
      <c r="F201" s="365">
        <f t="shared" si="57"/>
        <v>0.14108570440199261</v>
      </c>
      <c r="G201" s="364">
        <f t="shared" si="58"/>
        <v>1.0326400048053073</v>
      </c>
      <c r="H201" s="365">
        <f t="shared" si="59"/>
        <v>-0.25209617842470849</v>
      </c>
      <c r="I201" s="363">
        <f t="shared" si="60"/>
        <v>47357.407714920722</v>
      </c>
      <c r="J201" s="366">
        <f t="shared" si="61"/>
        <v>1.570775210774229</v>
      </c>
      <c r="K201" s="374">
        <f t="shared" si="82"/>
        <v>14.332547439138782</v>
      </c>
      <c r="L201" s="375">
        <f t="shared" si="83"/>
        <v>1.5009683269199185</v>
      </c>
      <c r="M201" s="363">
        <f t="shared" si="64"/>
        <v>1.1321715798710341</v>
      </c>
      <c r="N201" s="366">
        <f t="shared" si="65"/>
        <v>0.48802985126531817</v>
      </c>
      <c r="O201" s="367">
        <f t="shared" si="66"/>
        <v>1.0116083203499113</v>
      </c>
      <c r="P201" s="368">
        <f t="shared" si="67"/>
        <v>0.19892757449279891</v>
      </c>
      <c r="Q201" s="369">
        <f t="shared" si="68"/>
        <v>-8.3487840125961181</v>
      </c>
      <c r="R201" s="370">
        <f t="shared" si="69"/>
        <v>-136.15966572500255</v>
      </c>
      <c r="S201" s="372">
        <f t="shared" si="70"/>
        <v>43.840334274997446</v>
      </c>
      <c r="U201" s="345">
        <f t="shared" si="76"/>
        <v>11416.5</v>
      </c>
      <c r="V201" s="345">
        <f t="shared" si="77"/>
        <v>130336472.25</v>
      </c>
      <c r="X201" s="371">
        <f t="shared" si="71"/>
        <v>16.637138680340648</v>
      </c>
      <c r="Y201" s="372">
        <f t="shared" si="72"/>
        <v>-31.961690616233508</v>
      </c>
      <c r="AA201" s="371">
        <f t="shared" si="73"/>
        <v>35.574651779068105</v>
      </c>
      <c r="AB201" s="372">
        <f t="shared" si="74"/>
        <v>-104.19797510876903</v>
      </c>
      <c r="AD201">
        <f t="shared" si="78"/>
        <v>0</v>
      </c>
      <c r="AE201">
        <f t="shared" si="81"/>
        <v>0</v>
      </c>
    </row>
    <row r="202" spans="1:31" x14ac:dyDescent="0.2">
      <c r="A202" s="373">
        <v>11482</v>
      </c>
      <c r="B202" s="390">
        <f t="shared" si="75"/>
        <v>11.481999999999999</v>
      </c>
      <c r="C202" s="363">
        <f t="shared" si="54"/>
        <v>16.195963412186387</v>
      </c>
      <c r="D202" s="364">
        <f t="shared" si="55"/>
        <v>1.509013248541051</v>
      </c>
      <c r="E202" s="364">
        <f t="shared" si="56"/>
        <v>1.0101507137501753</v>
      </c>
      <c r="F202" s="365">
        <f t="shared" si="57"/>
        <v>0.14188436720693876</v>
      </c>
      <c r="G202" s="364">
        <f t="shared" si="58"/>
        <v>1.0330096085808129</v>
      </c>
      <c r="H202" s="365">
        <f t="shared" si="59"/>
        <v>-0.25348153156154801</v>
      </c>
      <c r="I202" s="363">
        <f t="shared" si="60"/>
        <v>47629.11184525385</v>
      </c>
      <c r="J202" s="366">
        <f t="shared" si="61"/>
        <v>1.570775331232281</v>
      </c>
      <c r="K202" s="374">
        <f t="shared" si="82"/>
        <v>14.414378544221114</v>
      </c>
      <c r="L202" s="375">
        <f t="shared" si="83"/>
        <v>1.5013653838191761</v>
      </c>
      <c r="M202" s="363">
        <f t="shared" si="64"/>
        <v>1.133602864244075</v>
      </c>
      <c r="N202" s="366">
        <f t="shared" si="65"/>
        <v>0.49040294918666449</v>
      </c>
      <c r="O202" s="367">
        <f t="shared" si="66"/>
        <v>1.0117415286261817</v>
      </c>
      <c r="P202" s="368">
        <f t="shared" si="67"/>
        <v>0.20005761489967955</v>
      </c>
      <c r="Q202" s="369">
        <f t="shared" si="68"/>
        <v>-8.406546236286184</v>
      </c>
      <c r="R202" s="370">
        <f t="shared" si="69"/>
        <v>-136.39151033509057</v>
      </c>
      <c r="S202" s="372">
        <f t="shared" si="70"/>
        <v>43.608489664909428</v>
      </c>
      <c r="U202" s="345">
        <f t="shared" si="76"/>
        <v>11482</v>
      </c>
      <c r="V202" s="345">
        <f t="shared" si="77"/>
        <v>131836324</v>
      </c>
      <c r="X202" s="371">
        <f t="shared" si="71"/>
        <v>16.62592444046858</v>
      </c>
      <c r="Y202" s="372">
        <f t="shared" si="72"/>
        <v>-32.07491632881127</v>
      </c>
      <c r="AA202" s="371">
        <f t="shared" si="73"/>
        <v>35.528103795250104</v>
      </c>
      <c r="AB202" s="372">
        <f t="shared" si="74"/>
        <v>-104.3165940062793</v>
      </c>
      <c r="AD202">
        <f t="shared" si="78"/>
        <v>0</v>
      </c>
      <c r="AE202">
        <f t="shared" si="81"/>
        <v>0</v>
      </c>
    </row>
    <row r="203" spans="1:31" x14ac:dyDescent="0.2">
      <c r="A203" s="373">
        <v>11548.75</v>
      </c>
      <c r="B203" s="390">
        <f t="shared" si="75"/>
        <v>11.54875</v>
      </c>
      <c r="C203" s="363">
        <f t="shared" si="54"/>
        <v>16.289759878466832</v>
      </c>
      <c r="D203" s="364">
        <f t="shared" si="55"/>
        <v>1.5093694450370905</v>
      </c>
      <c r="E203" s="364">
        <f t="shared" si="56"/>
        <v>1.0102684765120293</v>
      </c>
      <c r="F203" s="365">
        <f t="shared" si="57"/>
        <v>0.14269808422548358</v>
      </c>
      <c r="G203" s="364">
        <f t="shared" si="58"/>
        <v>1.0333883040572265</v>
      </c>
      <c r="H203" s="365">
        <f t="shared" si="59"/>
        <v>-0.25489230044294786</v>
      </c>
      <c r="I203" s="363">
        <f t="shared" si="60"/>
        <v>47906.001168914649</v>
      </c>
      <c r="J203" s="366">
        <f t="shared" si="61"/>
        <v>1.5707754525834059</v>
      </c>
      <c r="K203" s="374">
        <f t="shared" si="82"/>
        <v>14.497773622922455</v>
      </c>
      <c r="L203" s="375">
        <f t="shared" si="83"/>
        <v>1.5017654066609136</v>
      </c>
      <c r="M203" s="363">
        <f t="shared" si="64"/>
        <v>1.1350680143615788</v>
      </c>
      <c r="N203" s="366">
        <f t="shared" si="65"/>
        <v>0.49281516414234072</v>
      </c>
      <c r="O203" s="367">
        <f t="shared" si="66"/>
        <v>1.0118780543214665</v>
      </c>
      <c r="P203" s="368">
        <f t="shared" si="67"/>
        <v>0.20120902494818152</v>
      </c>
      <c r="Q203" s="369">
        <f t="shared" si="68"/>
        <v>-8.4651399560541076</v>
      </c>
      <c r="R203" s="370">
        <f t="shared" si="69"/>
        <v>-136.62739544802616</v>
      </c>
      <c r="S203" s="372">
        <f t="shared" si="70"/>
        <v>43.372604551973836</v>
      </c>
      <c r="U203" s="345">
        <f t="shared" si="76"/>
        <v>11548.75</v>
      </c>
      <c r="V203" s="345">
        <f t="shared" si="77"/>
        <v>133373626.5625</v>
      </c>
      <c r="X203" s="371">
        <f t="shared" si="71"/>
        <v>16.614464487039765</v>
      </c>
      <c r="Y203" s="372">
        <f t="shared" si="72"/>
        <v>-32.190213397548504</v>
      </c>
      <c r="AA203" s="371">
        <f t="shared" si="73"/>
        <v>35.480970028910995</v>
      </c>
      <c r="AB203" s="372">
        <f t="shared" si="74"/>
        <v>-104.43718205047765</v>
      </c>
      <c r="AD203">
        <f t="shared" si="78"/>
        <v>0</v>
      </c>
      <c r="AE203">
        <f t="shared" si="81"/>
        <v>0</v>
      </c>
    </row>
    <row r="204" spans="1:31" x14ac:dyDescent="0.2">
      <c r="A204" s="373">
        <v>11615.5</v>
      </c>
      <c r="B204" s="390">
        <f t="shared" si="75"/>
        <v>11.615500000000001</v>
      </c>
      <c r="C204" s="363">
        <f t="shared" si="54"/>
        <v>16.383558387861015</v>
      </c>
      <c r="D204" s="364">
        <f t="shared" si="55"/>
        <v>1.5097215630128107</v>
      </c>
      <c r="E204" s="364">
        <f t="shared" si="56"/>
        <v>1.0103869080522014</v>
      </c>
      <c r="F204" s="365">
        <f t="shared" si="57"/>
        <v>0.14351161102445595</v>
      </c>
      <c r="G204" s="364">
        <f t="shared" si="58"/>
        <v>1.0337690547449345</v>
      </c>
      <c r="H204" s="365">
        <f t="shared" si="59"/>
        <v>-0.25630203291904952</v>
      </c>
      <c r="I204" s="363">
        <f t="shared" si="60"/>
        <v>48182.890492576145</v>
      </c>
      <c r="J204" s="366">
        <f t="shared" si="61"/>
        <v>1.5707755725398105</v>
      </c>
      <c r="K204" s="374">
        <f t="shared" si="82"/>
        <v>14.581170994995469</v>
      </c>
      <c r="L204" s="375">
        <f t="shared" si="83"/>
        <v>1.5021608536840381</v>
      </c>
      <c r="M204" s="363">
        <f t="shared" si="64"/>
        <v>1.1365397521401888</v>
      </c>
      <c r="N204" s="366">
        <f t="shared" si="65"/>
        <v>0.49522114577570642</v>
      </c>
      <c r="O204" s="367">
        <f t="shared" si="66"/>
        <v>1.0120153624713819</v>
      </c>
      <c r="P204" s="368">
        <f t="shared" si="67"/>
        <v>0.20236023607094097</v>
      </c>
      <c r="Q204" s="369">
        <f t="shared" si="68"/>
        <v>-8.5234633464887963</v>
      </c>
      <c r="R204" s="370">
        <f t="shared" si="69"/>
        <v>-136.86289195060613</v>
      </c>
      <c r="S204" s="372">
        <f t="shared" si="70"/>
        <v>43.137108049393873</v>
      </c>
      <c r="U204" s="345">
        <f t="shared" si="76"/>
        <v>11615.5</v>
      </c>
      <c r="V204" s="345">
        <f t="shared" si="77"/>
        <v>134919840.25</v>
      </c>
      <c r="X204" s="371">
        <f t="shared" si="71"/>
        <v>16.602972788819773</v>
      </c>
      <c r="Y204" s="372">
        <f t="shared" si="72"/>
        <v>-32.305415418407662</v>
      </c>
      <c r="AA204" s="371">
        <f t="shared" si="73"/>
        <v>35.434138336696307</v>
      </c>
      <c r="AB204" s="372">
        <f t="shared" si="74"/>
        <v>-104.55747653219844</v>
      </c>
      <c r="AD204">
        <f t="shared" si="78"/>
        <v>0</v>
      </c>
      <c r="AE204">
        <f t="shared" si="81"/>
        <v>0</v>
      </c>
    </row>
    <row r="205" spans="1:31" x14ac:dyDescent="0.2">
      <c r="A205" s="373">
        <v>11682.25</v>
      </c>
      <c r="B205" s="390">
        <f t="shared" si="75"/>
        <v>11.68225</v>
      </c>
      <c r="C205" s="363">
        <f t="shared" ref="C205:C268" si="84">SQRT(1+(A205/pole1)^2)</f>
        <v>16.477358905477242</v>
      </c>
      <c r="D205" s="364">
        <f t="shared" ref="D205:D268" si="85">ATAN(A205/pole1)</f>
        <v>1.5100696720334126</v>
      </c>
      <c r="E205" s="364">
        <f t="shared" ref="E205:E268" si="86">SQRT(1+(A205/Zero1)^2)</f>
        <v>1.0105060081355486</v>
      </c>
      <c r="F205" s="365">
        <f t="shared" ref="F205:F268" si="87">ATAN(A205/Zero1)</f>
        <v>0.14432494659410125</v>
      </c>
      <c r="G205" s="364">
        <f t="shared" ref="G205:G268" si="88">IF(VIN_nom&gt;Vout, 1, SQRT(1+(A205/z_RHP)^2))</f>
        <v>1.0341518583738942</v>
      </c>
      <c r="H205" s="365">
        <f t="shared" ref="H205:H268" si="89">IF(VIN_nom&gt;Vout, 0, -ATAN(A205/z_RHP))</f>
        <v>-0.25771072453444865</v>
      </c>
      <c r="I205" s="363">
        <f t="shared" ref="I205:I268" si="90">SQRT(1+(A205/Pole2)^2)</f>
        <v>48459.779816238319</v>
      </c>
      <c r="J205" s="366">
        <f t="shared" ref="J205:J268" si="91">ATAN(A205/Pole2)</f>
        <v>1.5707756911254021</v>
      </c>
      <c r="K205" s="374">
        <f t="shared" si="82"/>
        <v>14.66457062131296</v>
      </c>
      <c r="L205" s="375">
        <f t="shared" si="83"/>
        <v>1.5025518028339169</v>
      </c>
      <c r="M205" s="363">
        <f t="shared" ref="M205:M268" si="92">SQRT(1+(A205/pole4)^2)</f>
        <v>1.138018052021498</v>
      </c>
      <c r="N205" s="366">
        <f t="shared" ref="N205:N268" si="93">ATAN(A205/pole4)</f>
        <v>0.4976208904692826</v>
      </c>
      <c r="O205" s="367">
        <f t="shared" ref="O205:O268" si="94">SQRT((1-(V205/pterm2))^2+(A205/pterm1)^2)</f>
        <v>1.0121534529247631</v>
      </c>
      <c r="P205" s="368">
        <f t="shared" ref="P205:P268" si="95">IF((ATAN((A205/pterm1)/(1-A205^2/pterm2))&gt;0),ATAN((A205/pterm1)/(1-A205^2/pterm2)),PI()+ATAN((A205/pterm1)/(1-A205^2/pterm2)))</f>
        <v>0.20351124720468386</v>
      </c>
      <c r="Q205" s="369">
        <f t="shared" ref="Q205:Q268" si="96">20*LOG10(((E205*K205*G205)/(C205*I205*O205*M205))*Adc)</f>
        <v>-8.5815194366507477</v>
      </c>
      <c r="R205" s="370">
        <f t="shared" ref="R205:R268" si="97">((F205+L205+H205)-(D205+J205+P205+N205))*radconv</f>
        <v>-137.09799889844348</v>
      </c>
      <c r="S205" s="372">
        <f t="shared" ref="S205:S268" si="98">IF(R205&gt;0,R205,R205+180)</f>
        <v>42.902001101556522</v>
      </c>
      <c r="U205" s="345">
        <f t="shared" si="76"/>
        <v>11682.25</v>
      </c>
      <c r="V205" s="345">
        <f t="shared" si="77"/>
        <v>136474965.0625</v>
      </c>
      <c r="X205" s="371">
        <f t="shared" ref="X205:X268" si="99">20*LOG10((K205/(I205*M205))*AEA)</f>
        <v>16.591449605197923</v>
      </c>
      <c r="Y205" s="372">
        <f t="shared" ref="Y205:Y268" si="100">(L205-(J205+N205))*radconv</f>
        <v>-32.420517719551647</v>
      </c>
      <c r="AA205" s="371">
        <f t="shared" ref="AA205:AA268" si="101">20*LOG10((E205*G205/(C205*O205))*Acs*Am)</f>
        <v>35.387605430156206</v>
      </c>
      <c r="AB205" s="372">
        <f t="shared" ref="AB205:AB268" si="102">(F205+H205-(D205+P205))*radconv</f>
        <v>-104.67748117889181</v>
      </c>
      <c r="AD205">
        <f t="shared" si="78"/>
        <v>0</v>
      </c>
      <c r="AE205">
        <f t="shared" si="81"/>
        <v>0</v>
      </c>
    </row>
    <row r="206" spans="1:31" x14ac:dyDescent="0.2">
      <c r="A206" s="373">
        <v>11749</v>
      </c>
      <c r="B206" s="390">
        <f t="shared" ref="B206:B269" si="103">A206/1000</f>
        <v>11.749000000000001</v>
      </c>
      <c r="C206" s="363">
        <f t="shared" si="84"/>
        <v>16.571161397213082</v>
      </c>
      <c r="D206" s="364">
        <f t="shared" si="85"/>
        <v>1.5104138400929148</v>
      </c>
      <c r="E206" s="364">
        <f t="shared" si="86"/>
        <v>1.0106257765257118</v>
      </c>
      <c r="F206" s="365">
        <f t="shared" si="87"/>
        <v>0.14513808992615143</v>
      </c>
      <c r="G206" s="364">
        <f t="shared" si="88"/>
        <v>1.0345367126651912</v>
      </c>
      <c r="H206" s="365">
        <f t="shared" si="89"/>
        <v>-0.25911837085684181</v>
      </c>
      <c r="I206" s="363">
        <f t="shared" si="90"/>
        <v>48736.669139901183</v>
      </c>
      <c r="J206" s="366">
        <f t="shared" si="91"/>
        <v>1.5707758083635446</v>
      </c>
      <c r="K206" s="374">
        <f t="shared" si="82"/>
        <v>14.747972463631747</v>
      </c>
      <c r="L206" s="375">
        <f t="shared" si="83"/>
        <v>1.5029383302983206</v>
      </c>
      <c r="M206" s="363">
        <f t="shared" si="92"/>
        <v>1.139502888466065</v>
      </c>
      <c r="N206" s="366">
        <f t="shared" si="93"/>
        <v>0.50001439491165522</v>
      </c>
      <c r="O206" s="367">
        <f t="shared" si="94"/>
        <v>1.0122923255296778</v>
      </c>
      <c r="P206" s="368">
        <f t="shared" si="95"/>
        <v>0.20466205728757167</v>
      </c>
      <c r="Q206" s="369">
        <f t="shared" si="96"/>
        <v>-8.6393111994919387</v>
      </c>
      <c r="R206" s="370">
        <f t="shared" si="97"/>
        <v>-137.33271537665775</v>
      </c>
      <c r="S206" s="372">
        <f t="shared" si="98"/>
        <v>42.667284623342255</v>
      </c>
      <c r="U206" s="345">
        <f t="shared" ref="U206:U269" si="104">IF(Q206&lt;0,A206,1000000000)</f>
        <v>11749</v>
      </c>
      <c r="V206" s="345">
        <f t="shared" ref="V206:V269" si="105">A206^2</f>
        <v>138039001</v>
      </c>
      <c r="X206" s="371">
        <f t="shared" si="99"/>
        <v>16.579895197050408</v>
      </c>
      <c r="Y206" s="372">
        <f t="shared" si="100"/>
        <v>-32.535515747351354</v>
      </c>
      <c r="AA206" s="371">
        <f t="shared" si="101"/>
        <v>35.341368075462526</v>
      </c>
      <c r="AB206" s="372">
        <f t="shared" si="102"/>
        <v>-104.79719962930643</v>
      </c>
      <c r="AD206">
        <f t="shared" ref="AD206:AD269" si="106">SUM((Q207&lt;0)*(Q206&gt;0))*A206</f>
        <v>0</v>
      </c>
      <c r="AE206">
        <f t="shared" si="81"/>
        <v>0</v>
      </c>
    </row>
    <row r="207" spans="1:31" x14ac:dyDescent="0.2">
      <c r="A207" s="373">
        <v>11817.5</v>
      </c>
      <c r="B207" s="390">
        <f t="shared" si="103"/>
        <v>11.817500000000001</v>
      </c>
      <c r="C207" s="363">
        <f t="shared" si="84"/>
        <v>16.667425147781834</v>
      </c>
      <c r="D207" s="364">
        <f t="shared" si="85"/>
        <v>1.5107630036851938</v>
      </c>
      <c r="E207" s="364">
        <f t="shared" si="86"/>
        <v>1.0107493794801812</v>
      </c>
      <c r="F207" s="365">
        <f t="shared" si="87"/>
        <v>0.14597235070329542</v>
      </c>
      <c r="G207" s="364">
        <f t="shared" si="88"/>
        <v>1.0349337863811632</v>
      </c>
      <c r="H207" s="365">
        <f t="shared" si="89"/>
        <v>-0.26056183038122538</v>
      </c>
      <c r="I207" s="363">
        <f t="shared" si="90"/>
        <v>49020.817734222554</v>
      </c>
      <c r="J207" s="366">
        <f t="shared" si="91"/>
        <v>1.570775927298391</v>
      </c>
      <c r="K207" s="374">
        <f t="shared" si="82"/>
        <v>14.833563135813082</v>
      </c>
      <c r="L207" s="375">
        <f t="shared" si="83"/>
        <v>1.5033304724491201</v>
      </c>
      <c r="M207" s="363">
        <f t="shared" si="92"/>
        <v>1.1410334223093028</v>
      </c>
      <c r="N207" s="366">
        <f t="shared" si="93"/>
        <v>0.50246415945506862</v>
      </c>
      <c r="O207" s="367">
        <f t="shared" si="94"/>
        <v>1.0124356520083597</v>
      </c>
      <c r="P207" s="368">
        <f t="shared" si="95"/>
        <v>0.20584282828279057</v>
      </c>
      <c r="Q207" s="369">
        <f t="shared" si="96"/>
        <v>-8.6983463492001754</v>
      </c>
      <c r="R207" s="370">
        <f t="shared" si="97"/>
        <v>-137.57317858222186</v>
      </c>
      <c r="S207" s="372">
        <f t="shared" si="98"/>
        <v>42.426821417778143</v>
      </c>
      <c r="U207" s="345">
        <f t="shared" si="104"/>
        <v>11817.5</v>
      </c>
      <c r="V207" s="345">
        <f t="shared" si="105"/>
        <v>139653306.25</v>
      </c>
      <c r="X207" s="371">
        <f t="shared" si="99"/>
        <v>16.568005676207378</v>
      </c>
      <c r="Y207" s="372">
        <f t="shared" si="100"/>
        <v>-32.653415640879196</v>
      </c>
      <c r="AA207" s="371">
        <f t="shared" si="101"/>
        <v>35.294222446597317</v>
      </c>
      <c r="AB207" s="372">
        <f t="shared" si="102"/>
        <v>-104.91976294134268</v>
      </c>
      <c r="AD207">
        <f t="shared" si="106"/>
        <v>0</v>
      </c>
      <c r="AE207">
        <f t="shared" si="81"/>
        <v>0</v>
      </c>
    </row>
    <row r="208" spans="1:31" x14ac:dyDescent="0.2">
      <c r="A208" s="373">
        <v>11886</v>
      </c>
      <c r="B208" s="390">
        <f t="shared" si="103"/>
        <v>11.885999999999999</v>
      </c>
      <c r="C208" s="363">
        <f t="shared" si="84"/>
        <v>16.763690907025904</v>
      </c>
      <c r="D208" s="364">
        <f t="shared" si="85"/>
        <v>1.511108157164287</v>
      </c>
      <c r="E208" s="364">
        <f t="shared" si="86"/>
        <v>1.0108736857348493</v>
      </c>
      <c r="F208" s="365">
        <f t="shared" si="87"/>
        <v>0.14680640688417743</v>
      </c>
      <c r="G208" s="364">
        <f t="shared" si="88"/>
        <v>1.0353330148030639</v>
      </c>
      <c r="H208" s="365">
        <f t="shared" si="89"/>
        <v>-0.26200417970175549</v>
      </c>
      <c r="I208" s="363">
        <f t="shared" si="90"/>
        <v>49304.966328544608</v>
      </c>
      <c r="J208" s="366">
        <f t="shared" si="91"/>
        <v>1.5707760448623747</v>
      </c>
      <c r="K208" s="374">
        <f t="shared" si="82"/>
        <v>14.919156062859832</v>
      </c>
      <c r="L208" s="375">
        <f t="shared" si="83"/>
        <v>1.5037181151290457</v>
      </c>
      <c r="M208" s="363">
        <f t="shared" si="92"/>
        <v>1.1425707855195237</v>
      </c>
      <c r="N208" s="366">
        <f t="shared" si="93"/>
        <v>0.50490734616497368</v>
      </c>
      <c r="O208" s="367">
        <f t="shared" si="94"/>
        <v>1.0125798018611967</v>
      </c>
      <c r="P208" s="368">
        <f t="shared" si="95"/>
        <v>0.20702338528583361</v>
      </c>
      <c r="Q208" s="369">
        <f t="shared" si="96"/>
        <v>-8.7571092981819021</v>
      </c>
      <c r="R208" s="370">
        <f t="shared" si="97"/>
        <v>-137.81322871693123</v>
      </c>
      <c r="S208" s="372">
        <f t="shared" si="98"/>
        <v>42.186771283068765</v>
      </c>
      <c r="U208" s="345">
        <f t="shared" si="104"/>
        <v>11886</v>
      </c>
      <c r="V208" s="345">
        <f t="shared" si="105"/>
        <v>141276996</v>
      </c>
      <c r="X208" s="371">
        <f t="shared" si="99"/>
        <v>16.556083833149025</v>
      </c>
      <c r="Y208" s="372">
        <f t="shared" si="100"/>
        <v>-32.771196374455002</v>
      </c>
      <c r="AA208" s="371">
        <f t="shared" si="101"/>
        <v>35.24738134067394</v>
      </c>
      <c r="AB208" s="372">
        <f t="shared" si="102"/>
        <v>-105.04203234247628</v>
      </c>
      <c r="AD208">
        <f t="shared" si="106"/>
        <v>0</v>
      </c>
      <c r="AE208">
        <f t="shared" si="81"/>
        <v>0</v>
      </c>
    </row>
    <row r="209" spans="1:31" x14ac:dyDescent="0.2">
      <c r="A209" s="373">
        <v>11954.5</v>
      </c>
      <c r="B209" s="390">
        <f t="shared" si="103"/>
        <v>11.954499999999999</v>
      </c>
      <c r="C209" s="363">
        <f t="shared" si="84"/>
        <v>16.859958640538331</v>
      </c>
      <c r="D209" s="364">
        <f t="shared" si="85"/>
        <v>1.5114493691386068</v>
      </c>
      <c r="E209" s="364">
        <f t="shared" si="86"/>
        <v>1.0109986950302952</v>
      </c>
      <c r="F209" s="365">
        <f t="shared" si="87"/>
        <v>0.14764025738405828</v>
      </c>
      <c r="G209" s="364">
        <f t="shared" si="88"/>
        <v>1.0357343954392704</v>
      </c>
      <c r="H209" s="365">
        <f t="shared" si="89"/>
        <v>-0.26344541410446898</v>
      </c>
      <c r="I209" s="363">
        <f t="shared" si="90"/>
        <v>49589.114922867338</v>
      </c>
      <c r="J209" s="366">
        <f t="shared" si="91"/>
        <v>1.5707761610790612</v>
      </c>
      <c r="K209" s="374">
        <f t="shared" si="82"/>
        <v>15.004751206184118</v>
      </c>
      <c r="L209" s="375">
        <f t="shared" si="83"/>
        <v>1.5041013352227703</v>
      </c>
      <c r="M209" s="363">
        <f t="shared" si="92"/>
        <v>1.1441149505665813</v>
      </c>
      <c r="N209" s="366">
        <f t="shared" si="93"/>
        <v>0.507343952448847</v>
      </c>
      <c r="O209" s="367">
        <f t="shared" si="94"/>
        <v>1.0127247749214812</v>
      </c>
      <c r="P209" s="368">
        <f t="shared" si="95"/>
        <v>0.20820372715389721</v>
      </c>
      <c r="Q209" s="369">
        <f t="shared" si="96"/>
        <v>-8.8156030837284565</v>
      </c>
      <c r="R209" s="370">
        <f t="shared" si="97"/>
        <v>-138.05286488598369</v>
      </c>
      <c r="S209" s="372">
        <f t="shared" si="98"/>
        <v>41.947135114016305</v>
      </c>
      <c r="U209" s="345">
        <f t="shared" si="104"/>
        <v>11954.5</v>
      </c>
      <c r="V209" s="345">
        <f t="shared" si="105"/>
        <v>142910070.25</v>
      </c>
      <c r="X209" s="371">
        <f t="shared" si="99"/>
        <v>16.544129953995444</v>
      </c>
      <c r="Y209" s="372">
        <f t="shared" si="100"/>
        <v>-32.88885339572105</v>
      </c>
      <c r="AA209" s="371">
        <f t="shared" si="101"/>
        <v>35.200841434280967</v>
      </c>
      <c r="AB209" s="372">
        <f t="shared" si="102"/>
        <v>-105.16401149026262</v>
      </c>
      <c r="AD209">
        <f t="shared" si="106"/>
        <v>0</v>
      </c>
      <c r="AE209">
        <f t="shared" si="81"/>
        <v>0</v>
      </c>
    </row>
    <row r="210" spans="1:31" x14ac:dyDescent="0.2">
      <c r="A210" s="373">
        <v>12023</v>
      </c>
      <c r="B210" s="390">
        <f t="shared" si="103"/>
        <v>12.023</v>
      </c>
      <c r="C210" s="363">
        <f t="shared" si="84"/>
        <v>16.956228314692829</v>
      </c>
      <c r="D210" s="364">
        <f t="shared" si="85"/>
        <v>1.5117867066621766</v>
      </c>
      <c r="E210" s="364">
        <f t="shared" si="86"/>
        <v>1.0111244071057603</v>
      </c>
      <c r="F210" s="365">
        <f t="shared" si="87"/>
        <v>0.14847390111987782</v>
      </c>
      <c r="G210" s="364">
        <f t="shared" si="88"/>
        <v>1.0361379257885988</v>
      </c>
      <c r="H210" s="365">
        <f t="shared" si="89"/>
        <v>-0.26488552890121408</v>
      </c>
      <c r="I210" s="363">
        <f t="shared" si="90"/>
        <v>49873.263517190731</v>
      </c>
      <c r="J210" s="366">
        <f t="shared" si="91"/>
        <v>1.5707762759714785</v>
      </c>
      <c r="K210" s="374">
        <f t="shared" si="82"/>
        <v>15.090348528072573</v>
      </c>
      <c r="L210" s="375">
        <f t="shared" si="83"/>
        <v>1.5044802078757715</v>
      </c>
      <c r="M210" s="363">
        <f t="shared" si="92"/>
        <v>1.1456658899472776</v>
      </c>
      <c r="N210" s="366">
        <f t="shared" si="93"/>
        <v>0.50977397604065577</v>
      </c>
      <c r="O210" s="367">
        <f t="shared" si="94"/>
        <v>1.0128705710216614</v>
      </c>
      <c r="P210" s="368">
        <f t="shared" si="95"/>
        <v>0.20938385274579929</v>
      </c>
      <c r="Q210" s="369">
        <f t="shared" si="96"/>
        <v>-8.8738306866041778</v>
      </c>
      <c r="R210" s="370">
        <f t="shared" si="97"/>
        <v>-138.29208622531678</v>
      </c>
      <c r="S210" s="372">
        <f t="shared" si="98"/>
        <v>41.70791377468322</v>
      </c>
      <c r="U210" s="345">
        <f t="shared" si="104"/>
        <v>12023</v>
      </c>
      <c r="V210" s="345">
        <f t="shared" si="105"/>
        <v>144552529</v>
      </c>
      <c r="X210" s="371">
        <f t="shared" si="99"/>
        <v>16.532144326055555</v>
      </c>
      <c r="Y210" s="372">
        <f t="shared" si="100"/>
        <v>-33.00638227064394</v>
      </c>
      <c r="AA210" s="371">
        <f t="shared" si="101"/>
        <v>35.154599459345135</v>
      </c>
      <c r="AB210" s="372">
        <f t="shared" si="102"/>
        <v>-105.28570395467284</v>
      </c>
      <c r="AD210">
        <f t="shared" si="106"/>
        <v>0</v>
      </c>
      <c r="AE210">
        <f t="shared" si="81"/>
        <v>0</v>
      </c>
    </row>
    <row r="211" spans="1:31" x14ac:dyDescent="0.2">
      <c r="A211" s="373">
        <v>12093</v>
      </c>
      <c r="B211" s="390">
        <f t="shared" si="103"/>
        <v>12.093</v>
      </c>
      <c r="C211" s="363">
        <f t="shared" si="84"/>
        <v>17.054608054554166</v>
      </c>
      <c r="D211" s="364">
        <f t="shared" si="85"/>
        <v>1.5121274966939513</v>
      </c>
      <c r="E211" s="364">
        <f t="shared" si="86"/>
        <v>1.0112535977601758</v>
      </c>
      <c r="F211" s="365">
        <f t="shared" si="87"/>
        <v>0.14932558509756269</v>
      </c>
      <c r="G211" s="364">
        <f t="shared" si="88"/>
        <v>1.0365525107957503</v>
      </c>
      <c r="H211" s="365">
        <f t="shared" si="89"/>
        <v>-0.26635601755712796</v>
      </c>
      <c r="I211" s="363">
        <f t="shared" si="90"/>
        <v>50163.634343507278</v>
      </c>
      <c r="J211" s="366">
        <f t="shared" si="91"/>
        <v>1.5707763920351219</v>
      </c>
      <c r="K211" s="374">
        <f t="shared" si="82"/>
        <v>15.177822456159793</v>
      </c>
      <c r="L211" s="375">
        <f t="shared" si="83"/>
        <v>1.5048629621580036</v>
      </c>
      <c r="M211" s="363">
        <f t="shared" si="92"/>
        <v>1.1472577613857744</v>
      </c>
      <c r="N211" s="366">
        <f t="shared" si="93"/>
        <v>0.51225040931783505</v>
      </c>
      <c r="O211" s="367">
        <f t="shared" si="94"/>
        <v>1.0130204098333175</v>
      </c>
      <c r="P211" s="368">
        <f t="shared" si="95"/>
        <v>0.21058959588613002</v>
      </c>
      <c r="Q211" s="369">
        <f t="shared" si="96"/>
        <v>-8.93306140089088</v>
      </c>
      <c r="R211" s="370">
        <f t="shared" si="97"/>
        <v>-138.5361165656623</v>
      </c>
      <c r="S211" s="372">
        <f t="shared" si="98"/>
        <v>41.463883434337703</v>
      </c>
      <c r="U211" s="345">
        <f t="shared" si="104"/>
        <v>12093</v>
      </c>
      <c r="V211" s="345">
        <f t="shared" si="105"/>
        <v>146240649</v>
      </c>
      <c r="X211" s="371">
        <f t="shared" si="99"/>
        <v>16.519863739981801</v>
      </c>
      <c r="Y211" s="372">
        <f t="shared" si="100"/>
        <v>-33.126347890803586</v>
      </c>
      <c r="AA211" s="371">
        <f t="shared" si="101"/>
        <v>35.107649331132194</v>
      </c>
      <c r="AB211" s="372">
        <f t="shared" si="102"/>
        <v>-105.4097686748587</v>
      </c>
      <c r="AD211">
        <f t="shared" si="106"/>
        <v>0</v>
      </c>
      <c r="AE211">
        <f t="shared" si="81"/>
        <v>0</v>
      </c>
    </row>
    <row r="212" spans="1:31" x14ac:dyDescent="0.2">
      <c r="A212" s="373">
        <v>12163</v>
      </c>
      <c r="B212" s="390">
        <f t="shared" si="103"/>
        <v>12.163</v>
      </c>
      <c r="C212" s="363">
        <f t="shared" si="84"/>
        <v>17.152989752380655</v>
      </c>
      <c r="D212" s="364">
        <f t="shared" si="85"/>
        <v>1.5124643775332107</v>
      </c>
      <c r="E212" s="364">
        <f t="shared" si="86"/>
        <v>1.0113835217554548</v>
      </c>
      <c r="F212" s="365">
        <f t="shared" si="87"/>
        <v>0.1501770508752828</v>
      </c>
      <c r="G212" s="364">
        <f t="shared" si="88"/>
        <v>1.0369693353835812</v>
      </c>
      <c r="H212" s="365">
        <f t="shared" si="89"/>
        <v>-0.26782532722035973</v>
      </c>
      <c r="I212" s="363">
        <f t="shared" si="90"/>
        <v>50454.005169824493</v>
      </c>
      <c r="J212" s="366">
        <f t="shared" si="91"/>
        <v>1.5707765067628356</v>
      </c>
      <c r="K212" s="374">
        <f t="shared" si="82"/>
        <v>15.265298582327432</v>
      </c>
      <c r="L212" s="375">
        <f t="shared" si="83"/>
        <v>1.5052413298319232</v>
      </c>
      <c r="M212" s="363">
        <f t="shared" si="92"/>
        <v>1.1488566491139618</v>
      </c>
      <c r="N212" s="366">
        <f t="shared" si="93"/>
        <v>0.51471996469752224</v>
      </c>
      <c r="O212" s="367">
        <f t="shared" si="94"/>
        <v>1.0131711077686147</v>
      </c>
      <c r="P212" s="368">
        <f t="shared" si="95"/>
        <v>0.21179511077034227</v>
      </c>
      <c r="Q212" s="369">
        <f t="shared" si="96"/>
        <v>-8.9920202660357482</v>
      </c>
      <c r="R212" s="370">
        <f t="shared" si="97"/>
        <v>-138.77971198139628</v>
      </c>
      <c r="S212" s="372">
        <f t="shared" si="98"/>
        <v>41.220288018603725</v>
      </c>
      <c r="U212" s="345">
        <f t="shared" si="104"/>
        <v>12163</v>
      </c>
      <c r="V212" s="345">
        <f t="shared" si="105"/>
        <v>147938569</v>
      </c>
      <c r="X212" s="371">
        <f t="shared" si="99"/>
        <v>16.507550609414995</v>
      </c>
      <c r="Y212" s="372">
        <f t="shared" si="100"/>
        <v>-33.246170694064439</v>
      </c>
      <c r="AA212" s="371">
        <f t="shared" si="101"/>
        <v>35.06100359655413</v>
      </c>
      <c r="AB212" s="372">
        <f t="shared" si="102"/>
        <v>-105.53354128733187</v>
      </c>
      <c r="AD212">
        <f t="shared" si="106"/>
        <v>0</v>
      </c>
      <c r="AE212">
        <f t="shared" si="81"/>
        <v>0</v>
      </c>
    </row>
    <row r="213" spans="1:31" x14ac:dyDescent="0.2">
      <c r="A213" s="373">
        <v>12233</v>
      </c>
      <c r="B213" s="390">
        <f t="shared" si="103"/>
        <v>12.233000000000001</v>
      </c>
      <c r="C213" s="363">
        <f t="shared" si="84"/>
        <v>17.251373374674444</v>
      </c>
      <c r="D213" s="364">
        <f t="shared" si="85"/>
        <v>1.512797415984551</v>
      </c>
      <c r="E213" s="364">
        <f t="shared" si="86"/>
        <v>1.0115141788090152</v>
      </c>
      <c r="F213" s="365">
        <f t="shared" si="87"/>
        <v>0.15102829730274195</v>
      </c>
      <c r="G213" s="364">
        <f t="shared" si="88"/>
        <v>1.0373883968524886</v>
      </c>
      <c r="H213" s="365">
        <f t="shared" si="89"/>
        <v>-0.26929345297181168</v>
      </c>
      <c r="I213" s="363">
        <f t="shared" si="90"/>
        <v>50744.375996142371</v>
      </c>
      <c r="J213" s="366">
        <f t="shared" si="91"/>
        <v>1.5707766201775537</v>
      </c>
      <c r="K213" s="374">
        <f t="shared" si="82"/>
        <v>15.352776869003224</v>
      </c>
      <c r="L213" s="375">
        <f t="shared" si="83"/>
        <v>1.5056153857713663</v>
      </c>
      <c r="M213" s="363">
        <f t="shared" si="92"/>
        <v>1.1504625238785808</v>
      </c>
      <c r="N213" s="366">
        <f t="shared" si="93"/>
        <v>0.51718264079664855</v>
      </c>
      <c r="O213" s="367">
        <f t="shared" si="94"/>
        <v>1.0133226646460343</v>
      </c>
      <c r="P213" s="368">
        <f t="shared" si="95"/>
        <v>0.21300039618592842</v>
      </c>
      <c r="Q213" s="369">
        <f t="shared" si="96"/>
        <v>-9.0507102885945088</v>
      </c>
      <c r="R213" s="370">
        <f t="shared" si="97"/>
        <v>-139.02287164684745</v>
      </c>
      <c r="S213" s="372">
        <f t="shared" si="98"/>
        <v>40.977128353152551</v>
      </c>
      <c r="U213" s="345">
        <f t="shared" si="104"/>
        <v>12233</v>
      </c>
      <c r="V213" s="345">
        <f t="shared" si="105"/>
        <v>149646289</v>
      </c>
      <c r="X213" s="371">
        <f t="shared" si="99"/>
        <v>16.495205244125426</v>
      </c>
      <c r="Y213" s="372">
        <f t="shared" si="100"/>
        <v>-33.365846312541656</v>
      </c>
      <c r="AA213" s="371">
        <f t="shared" si="101"/>
        <v>35.014658939284935</v>
      </c>
      <c r="AB213" s="372">
        <f t="shared" si="102"/>
        <v>-105.65702533430577</v>
      </c>
      <c r="AD213">
        <f t="shared" si="106"/>
        <v>0</v>
      </c>
      <c r="AE213">
        <f t="shared" si="81"/>
        <v>0</v>
      </c>
    </row>
    <row r="214" spans="1:31" x14ac:dyDescent="0.2">
      <c r="A214" s="373">
        <v>12303</v>
      </c>
      <c r="B214" s="390">
        <f t="shared" si="103"/>
        <v>12.303000000000001</v>
      </c>
      <c r="C214" s="363">
        <f t="shared" si="84"/>
        <v>17.349758888696861</v>
      </c>
      <c r="D214" s="364">
        <f t="shared" si="85"/>
        <v>1.5131266773407031</v>
      </c>
      <c r="E214" s="364">
        <f t="shared" si="86"/>
        <v>1.0116455686368269</v>
      </c>
      <c r="F214" s="365">
        <f t="shared" si="87"/>
        <v>0.15187932323150838</v>
      </c>
      <c r="G214" s="364">
        <f t="shared" si="88"/>
        <v>1.037809692492754</v>
      </c>
      <c r="H214" s="365">
        <f t="shared" si="89"/>
        <v>-0.27076038992072438</v>
      </c>
      <c r="I214" s="363">
        <f t="shared" si="90"/>
        <v>51034.746822460882</v>
      </c>
      <c r="J214" s="366">
        <f t="shared" si="91"/>
        <v>1.570776732301687</v>
      </c>
      <c r="K214" s="374">
        <f t="shared" si="82"/>
        <v>15.440257279465454</v>
      </c>
      <c r="L214" s="375">
        <f t="shared" si="83"/>
        <v>1.5059852031581973</v>
      </c>
      <c r="M214" s="363">
        <f t="shared" si="92"/>
        <v>1.1520753564619977</v>
      </c>
      <c r="N214" s="366">
        <f t="shared" si="93"/>
        <v>0.51963843657360753</v>
      </c>
      <c r="O214" s="367">
        <f t="shared" si="94"/>
        <v>1.0134750802831465</v>
      </c>
      <c r="P214" s="368">
        <f t="shared" si="95"/>
        <v>0.21420545092218143</v>
      </c>
      <c r="Q214" s="369">
        <f t="shared" si="96"/>
        <v>-9.1091344191513013</v>
      </c>
      <c r="R214" s="370">
        <f t="shared" si="97"/>
        <v>-139.26559476781802</v>
      </c>
      <c r="S214" s="372">
        <f t="shared" si="98"/>
        <v>40.734405232181985</v>
      </c>
      <c r="U214" s="345">
        <f t="shared" si="104"/>
        <v>12303</v>
      </c>
      <c r="V214" s="345">
        <f t="shared" si="105"/>
        <v>151363809</v>
      </c>
      <c r="X214" s="371">
        <f t="shared" si="99"/>
        <v>16.482827954736607</v>
      </c>
      <c r="Y214" s="372">
        <f t="shared" si="100"/>
        <v>-33.485370494827663</v>
      </c>
      <c r="AA214" s="371">
        <f t="shared" si="101"/>
        <v>34.968612098116964</v>
      </c>
      <c r="AB214" s="372">
        <f t="shared" si="102"/>
        <v>-105.78022427299034</v>
      </c>
      <c r="AD214">
        <f t="shared" si="106"/>
        <v>0</v>
      </c>
      <c r="AE214">
        <f t="shared" si="81"/>
        <v>0</v>
      </c>
    </row>
    <row r="215" spans="1:31" x14ac:dyDescent="0.2">
      <c r="A215" s="373">
        <v>12374.5</v>
      </c>
      <c r="B215" s="390">
        <f t="shared" si="103"/>
        <v>12.374499999999999</v>
      </c>
      <c r="C215" s="363">
        <f t="shared" si="84"/>
        <v>17.450254583433768</v>
      </c>
      <c r="D215" s="364">
        <f t="shared" si="85"/>
        <v>1.51345916128044</v>
      </c>
      <c r="E215" s="364">
        <f t="shared" si="86"/>
        <v>1.0117805301600673</v>
      </c>
      <c r="F215" s="365">
        <f t="shared" si="87"/>
        <v>0.15274835660128067</v>
      </c>
      <c r="G215" s="364">
        <f t="shared" si="88"/>
        <v>1.0382423195657844</v>
      </c>
      <c r="H215" s="365">
        <f t="shared" si="89"/>
        <v>-0.27225752889035804</v>
      </c>
      <c r="I215" s="363">
        <f t="shared" si="90"/>
        <v>51331.339880772597</v>
      </c>
      <c r="J215" s="366">
        <f t="shared" si="91"/>
        <v>1.5707768455188889</v>
      </c>
      <c r="K215" s="374">
        <f t="shared" ref="K215:K278" si="107">SQRT(1+(A215/Zero2)^2)</f>
        <v>15.529614425373223</v>
      </c>
      <c r="L215" s="375">
        <f t="shared" ref="L215:L278" si="108">ATAN(A215/Zero2)</f>
        <v>1.5063586438101364</v>
      </c>
      <c r="M215" s="363">
        <f t="shared" si="92"/>
        <v>1.1537299024639609</v>
      </c>
      <c r="N215" s="366">
        <f t="shared" si="93"/>
        <v>0.52213975276079272</v>
      </c>
      <c r="O215" s="367">
        <f t="shared" si="94"/>
        <v>1.0136316483388417</v>
      </c>
      <c r="P215" s="368">
        <f t="shared" si="95"/>
        <v>0.2154360888559998</v>
      </c>
      <c r="Q215" s="369">
        <f t="shared" si="96"/>
        <v>-9.1685390065364487</v>
      </c>
      <c r="R215" s="370">
        <f t="shared" si="97"/>
        <v>-139.51306762864729</v>
      </c>
      <c r="S215" s="372">
        <f t="shared" si="98"/>
        <v>40.486932371352708</v>
      </c>
      <c r="U215" s="345">
        <f t="shared" si="104"/>
        <v>12374.5</v>
      </c>
      <c r="V215" s="345">
        <f t="shared" si="105"/>
        <v>153128250.25</v>
      </c>
      <c r="X215" s="371">
        <f t="shared" si="99"/>
        <v>16.470152803912082</v>
      </c>
      <c r="Y215" s="372">
        <f t="shared" si="100"/>
        <v>-33.607295269333569</v>
      </c>
      <c r="AA215" s="371">
        <f t="shared" si="101"/>
        <v>34.921882661556339</v>
      </c>
      <c r="AB215" s="372">
        <f t="shared" si="102"/>
        <v>-105.90577235931369</v>
      </c>
      <c r="AD215">
        <f t="shared" si="106"/>
        <v>0</v>
      </c>
      <c r="AE215">
        <f t="shared" si="81"/>
        <v>0</v>
      </c>
    </row>
    <row r="216" spans="1:31" x14ac:dyDescent="0.2">
      <c r="A216" s="373">
        <v>12446</v>
      </c>
      <c r="B216" s="390">
        <f t="shared" si="103"/>
        <v>12.446</v>
      </c>
      <c r="C216" s="363">
        <f t="shared" si="84"/>
        <v>17.550752185127415</v>
      </c>
      <c r="D216" s="364">
        <f t="shared" si="85"/>
        <v>1.5137878375745117</v>
      </c>
      <c r="E216" s="364">
        <f t="shared" si="86"/>
        <v>1.0119162555950254</v>
      </c>
      <c r="F216" s="365">
        <f t="shared" si="87"/>
        <v>0.15361715750511781</v>
      </c>
      <c r="G216" s="364">
        <f t="shared" si="88"/>
        <v>1.0386772718395725</v>
      </c>
      <c r="H216" s="365">
        <f t="shared" si="89"/>
        <v>-0.27375341733891667</v>
      </c>
      <c r="I216" s="363">
        <f t="shared" si="90"/>
        <v>51627.93293908496</v>
      </c>
      <c r="J216" s="366">
        <f t="shared" si="91"/>
        <v>1.5707769574352664</v>
      </c>
      <c r="K216" s="374">
        <f t="shared" si="107"/>
        <v>15.618973712228017</v>
      </c>
      <c r="L216" s="375">
        <f t="shared" si="108"/>
        <v>1.5067278114550624</v>
      </c>
      <c r="M216" s="363">
        <f t="shared" si="92"/>
        <v>1.1553916461723042</v>
      </c>
      <c r="N216" s="366">
        <f t="shared" si="93"/>
        <v>0.5246338894721817</v>
      </c>
      <c r="O216" s="367">
        <f t="shared" si="94"/>
        <v>1.013789111964905</v>
      </c>
      <c r="P216" s="368">
        <f t="shared" si="95"/>
        <v>0.21666648357071364</v>
      </c>
      <c r="Q216" s="369">
        <f t="shared" si="96"/>
        <v>-9.227672234331326</v>
      </c>
      <c r="R216" s="370">
        <f t="shared" si="97"/>
        <v>-139.76008345883221</v>
      </c>
      <c r="S216" s="372">
        <f t="shared" si="98"/>
        <v>40.239916541167787</v>
      </c>
      <c r="U216" s="345">
        <f t="shared" si="104"/>
        <v>12446</v>
      </c>
      <c r="V216" s="345">
        <f t="shared" si="105"/>
        <v>154902916</v>
      </c>
      <c r="X216" s="371">
        <f t="shared" si="99"/>
        <v>16.45744500354439</v>
      </c>
      <c r="Y216" s="372">
        <f t="shared" si="100"/>
        <v>-33.729053440912963</v>
      </c>
      <c r="AA216" s="371">
        <f t="shared" si="101"/>
        <v>34.875457234129158</v>
      </c>
      <c r="AB216" s="372">
        <f t="shared" si="102"/>
        <v>-106.03103001791921</v>
      </c>
      <c r="AD216">
        <f t="shared" si="106"/>
        <v>0</v>
      </c>
      <c r="AE216">
        <f t="shared" si="81"/>
        <v>0</v>
      </c>
    </row>
    <row r="217" spans="1:31" x14ac:dyDescent="0.2">
      <c r="A217" s="373">
        <v>12517.5</v>
      </c>
      <c r="B217" s="390">
        <f t="shared" si="103"/>
        <v>12.5175</v>
      </c>
      <c r="C217" s="363">
        <f t="shared" si="84"/>
        <v>17.651251661205954</v>
      </c>
      <c r="D217" s="364">
        <f t="shared" si="85"/>
        <v>1.5141127711891267</v>
      </c>
      <c r="E217" s="364">
        <f t="shared" si="86"/>
        <v>1.012052744634359</v>
      </c>
      <c r="F217" s="365">
        <f t="shared" si="87"/>
        <v>0.1544857247252443</v>
      </c>
      <c r="G217" s="364">
        <f t="shared" si="88"/>
        <v>1.0391145463942726</v>
      </c>
      <c r="H217" s="365">
        <f t="shared" si="89"/>
        <v>-0.27524805014630099</v>
      </c>
      <c r="I217" s="363">
        <f t="shared" si="90"/>
        <v>51924.525997397963</v>
      </c>
      <c r="J217" s="366">
        <f t="shared" si="91"/>
        <v>1.5707770680731106</v>
      </c>
      <c r="K217" s="374">
        <f t="shared" si="107"/>
        <v>15.708335103492518</v>
      </c>
      <c r="L217" s="375">
        <f t="shared" si="108"/>
        <v>1.5070927789161781</v>
      </c>
      <c r="M217" s="363">
        <f t="shared" si="92"/>
        <v>1.157060556575487</v>
      </c>
      <c r="N217" s="366">
        <f t="shared" si="93"/>
        <v>0.52712084667702142</v>
      </c>
      <c r="O217" s="367">
        <f t="shared" si="94"/>
        <v>1.0139474709639966</v>
      </c>
      <c r="P217" s="368">
        <f t="shared" si="95"/>
        <v>0.21789663378197599</v>
      </c>
      <c r="Q217" s="369">
        <f t="shared" si="96"/>
        <v>-9.286537074560016</v>
      </c>
      <c r="R217" s="370">
        <f t="shared" si="97"/>
        <v>-140.00664151054096</v>
      </c>
      <c r="S217" s="372">
        <f t="shared" si="98"/>
        <v>39.993358489459041</v>
      </c>
      <c r="U217" s="345">
        <f t="shared" si="104"/>
        <v>12517.5</v>
      </c>
      <c r="V217" s="345">
        <f t="shared" si="105"/>
        <v>156687806.25</v>
      </c>
      <c r="X217" s="371">
        <f t="shared" si="99"/>
        <v>16.444704886765095</v>
      </c>
      <c r="Y217" s="372">
        <f t="shared" si="100"/>
        <v>-33.850640836618879</v>
      </c>
      <c r="AA217" s="371">
        <f t="shared" si="101"/>
        <v>34.829332510679755</v>
      </c>
      <c r="AB217" s="372">
        <f t="shared" si="102"/>
        <v>-106.15600067392208</v>
      </c>
      <c r="AD217">
        <f t="shared" si="106"/>
        <v>0</v>
      </c>
      <c r="AE217">
        <f t="shared" si="81"/>
        <v>0</v>
      </c>
    </row>
    <row r="218" spans="1:31" x14ac:dyDescent="0.2">
      <c r="A218" s="373">
        <v>12589</v>
      </c>
      <c r="B218" s="390">
        <f t="shared" si="103"/>
        <v>12.589</v>
      </c>
      <c r="C218" s="363">
        <f t="shared" si="84"/>
        <v>17.751752979834563</v>
      </c>
      <c r="D218" s="364">
        <f t="shared" si="85"/>
        <v>1.5144340256224744</v>
      </c>
      <c r="E218" s="364">
        <f t="shared" si="86"/>
        <v>1.0121899969691626</v>
      </c>
      <c r="F218" s="365">
        <f t="shared" si="87"/>
        <v>0.15535405704594984</v>
      </c>
      <c r="G218" s="364">
        <f t="shared" si="88"/>
        <v>1.0395541402993753</v>
      </c>
      <c r="H218" s="365">
        <f t="shared" si="89"/>
        <v>-0.27674142222344378</v>
      </c>
      <c r="I218" s="363">
        <f t="shared" si="90"/>
        <v>52221.119055711591</v>
      </c>
      <c r="J218" s="366">
        <f t="shared" si="91"/>
        <v>1.5707771774542056</v>
      </c>
      <c r="K218" s="374">
        <f t="shared" si="107"/>
        <v>15.797698563455256</v>
      </c>
      <c r="L218" s="375">
        <f t="shared" si="108"/>
        <v>1.5074536173734534</v>
      </c>
      <c r="M218" s="363">
        <f t="shared" si="92"/>
        <v>1.1587366027072712</v>
      </c>
      <c r="N218" s="366">
        <f t="shared" si="93"/>
        <v>0.52960062469997349</v>
      </c>
      <c r="O218" s="367">
        <f t="shared" si="94"/>
        <v>1.0141067251377942</v>
      </c>
      <c r="P218" s="368">
        <f t="shared" si="95"/>
        <v>0.21912653820743511</v>
      </c>
      <c r="Q218" s="369">
        <f t="shared" si="96"/>
        <v>-9.3451364439395448</v>
      </c>
      <c r="R218" s="370">
        <f t="shared" si="97"/>
        <v>-140.25274106808951</v>
      </c>
      <c r="S218" s="372">
        <f t="shared" si="98"/>
        <v>39.747258931910494</v>
      </c>
      <c r="U218" s="345">
        <f t="shared" si="104"/>
        <v>12589</v>
      </c>
      <c r="V218" s="345">
        <f t="shared" si="105"/>
        <v>158482921</v>
      </c>
      <c r="X218" s="371">
        <f t="shared" si="99"/>
        <v>16.431932787210059</v>
      </c>
      <c r="Y218" s="372">
        <f t="shared" si="100"/>
        <v>-33.972053397989264</v>
      </c>
      <c r="AA218" s="371">
        <f t="shared" si="101"/>
        <v>34.78350524085527</v>
      </c>
      <c r="AB218" s="372">
        <f t="shared" si="102"/>
        <v>-106.28068767010026</v>
      </c>
      <c r="AD218">
        <f t="shared" si="106"/>
        <v>0</v>
      </c>
      <c r="AE218">
        <f t="shared" ref="AE218:AE281" si="109">IF(AD218&gt;0,S218,0)</f>
        <v>0</v>
      </c>
    </row>
    <row r="219" spans="1:31" x14ac:dyDescent="0.2">
      <c r="A219" s="373">
        <v>12662.25</v>
      </c>
      <c r="B219" s="390">
        <f t="shared" si="103"/>
        <v>12.66225</v>
      </c>
      <c r="C219" s="363">
        <f t="shared" si="84"/>
        <v>17.85471599916599</v>
      </c>
      <c r="D219" s="364">
        <f t="shared" si="85"/>
        <v>1.5147593924534823</v>
      </c>
      <c r="E219" s="364">
        <f t="shared" si="86"/>
        <v>1.0123313998494352</v>
      </c>
      <c r="F219" s="365">
        <f t="shared" si="87"/>
        <v>0.15624339739310408</v>
      </c>
      <c r="G219" s="364">
        <f t="shared" si="88"/>
        <v>1.0400068956170525</v>
      </c>
      <c r="H219" s="365">
        <f t="shared" si="89"/>
        <v>-0.27827003268420086</v>
      </c>
      <c r="I219" s="363">
        <f t="shared" si="90"/>
        <v>52524.971384683886</v>
      </c>
      <c r="J219" s="366">
        <f t="shared" si="91"/>
        <v>1.5707772882314535</v>
      </c>
      <c r="K219" s="374">
        <f t="shared" si="107"/>
        <v>15.889251349744928</v>
      </c>
      <c r="L219" s="375">
        <f t="shared" si="108"/>
        <v>1.5078190784482703</v>
      </c>
      <c r="M219" s="363">
        <f t="shared" si="92"/>
        <v>1.1604610384641088</v>
      </c>
      <c r="N219" s="366">
        <f t="shared" si="93"/>
        <v>0.53213365239594801</v>
      </c>
      <c r="O219" s="367">
        <f t="shared" si="94"/>
        <v>1.0142708052402889</v>
      </c>
      <c r="P219" s="368">
        <f t="shared" si="95"/>
        <v>0.22038628896717866</v>
      </c>
      <c r="Q219" s="369">
        <f t="shared" si="96"/>
        <v>-9.404897759515892</v>
      </c>
      <c r="R219" s="370">
        <f t="shared" si="97"/>
        <v>-140.50438786211188</v>
      </c>
      <c r="S219" s="372">
        <f t="shared" si="98"/>
        <v>39.495612137888116</v>
      </c>
      <c r="U219" s="345">
        <f t="shared" si="104"/>
        <v>12662.25</v>
      </c>
      <c r="V219" s="345">
        <f t="shared" si="105"/>
        <v>160332575.0625</v>
      </c>
      <c r="X219" s="371">
        <f t="shared" si="99"/>
        <v>16.418815266506261</v>
      </c>
      <c r="Y219" s="372">
        <f t="shared" si="100"/>
        <v>-34.096252164405712</v>
      </c>
      <c r="AA219" s="371">
        <f t="shared" si="101"/>
        <v>34.736861445982719</v>
      </c>
      <c r="AB219" s="372">
        <f t="shared" si="102"/>
        <v>-106.40813569770619</v>
      </c>
      <c r="AD219">
        <f t="shared" si="106"/>
        <v>0</v>
      </c>
      <c r="AE219">
        <f t="shared" si="109"/>
        <v>0</v>
      </c>
    </row>
    <row r="220" spans="1:31" x14ac:dyDescent="0.2">
      <c r="A220" s="373">
        <v>12735.5</v>
      </c>
      <c r="B220" s="390">
        <f t="shared" si="103"/>
        <v>12.7355</v>
      </c>
      <c r="C220" s="363">
        <f t="shared" si="84"/>
        <v>17.957680886986292</v>
      </c>
      <c r="D220" s="364">
        <f t="shared" si="85"/>
        <v>1.5150810281728109</v>
      </c>
      <c r="E220" s="364">
        <f t="shared" si="86"/>
        <v>1.0124736031851722</v>
      </c>
      <c r="F220" s="365">
        <f t="shared" si="87"/>
        <v>0.15713248862510484</v>
      </c>
      <c r="G220" s="364">
        <f t="shared" si="88"/>
        <v>1.0404620789485344</v>
      </c>
      <c r="H220" s="365">
        <f t="shared" si="89"/>
        <v>-0.27979730923224311</v>
      </c>
      <c r="I220" s="363">
        <f t="shared" si="90"/>
        <v>52828.82371365682</v>
      </c>
      <c r="J220" s="366">
        <f t="shared" si="91"/>
        <v>1.5707773977343997</v>
      </c>
      <c r="K220" s="374">
        <f t="shared" si="107"/>
        <v>15.980806233915603</v>
      </c>
      <c r="L220" s="375">
        <f t="shared" si="108"/>
        <v>1.5081803520792247</v>
      </c>
      <c r="M220" s="363">
        <f t="shared" si="92"/>
        <v>1.1621928978814773</v>
      </c>
      <c r="N220" s="366">
        <f t="shared" si="93"/>
        <v>0.53465914699646233</v>
      </c>
      <c r="O220" s="367">
        <f t="shared" si="94"/>
        <v>1.0144358244489444</v>
      </c>
      <c r="P220" s="368">
        <f t="shared" si="95"/>
        <v>0.22164577904413951</v>
      </c>
      <c r="Q220" s="369">
        <f t="shared" si="96"/>
        <v>-9.464386475257422</v>
      </c>
      <c r="R220" s="370">
        <f t="shared" si="97"/>
        <v>-140.75555202410808</v>
      </c>
      <c r="S220" s="372">
        <f t="shared" si="98"/>
        <v>39.244447975891916</v>
      </c>
      <c r="U220" s="345">
        <f t="shared" si="104"/>
        <v>12735.5</v>
      </c>
      <c r="V220" s="345">
        <f t="shared" si="105"/>
        <v>162192960.25</v>
      </c>
      <c r="X220" s="371">
        <f t="shared" si="99"/>
        <v>16.405664888387413</v>
      </c>
      <c r="Y220" s="372">
        <f t="shared" si="100"/>
        <v>-34.220259166093591</v>
      </c>
      <c r="AA220" s="371">
        <f t="shared" si="101"/>
        <v>34.69052310836004</v>
      </c>
      <c r="AB220" s="372">
        <f t="shared" si="102"/>
        <v>-106.53529285801453</v>
      </c>
      <c r="AD220">
        <f t="shared" si="106"/>
        <v>0</v>
      </c>
      <c r="AE220">
        <f t="shared" si="109"/>
        <v>0</v>
      </c>
    </row>
    <row r="221" spans="1:31" x14ac:dyDescent="0.2">
      <c r="A221" s="373">
        <v>12808.75</v>
      </c>
      <c r="B221" s="390">
        <f t="shared" si="103"/>
        <v>12.80875</v>
      </c>
      <c r="C221" s="363">
        <f t="shared" si="84"/>
        <v>18.060647611338354</v>
      </c>
      <c r="D221" s="364">
        <f t="shared" si="85"/>
        <v>1.5153989965283836</v>
      </c>
      <c r="E221" s="364">
        <f t="shared" si="86"/>
        <v>1.0126166066391462</v>
      </c>
      <c r="F221" s="365">
        <f t="shared" si="87"/>
        <v>0.15802132944157701</v>
      </c>
      <c r="G221" s="364">
        <f t="shared" si="88"/>
        <v>1.0409196871085855</v>
      </c>
      <c r="H221" s="365">
        <f t="shared" si="89"/>
        <v>-0.28132324649720897</v>
      </c>
      <c r="I221" s="363">
        <f t="shared" si="90"/>
        <v>53132.676042630381</v>
      </c>
      <c r="J221" s="366">
        <f t="shared" si="91"/>
        <v>1.5707775059849065</v>
      </c>
      <c r="K221" s="374">
        <f t="shared" si="107"/>
        <v>16.072363180116064</v>
      </c>
      <c r="L221" s="375">
        <f t="shared" si="108"/>
        <v>1.5085375097330875</v>
      </c>
      <c r="M221" s="363">
        <f t="shared" si="92"/>
        <v>1.1639321478215272</v>
      </c>
      <c r="N221" s="366">
        <f t="shared" si="93"/>
        <v>0.53717710998397783</v>
      </c>
      <c r="O221" s="367">
        <f t="shared" si="94"/>
        <v>1.0146017825473275</v>
      </c>
      <c r="P221" s="368">
        <f t="shared" si="95"/>
        <v>0.22290500706605706</v>
      </c>
      <c r="Q221" s="369">
        <f t="shared" si="96"/>
        <v>-9.5236055552849823</v>
      </c>
      <c r="R221" s="370">
        <f t="shared" si="97"/>
        <v>-141.00623288619431</v>
      </c>
      <c r="S221" s="372">
        <f t="shared" si="98"/>
        <v>38.993767113805688</v>
      </c>
      <c r="U221" s="345">
        <f t="shared" si="104"/>
        <v>12808.75</v>
      </c>
      <c r="V221" s="345">
        <f t="shared" si="105"/>
        <v>164064076.5625</v>
      </c>
      <c r="X221" s="371">
        <f t="shared" si="99"/>
        <v>16.392482012610664</v>
      </c>
      <c r="Y221" s="372">
        <f t="shared" si="100"/>
        <v>-34.344070394499873</v>
      </c>
      <c r="AA221" s="371">
        <f t="shared" si="101"/>
        <v>34.644486904109229</v>
      </c>
      <c r="AB221" s="372">
        <f t="shared" si="102"/>
        <v>-106.66216249169446</v>
      </c>
      <c r="AD221">
        <f t="shared" si="106"/>
        <v>0</v>
      </c>
      <c r="AE221">
        <f t="shared" si="109"/>
        <v>0</v>
      </c>
    </row>
    <row r="222" spans="1:31" x14ac:dyDescent="0.2">
      <c r="A222" s="373">
        <v>12882</v>
      </c>
      <c r="B222" s="390">
        <f t="shared" si="103"/>
        <v>12.882</v>
      </c>
      <c r="C222" s="363">
        <f t="shared" si="84"/>
        <v>18.163616140989127</v>
      </c>
      <c r="D222" s="364">
        <f t="shared" si="85"/>
        <v>1.5157133598255952</v>
      </c>
      <c r="E222" s="364">
        <f t="shared" si="86"/>
        <v>1.012760409872423</v>
      </c>
      <c r="F222" s="365">
        <f t="shared" si="87"/>
        <v>0.15890991854446057</v>
      </c>
      <c r="G222" s="364">
        <f t="shared" si="88"/>
        <v>1.0413797169006156</v>
      </c>
      <c r="H222" s="365">
        <f t="shared" si="89"/>
        <v>-0.2828478391430993</v>
      </c>
      <c r="I222" s="363">
        <f t="shared" si="90"/>
        <v>53436.52837160456</v>
      </c>
      <c r="J222" s="366">
        <f t="shared" si="91"/>
        <v>1.5707776130043392</v>
      </c>
      <c r="K222" s="374">
        <f t="shared" si="107"/>
        <v>16.163922153306583</v>
      </c>
      <c r="L222" s="375">
        <f t="shared" si="108"/>
        <v>1.5088906212616182</v>
      </c>
      <c r="M222" s="363">
        <f t="shared" si="92"/>
        <v>1.1656787552031906</v>
      </c>
      <c r="N222" s="366">
        <f t="shared" si="93"/>
        <v>0.53968754321413692</v>
      </c>
      <c r="O222" s="367">
        <f t="shared" si="94"/>
        <v>1.0147686793179342</v>
      </c>
      <c r="P222" s="368">
        <f t="shared" si="95"/>
        <v>0.22416397166290744</v>
      </c>
      <c r="Q222" s="369">
        <f t="shared" si="96"/>
        <v>-9.5825579084351027</v>
      </c>
      <c r="R222" s="370">
        <f t="shared" si="97"/>
        <v>-141.25642981368696</v>
      </c>
      <c r="S222" s="372">
        <f t="shared" si="98"/>
        <v>38.743570186313036</v>
      </c>
      <c r="U222" s="345">
        <f t="shared" si="104"/>
        <v>12882</v>
      </c>
      <c r="V222" s="345">
        <f t="shared" si="105"/>
        <v>165945924</v>
      </c>
      <c r="X222" s="371">
        <f t="shared" si="99"/>
        <v>16.379266999077476</v>
      </c>
      <c r="Y222" s="372">
        <f t="shared" si="100"/>
        <v>-34.467681954958223</v>
      </c>
      <c r="AA222" s="371">
        <f t="shared" si="101"/>
        <v>34.598749564492294</v>
      </c>
      <c r="AB222" s="372">
        <f t="shared" si="102"/>
        <v>-106.78874785872871</v>
      </c>
      <c r="AD222">
        <f t="shared" si="106"/>
        <v>0</v>
      </c>
      <c r="AE222">
        <f t="shared" si="109"/>
        <v>0</v>
      </c>
    </row>
    <row r="223" spans="1:31" x14ac:dyDescent="0.2">
      <c r="A223" s="373">
        <v>12957.25</v>
      </c>
      <c r="B223" s="390">
        <f t="shared" si="103"/>
        <v>12.95725</v>
      </c>
      <c r="C223" s="363">
        <f t="shared" si="84"/>
        <v>18.269397945903954</v>
      </c>
      <c r="D223" s="364">
        <f t="shared" si="85"/>
        <v>1.516032616359259</v>
      </c>
      <c r="E223" s="364">
        <f t="shared" si="86"/>
        <v>1.0129089719487736</v>
      </c>
      <c r="F223" s="365">
        <f t="shared" si="87"/>
        <v>0.15982250598780071</v>
      </c>
      <c r="G223" s="364">
        <f t="shared" si="88"/>
        <v>1.041854825576243</v>
      </c>
      <c r="H223" s="365">
        <f t="shared" si="89"/>
        <v>-0.28441265313124597</v>
      </c>
      <c r="I223" s="363">
        <f t="shared" si="90"/>
        <v>53748.677009902894</v>
      </c>
      <c r="J223" s="366">
        <f t="shared" si="91"/>
        <v>1.570777721685791</v>
      </c>
      <c r="K223" s="374">
        <f t="shared" si="107"/>
        <v>16.257983104978557</v>
      </c>
      <c r="L223" s="375">
        <f t="shared" si="108"/>
        <v>1.5092492324555919</v>
      </c>
      <c r="M223" s="363">
        <f t="shared" si="92"/>
        <v>1.1674806783364209</v>
      </c>
      <c r="N223" s="366">
        <f t="shared" si="93"/>
        <v>0.54225868208610628</v>
      </c>
      <c r="O223" s="367">
        <f t="shared" si="94"/>
        <v>1.0149411102332948</v>
      </c>
      <c r="P223" s="368">
        <f t="shared" si="95"/>
        <v>0.22545703497049013</v>
      </c>
      <c r="Q223" s="369">
        <f t="shared" si="96"/>
        <v>-9.6428451314261139</v>
      </c>
      <c r="R223" s="370">
        <f t="shared" si="97"/>
        <v>-141.51295348940604</v>
      </c>
      <c r="S223" s="372">
        <f t="shared" si="98"/>
        <v>38.487046510593956</v>
      </c>
      <c r="U223" s="345">
        <f t="shared" si="104"/>
        <v>12957.25</v>
      </c>
      <c r="V223" s="345">
        <f t="shared" si="105"/>
        <v>167890327.5625</v>
      </c>
      <c r="X223" s="371">
        <f t="shared" si="99"/>
        <v>16.365658078343024</v>
      </c>
      <c r="Y223" s="372">
        <f t="shared" si="100"/>
        <v>-34.594456680096627</v>
      </c>
      <c r="AA223" s="371">
        <f t="shared" si="101"/>
        <v>34.552071262235735</v>
      </c>
      <c r="AB223" s="372">
        <f t="shared" si="102"/>
        <v>-106.91849680930942</v>
      </c>
      <c r="AD223">
        <f t="shared" si="106"/>
        <v>0</v>
      </c>
      <c r="AE223">
        <f t="shared" si="109"/>
        <v>0</v>
      </c>
    </row>
    <row r="224" spans="1:31" x14ac:dyDescent="0.2">
      <c r="A224" s="373">
        <v>13032.5</v>
      </c>
      <c r="B224" s="390">
        <f t="shared" si="103"/>
        <v>13.032500000000001</v>
      </c>
      <c r="C224" s="363">
        <f t="shared" si="84"/>
        <v>18.375181591482768</v>
      </c>
      <c r="D224" s="364">
        <f t="shared" si="85"/>
        <v>1.5163481970840997</v>
      </c>
      <c r="E224" s="364">
        <f t="shared" si="86"/>
        <v>1.0130583773439392</v>
      </c>
      <c r="F224" s="365">
        <f t="shared" si="87"/>
        <v>0.1607348250147746</v>
      </c>
      <c r="G224" s="364">
        <f t="shared" si="88"/>
        <v>1.0423324830528873</v>
      </c>
      <c r="H224" s="365">
        <f t="shared" si="89"/>
        <v>-0.28597603676675371</v>
      </c>
      <c r="I224" s="363">
        <f t="shared" si="90"/>
        <v>54060.825648201848</v>
      </c>
      <c r="J224" s="366">
        <f t="shared" si="91"/>
        <v>1.5707778291121834</v>
      </c>
      <c r="K224" s="374">
        <f t="shared" si="107"/>
        <v>16.35204612340565</v>
      </c>
      <c r="L224" s="375">
        <f t="shared" si="108"/>
        <v>1.5096037179662192</v>
      </c>
      <c r="M224" s="363">
        <f t="shared" si="92"/>
        <v>1.1692902955815145</v>
      </c>
      <c r="N224" s="366">
        <f t="shared" si="93"/>
        <v>0.54482187956639827</v>
      </c>
      <c r="O224" s="367">
        <f t="shared" si="94"/>
        <v>1.0151145313103926</v>
      </c>
      <c r="P224" s="368">
        <f t="shared" si="95"/>
        <v>0.22674981734774016</v>
      </c>
      <c r="Q224" s="369">
        <f t="shared" si="96"/>
        <v>-9.7028569133620017</v>
      </c>
      <c r="R224" s="370">
        <f t="shared" si="97"/>
        <v>-141.76896519073296</v>
      </c>
      <c r="S224" s="372">
        <f t="shared" si="98"/>
        <v>38.231034809267044</v>
      </c>
      <c r="U224" s="345">
        <f t="shared" si="104"/>
        <v>13032.5</v>
      </c>
      <c r="V224" s="345">
        <f t="shared" si="105"/>
        <v>169846056.25</v>
      </c>
      <c r="X224" s="371">
        <f t="shared" si="99"/>
        <v>16.352016011007336</v>
      </c>
      <c r="Y224" s="372">
        <f t="shared" si="100"/>
        <v>-34.721012709341942</v>
      </c>
      <c r="AA224" s="371">
        <f t="shared" si="101"/>
        <v>34.505701547635532</v>
      </c>
      <c r="AB224" s="372">
        <f t="shared" si="102"/>
        <v>-107.04795248139105</v>
      </c>
      <c r="AD224">
        <f t="shared" si="106"/>
        <v>0</v>
      </c>
      <c r="AE224">
        <f t="shared" si="109"/>
        <v>0</v>
      </c>
    </row>
    <row r="225" spans="1:31" x14ac:dyDescent="0.2">
      <c r="A225" s="373">
        <v>13107.75</v>
      </c>
      <c r="B225" s="390">
        <f t="shared" si="103"/>
        <v>13.107749999999999</v>
      </c>
      <c r="C225" s="363">
        <f t="shared" si="84"/>
        <v>18.480967046118121</v>
      </c>
      <c r="D225" s="364">
        <f t="shared" si="85"/>
        <v>1.5166601650579403</v>
      </c>
      <c r="E225" s="364">
        <f t="shared" si="86"/>
        <v>1.0132086256848585</v>
      </c>
      <c r="F225" s="365">
        <f t="shared" si="87"/>
        <v>0.16164687422576601</v>
      </c>
      <c r="G225" s="364">
        <f t="shared" si="88"/>
        <v>1.0428126858281346</v>
      </c>
      <c r="H225" s="365">
        <f t="shared" si="89"/>
        <v>-0.28753798437805345</v>
      </c>
      <c r="I225" s="363">
        <f t="shared" si="90"/>
        <v>54372.97428650142</v>
      </c>
      <c r="J225" s="366">
        <f t="shared" si="91"/>
        <v>1.5707779353051321</v>
      </c>
      <c r="K225" s="374">
        <f t="shared" si="107"/>
        <v>16.446111173125633</v>
      </c>
      <c r="L225" s="375">
        <f t="shared" si="108"/>
        <v>1.5099541484953163</v>
      </c>
      <c r="M225" s="363">
        <f t="shared" si="92"/>
        <v>1.1711075712712167</v>
      </c>
      <c r="N225" s="366">
        <f t="shared" si="93"/>
        <v>0.54737713886635186</v>
      </c>
      <c r="O225" s="367">
        <f t="shared" si="94"/>
        <v>1.0152889423099076</v>
      </c>
      <c r="P225" s="368">
        <f t="shared" si="95"/>
        <v>0.2280423173167615</v>
      </c>
      <c r="Q225" s="369">
        <f t="shared" si="96"/>
        <v>-9.7625962343223183</v>
      </c>
      <c r="R225" s="370">
        <f t="shared" si="97"/>
        <v>-142.02446433549179</v>
      </c>
      <c r="S225" s="372">
        <f t="shared" si="98"/>
        <v>37.975535664508214</v>
      </c>
      <c r="U225" s="345">
        <f t="shared" si="104"/>
        <v>13107.75</v>
      </c>
      <c r="V225" s="345">
        <f t="shared" si="105"/>
        <v>171813110.0625</v>
      </c>
      <c r="X225" s="371">
        <f t="shared" si="99"/>
        <v>16.338341187125636</v>
      </c>
      <c r="Y225" s="372">
        <f t="shared" si="100"/>
        <v>-34.847346177013165</v>
      </c>
      <c r="AA225" s="371">
        <f t="shared" si="101"/>
        <v>34.459637050556914</v>
      </c>
      <c r="AB225" s="372">
        <f t="shared" si="102"/>
        <v>-107.17711815847863</v>
      </c>
      <c r="AD225">
        <f t="shared" si="106"/>
        <v>0</v>
      </c>
      <c r="AE225">
        <f t="shared" si="109"/>
        <v>0</v>
      </c>
    </row>
    <row r="226" spans="1:31" x14ac:dyDescent="0.2">
      <c r="A226" s="373">
        <v>13183</v>
      </c>
      <c r="B226" s="390">
        <f t="shared" si="103"/>
        <v>13.183</v>
      </c>
      <c r="C226" s="363">
        <f t="shared" si="84"/>
        <v>18.586754278921585</v>
      </c>
      <c r="D226" s="364">
        <f t="shared" si="85"/>
        <v>1.5169685819058696</v>
      </c>
      <c r="E226" s="364">
        <f t="shared" si="86"/>
        <v>1.0133597165965871</v>
      </c>
      <c r="F226" s="365">
        <f t="shared" si="87"/>
        <v>0.16255865222378219</v>
      </c>
      <c r="G226" s="364">
        <f t="shared" si="88"/>
        <v>1.0432954303873729</v>
      </c>
      <c r="H226" s="365">
        <f t="shared" si="89"/>
        <v>-0.28909849033201757</v>
      </c>
      <c r="I226" s="363">
        <f t="shared" si="90"/>
        <v>54685.122924801617</v>
      </c>
      <c r="J226" s="366">
        <f t="shared" si="91"/>
        <v>1.570778040285759</v>
      </c>
      <c r="K226" s="374">
        <f t="shared" si="107"/>
        <v>16.540178219482229</v>
      </c>
      <c r="L226" s="375">
        <f t="shared" si="108"/>
        <v>1.510300593140359</v>
      </c>
      <c r="M226" s="363">
        <f t="shared" si="92"/>
        <v>1.1729324698088364</v>
      </c>
      <c r="N226" s="366">
        <f t="shared" si="93"/>
        <v>0.54992446359209313</v>
      </c>
      <c r="O226" s="367">
        <f t="shared" si="94"/>
        <v>1.0154643429913399</v>
      </c>
      <c r="P226" s="368">
        <f t="shared" si="95"/>
        <v>0.22933453340219331</v>
      </c>
      <c r="Q226" s="369">
        <f t="shared" si="96"/>
        <v>-9.822066018550446</v>
      </c>
      <c r="R226" s="370">
        <f t="shared" si="97"/>
        <v>-142.27945037612764</v>
      </c>
      <c r="S226" s="372">
        <f t="shared" si="98"/>
        <v>37.720549623872358</v>
      </c>
      <c r="U226" s="345">
        <f t="shared" si="104"/>
        <v>13183</v>
      </c>
      <c r="V226" s="345">
        <f t="shared" si="105"/>
        <v>173791489</v>
      </c>
      <c r="X226" s="371">
        <f t="shared" si="99"/>
        <v>16.324633996511018</v>
      </c>
      <c r="Y226" s="372">
        <f t="shared" si="100"/>
        <v>-34.973453331942551</v>
      </c>
      <c r="AA226" s="371">
        <f t="shared" si="101"/>
        <v>34.413874456943404</v>
      </c>
      <c r="AB226" s="372">
        <f t="shared" si="102"/>
        <v>-107.3059970441851</v>
      </c>
      <c r="AD226">
        <f t="shared" si="106"/>
        <v>0</v>
      </c>
      <c r="AE226">
        <f t="shared" si="109"/>
        <v>0</v>
      </c>
    </row>
    <row r="227" spans="1:31" x14ac:dyDescent="0.2">
      <c r="A227" s="373">
        <v>13259.75</v>
      </c>
      <c r="B227" s="390">
        <f t="shared" si="103"/>
        <v>13.25975</v>
      </c>
      <c r="C227" s="363">
        <f t="shared" si="84"/>
        <v>18.694652027716803</v>
      </c>
      <c r="D227" s="364">
        <f t="shared" si="85"/>
        <v>1.5172795510376302</v>
      </c>
      <c r="E227" s="364">
        <f t="shared" si="86"/>
        <v>1.0135146868278857</v>
      </c>
      <c r="F227" s="365">
        <f t="shared" si="87"/>
        <v>0.16348832437642957</v>
      </c>
      <c r="G227" s="364">
        <f t="shared" si="88"/>
        <v>1.0437904123938613</v>
      </c>
      <c r="H227" s="365">
        <f t="shared" si="89"/>
        <v>-0.29068861186603473</v>
      </c>
      <c r="I227" s="363">
        <f t="shared" si="90"/>
        <v>55003.493795095106</v>
      </c>
      <c r="J227" s="366">
        <f t="shared" si="91"/>
        <v>1.5707781461316139</v>
      </c>
      <c r="K227" s="374">
        <f t="shared" si="107"/>
        <v>16.636122378076752</v>
      </c>
      <c r="L227" s="375">
        <f t="shared" si="108"/>
        <v>1.5106499078290825</v>
      </c>
      <c r="M227" s="363">
        <f t="shared" si="92"/>
        <v>1.1748015605131783</v>
      </c>
      <c r="N227" s="366">
        <f t="shared" si="93"/>
        <v>0.55251439630314592</v>
      </c>
      <c r="O227" s="367">
        <f t="shared" si="94"/>
        <v>1.0156442592516199</v>
      </c>
      <c r="P227" s="368">
        <f t="shared" si="95"/>
        <v>0.23065221399238434</v>
      </c>
      <c r="Q227" s="369">
        <f t="shared" si="96"/>
        <v>-9.882446572964291</v>
      </c>
      <c r="R227" s="370">
        <f t="shared" si="97"/>
        <v>-142.53899011463292</v>
      </c>
      <c r="S227" s="372">
        <f t="shared" si="98"/>
        <v>37.461009885367076</v>
      </c>
      <c r="U227" s="345">
        <f t="shared" si="104"/>
        <v>13259.75</v>
      </c>
      <c r="V227" s="345">
        <f t="shared" si="105"/>
        <v>175820970.0625</v>
      </c>
      <c r="X227" s="371">
        <f t="shared" si="99"/>
        <v>16.310620635786602</v>
      </c>
      <c r="Y227" s="372">
        <f t="shared" si="100"/>
        <v>-35.101837352790447</v>
      </c>
      <c r="AA227" s="371">
        <f t="shared" si="101"/>
        <v>34.367507263253984</v>
      </c>
      <c r="AB227" s="372">
        <f t="shared" si="102"/>
        <v>-107.43715276184247</v>
      </c>
      <c r="AD227">
        <f t="shared" si="106"/>
        <v>0</v>
      </c>
      <c r="AE227">
        <f t="shared" si="109"/>
        <v>0</v>
      </c>
    </row>
    <row r="228" spans="1:31" x14ac:dyDescent="0.2">
      <c r="A228" s="373">
        <v>13336.5</v>
      </c>
      <c r="B228" s="390">
        <f t="shared" si="103"/>
        <v>13.336499999999999</v>
      </c>
      <c r="C228" s="363">
        <f t="shared" si="84"/>
        <v>18.802551563570379</v>
      </c>
      <c r="D228" s="364">
        <f t="shared" si="85"/>
        <v>1.5175869511699314</v>
      </c>
      <c r="E228" s="364">
        <f t="shared" si="86"/>
        <v>1.0136705327618298</v>
      </c>
      <c r="F228" s="365">
        <f t="shared" si="87"/>
        <v>0.16441771146878637</v>
      </c>
      <c r="G228" s="364">
        <f t="shared" si="88"/>
        <v>1.0442880311045</v>
      </c>
      <c r="H228" s="365">
        <f t="shared" si="89"/>
        <v>-0.29227722198073425</v>
      </c>
      <c r="I228" s="363">
        <f t="shared" si="90"/>
        <v>55321.864665389206</v>
      </c>
      <c r="J228" s="366">
        <f t="shared" si="91"/>
        <v>1.5707782507592081</v>
      </c>
      <c r="K228" s="374">
        <f t="shared" si="107"/>
        <v>16.7320685433432</v>
      </c>
      <c r="L228" s="375">
        <f t="shared" si="108"/>
        <v>1.510995216431454</v>
      </c>
      <c r="M228" s="363">
        <f t="shared" si="92"/>
        <v>1.1766785064288166</v>
      </c>
      <c r="N228" s="366">
        <f t="shared" si="93"/>
        <v>0.55509608376767205</v>
      </c>
      <c r="O228" s="367">
        <f t="shared" si="94"/>
        <v>1.0158252045337375</v>
      </c>
      <c r="P228" s="368">
        <f t="shared" si="95"/>
        <v>0.23196959617654273</v>
      </c>
      <c r="Q228" s="369">
        <f t="shared" si="96"/>
        <v>-9.942552710870272</v>
      </c>
      <c r="R228" s="370">
        <f t="shared" si="97"/>
        <v>-142.7979950461409</v>
      </c>
      <c r="S228" s="372">
        <f t="shared" si="98"/>
        <v>37.202004953859102</v>
      </c>
      <c r="U228" s="345">
        <f t="shared" si="104"/>
        <v>13336.5</v>
      </c>
      <c r="V228" s="345">
        <f t="shared" si="105"/>
        <v>177862232.25</v>
      </c>
      <c r="X228" s="371">
        <f t="shared" si="99"/>
        <v>16.296574423041662</v>
      </c>
      <c r="Y228" s="372">
        <f t="shared" si="100"/>
        <v>-35.229978417850155</v>
      </c>
      <c r="AA228" s="371">
        <f t="shared" si="101"/>
        <v>34.321447338092938</v>
      </c>
      <c r="AB228" s="372">
        <f t="shared" si="102"/>
        <v>-107.56801662829071</v>
      </c>
      <c r="AD228">
        <f t="shared" si="106"/>
        <v>0</v>
      </c>
      <c r="AE228">
        <f t="shared" si="109"/>
        <v>0</v>
      </c>
    </row>
    <row r="229" spans="1:31" x14ac:dyDescent="0.2">
      <c r="A229" s="373">
        <v>13413.25</v>
      </c>
      <c r="B229" s="390">
        <f t="shared" si="103"/>
        <v>13.41325</v>
      </c>
      <c r="C229" s="363">
        <f t="shared" si="84"/>
        <v>18.910452855892437</v>
      </c>
      <c r="D229" s="364">
        <f t="shared" si="85"/>
        <v>1.5178908433373153</v>
      </c>
      <c r="E229" s="364">
        <f t="shared" si="86"/>
        <v>1.0138272539945792</v>
      </c>
      <c r="F229" s="365">
        <f t="shared" si="87"/>
        <v>0.16534681202714768</v>
      </c>
      <c r="G229" s="364">
        <f t="shared" si="88"/>
        <v>1.0447882827518085</v>
      </c>
      <c r="H229" s="365">
        <f t="shared" si="89"/>
        <v>-0.29386431482317715</v>
      </c>
      <c r="I229" s="363">
        <f t="shared" si="90"/>
        <v>55640.235535683903</v>
      </c>
      <c r="J229" s="366">
        <f t="shared" si="91"/>
        <v>1.5707783541894533</v>
      </c>
      <c r="K229" s="374">
        <f t="shared" si="107"/>
        <v>16.828016680958015</v>
      </c>
      <c r="L229" s="375">
        <f t="shared" si="108"/>
        <v>1.5113365873888034</v>
      </c>
      <c r="M229" s="363">
        <f t="shared" si="92"/>
        <v>1.1785632700258015</v>
      </c>
      <c r="N229" s="366">
        <f t="shared" si="93"/>
        <v>0.55766953104686912</v>
      </c>
      <c r="O229" s="367">
        <f t="shared" si="94"/>
        <v>1.0160071785787541</v>
      </c>
      <c r="P229" s="368">
        <f t="shared" si="95"/>
        <v>0.23328667839753053</v>
      </c>
      <c r="Q229" s="369">
        <f t="shared" si="96"/>
        <v>-10.002387363987534</v>
      </c>
      <c r="R229" s="370">
        <f t="shared" si="97"/>
        <v>-143.05646469732827</v>
      </c>
      <c r="S229" s="372">
        <f t="shared" si="98"/>
        <v>36.943535302671734</v>
      </c>
      <c r="U229" s="345">
        <f t="shared" si="104"/>
        <v>13413.25</v>
      </c>
      <c r="V229" s="345">
        <f t="shared" si="105"/>
        <v>179915275.5625</v>
      </c>
      <c r="X229" s="371">
        <f t="shared" si="99"/>
        <v>16.282495770505736</v>
      </c>
      <c r="Y229" s="372">
        <f t="shared" si="100"/>
        <v>-35.357872896905782</v>
      </c>
      <c r="AA229" s="371">
        <f t="shared" si="101"/>
        <v>34.275691337511603</v>
      </c>
      <c r="AB229" s="372">
        <f t="shared" si="102"/>
        <v>-107.69859180042246</v>
      </c>
      <c r="AD229">
        <f t="shared" si="106"/>
        <v>0</v>
      </c>
      <c r="AE229">
        <f t="shared" si="109"/>
        <v>0</v>
      </c>
    </row>
    <row r="230" spans="1:31" x14ac:dyDescent="0.2">
      <c r="A230" s="373">
        <v>13490</v>
      </c>
      <c r="B230" s="390">
        <f t="shared" si="103"/>
        <v>13.49</v>
      </c>
      <c r="C230" s="363">
        <f t="shared" si="84"/>
        <v>19.018355874786831</v>
      </c>
      <c r="D230" s="364">
        <f t="shared" si="85"/>
        <v>1.5181912871918017</v>
      </c>
      <c r="E230" s="364">
        <f t="shared" si="86"/>
        <v>1.0139848501202759</v>
      </c>
      <c r="F230" s="365">
        <f t="shared" si="87"/>
        <v>0.16627562458069589</v>
      </c>
      <c r="G230" s="364">
        <f t="shared" si="88"/>
        <v>1.0452911635556033</v>
      </c>
      <c r="H230" s="365">
        <f t="shared" si="89"/>
        <v>-0.29544988458217358</v>
      </c>
      <c r="I230" s="363">
        <f t="shared" si="90"/>
        <v>55958.60640597919</v>
      </c>
      <c r="J230" s="366">
        <f t="shared" si="91"/>
        <v>1.5707784564427867</v>
      </c>
      <c r="K230" s="374">
        <f t="shared" si="107"/>
        <v>16.9239667573753</v>
      </c>
      <c r="L230" s="375">
        <f t="shared" si="108"/>
        <v>1.511674087594072</v>
      </c>
      <c r="M230" s="363">
        <f t="shared" si="92"/>
        <v>1.1804558138580534</v>
      </c>
      <c r="N230" s="366">
        <f t="shared" si="93"/>
        <v>0.56023474360624992</v>
      </c>
      <c r="O230" s="367">
        <f t="shared" si="94"/>
        <v>1.0161901811264695</v>
      </c>
      <c r="P230" s="368">
        <f t="shared" si="95"/>
        <v>0.23460345910100081</v>
      </c>
      <c r="Q230" s="369">
        <f t="shared" si="96"/>
        <v>-10.061953409269304</v>
      </c>
      <c r="R230" s="370">
        <f t="shared" si="97"/>
        <v>-143.31439862989998</v>
      </c>
      <c r="S230" s="372">
        <f t="shared" si="98"/>
        <v>36.685601370100017</v>
      </c>
      <c r="U230" s="345">
        <f t="shared" si="104"/>
        <v>13490</v>
      </c>
      <c r="V230" s="345">
        <f t="shared" si="105"/>
        <v>181980100</v>
      </c>
      <c r="X230" s="371">
        <f t="shared" si="99"/>
        <v>16.268385089765168</v>
      </c>
      <c r="Y230" s="372">
        <f t="shared" si="100"/>
        <v>-35.485517271595874</v>
      </c>
      <c r="AA230" s="371">
        <f t="shared" si="101"/>
        <v>34.230235972970398</v>
      </c>
      <c r="AB230" s="372">
        <f t="shared" si="102"/>
        <v>-107.82888135830419</v>
      </c>
      <c r="AD230">
        <f t="shared" si="106"/>
        <v>0</v>
      </c>
      <c r="AE230">
        <f t="shared" si="109"/>
        <v>0</v>
      </c>
    </row>
    <row r="231" spans="1:31" x14ac:dyDescent="0.2">
      <c r="A231" s="373">
        <v>13568.5</v>
      </c>
      <c r="B231" s="390">
        <f t="shared" si="103"/>
        <v>13.5685</v>
      </c>
      <c r="C231" s="363">
        <f t="shared" si="84"/>
        <v>19.128720978720711</v>
      </c>
      <c r="D231" s="364">
        <f t="shared" si="85"/>
        <v>1.5184950751777451</v>
      </c>
      <c r="E231" s="364">
        <f t="shared" si="86"/>
        <v>1.0141469442612545</v>
      </c>
      <c r="F231" s="365">
        <f t="shared" si="87"/>
        <v>0.16722531581060743</v>
      </c>
      <c r="G231" s="364">
        <f t="shared" si="88"/>
        <v>1.0458082265058073</v>
      </c>
      <c r="H231" s="365">
        <f t="shared" si="89"/>
        <v>-0.29707002581241504</v>
      </c>
      <c r="I231" s="363">
        <f t="shared" si="90"/>
        <v>56284.236546933273</v>
      </c>
      <c r="J231" s="366">
        <f t="shared" si="91"/>
        <v>1.5707785598309756</v>
      </c>
      <c r="K231" s="374">
        <f t="shared" si="107"/>
        <v>17.022106591995069</v>
      </c>
      <c r="L231" s="375">
        <f t="shared" si="108"/>
        <v>1.5120153472449986</v>
      </c>
      <c r="M231" s="363">
        <f t="shared" si="92"/>
        <v>1.1823995195713806</v>
      </c>
      <c r="N231" s="366">
        <f t="shared" si="93"/>
        <v>0.56284993396496008</v>
      </c>
      <c r="O231" s="367">
        <f t="shared" si="94"/>
        <v>1.0163784200450421</v>
      </c>
      <c r="P231" s="368">
        <f t="shared" si="95"/>
        <v>0.23594995059460461</v>
      </c>
      <c r="Q231" s="369">
        <f t="shared" si="96"/>
        <v>-10.122602716127751</v>
      </c>
      <c r="R231" s="370">
        <f t="shared" si="97"/>
        <v>-143.57765919095746</v>
      </c>
      <c r="S231" s="372">
        <f t="shared" si="98"/>
        <v>36.422340809042538</v>
      </c>
      <c r="U231" s="345">
        <f t="shared" si="104"/>
        <v>13568.5</v>
      </c>
      <c r="V231" s="345">
        <f t="shared" si="105"/>
        <v>184104192.25</v>
      </c>
      <c r="X231" s="371">
        <f t="shared" si="99"/>
        <v>16.253919963401515</v>
      </c>
      <c r="Y231" s="372">
        <f t="shared" si="100"/>
        <v>-35.615809827912805</v>
      </c>
      <c r="AA231" s="371">
        <f t="shared" si="101"/>
        <v>34.1840517924756</v>
      </c>
      <c r="AB231" s="372">
        <f t="shared" si="102"/>
        <v>-107.96184936304465</v>
      </c>
      <c r="AD231">
        <f t="shared" si="106"/>
        <v>0</v>
      </c>
      <c r="AE231">
        <f t="shared" si="109"/>
        <v>0</v>
      </c>
    </row>
    <row r="232" spans="1:31" x14ac:dyDescent="0.2">
      <c r="A232" s="373">
        <v>13647</v>
      </c>
      <c r="B232" s="390">
        <f t="shared" si="103"/>
        <v>13.647</v>
      </c>
      <c r="C232" s="363">
        <f t="shared" si="84"/>
        <v>19.239087827735755</v>
      </c>
      <c r="D232" s="364">
        <f t="shared" si="85"/>
        <v>1.5187953777740462</v>
      </c>
      <c r="E232" s="364">
        <f t="shared" si="86"/>
        <v>1.0143099527821606</v>
      </c>
      <c r="F232" s="365">
        <f t="shared" si="87"/>
        <v>0.16817470264910614</v>
      </c>
      <c r="G232" s="364">
        <f t="shared" si="88"/>
        <v>1.0463280318364034</v>
      </c>
      <c r="H232" s="365">
        <f t="shared" si="89"/>
        <v>-0.29868856154756457</v>
      </c>
      <c r="I232" s="363">
        <f t="shared" si="90"/>
        <v>56609.866687887952</v>
      </c>
      <c r="J232" s="366">
        <f t="shared" si="91"/>
        <v>1.5707786620297495</v>
      </c>
      <c r="K232" s="374">
        <f t="shared" si="107"/>
        <v>17.120248386250406</v>
      </c>
      <c r="L232" s="375">
        <f t="shared" si="108"/>
        <v>1.5123526943941206</v>
      </c>
      <c r="M232" s="363">
        <f t="shared" si="92"/>
        <v>1.1843512854006224</v>
      </c>
      <c r="N232" s="366">
        <f t="shared" si="93"/>
        <v>0.56545652263356638</v>
      </c>
      <c r="O232" s="367">
        <f t="shared" si="94"/>
        <v>1.0165677343488038</v>
      </c>
      <c r="P232" s="368">
        <f t="shared" si="95"/>
        <v>0.23729612338378525</v>
      </c>
      <c r="Q232" s="369">
        <f t="shared" si="96"/>
        <v>-10.182976944490321</v>
      </c>
      <c r="R232" s="370">
        <f t="shared" si="97"/>
        <v>-143.84035850688258</v>
      </c>
      <c r="S232" s="372">
        <f t="shared" si="98"/>
        <v>36.159641493117419</v>
      </c>
      <c r="U232" s="345">
        <f t="shared" si="104"/>
        <v>13647</v>
      </c>
      <c r="V232" s="345">
        <f t="shared" si="105"/>
        <v>186240609</v>
      </c>
      <c r="X232" s="371">
        <f t="shared" si="99"/>
        <v>16.239422200139245</v>
      </c>
      <c r="Y232" s="372">
        <f t="shared" si="100"/>
        <v>-35.745833645382106</v>
      </c>
      <c r="AA232" s="371">
        <f t="shared" si="101"/>
        <v>34.138175327375308</v>
      </c>
      <c r="AB232" s="372">
        <f t="shared" si="102"/>
        <v>-108.09452486150046</v>
      </c>
      <c r="AD232">
        <f t="shared" si="106"/>
        <v>0</v>
      </c>
      <c r="AE232">
        <f t="shared" si="109"/>
        <v>0</v>
      </c>
    </row>
    <row r="233" spans="1:31" x14ac:dyDescent="0.2">
      <c r="A233" s="373">
        <v>13725.5</v>
      </c>
      <c r="B233" s="390">
        <f t="shared" si="103"/>
        <v>13.7255</v>
      </c>
      <c r="C233" s="363">
        <f t="shared" si="84"/>
        <v>19.349456391970797</v>
      </c>
      <c r="D233" s="364">
        <f t="shared" si="85"/>
        <v>1.5190922545676624</v>
      </c>
      <c r="E233" s="364">
        <f t="shared" si="86"/>
        <v>1.0144738752422184</v>
      </c>
      <c r="F233" s="365">
        <f t="shared" si="87"/>
        <v>0.1691237835319058</v>
      </c>
      <c r="G233" s="364">
        <f t="shared" si="88"/>
        <v>1.0468505754622703</v>
      </c>
      <c r="H233" s="365">
        <f t="shared" si="89"/>
        <v>-0.30030548570552718</v>
      </c>
      <c r="I233" s="363">
        <f t="shared" si="90"/>
        <v>56935.496828843221</v>
      </c>
      <c r="J233" s="366">
        <f t="shared" si="91"/>
        <v>1.5707787630595162</v>
      </c>
      <c r="K233" s="374">
        <f t="shared" si="107"/>
        <v>17.218392106632582</v>
      </c>
      <c r="L233" s="375">
        <f t="shared" si="108"/>
        <v>1.5126861958670124</v>
      </c>
      <c r="M233" s="363">
        <f t="shared" si="92"/>
        <v>1.1863110715633165</v>
      </c>
      <c r="N233" s="366">
        <f t="shared" si="93"/>
        <v>0.5680545167350981</v>
      </c>
      <c r="O233" s="367">
        <f t="shared" si="94"/>
        <v>1.0167581237552774</v>
      </c>
      <c r="P233" s="368">
        <f t="shared" si="95"/>
        <v>0.23864197581456764</v>
      </c>
      <c r="Q233" s="369">
        <f t="shared" si="96"/>
        <v>-10.243079003361784</v>
      </c>
      <c r="R233" s="370">
        <f t="shared" si="97"/>
        <v>-144.10249621860478</v>
      </c>
      <c r="S233" s="372">
        <f t="shared" si="98"/>
        <v>35.897503781395216</v>
      </c>
      <c r="U233" s="345">
        <f t="shared" si="104"/>
        <v>13725.5</v>
      </c>
      <c r="V233" s="345">
        <f t="shared" si="105"/>
        <v>188389350.25</v>
      </c>
      <c r="X233" s="371">
        <f t="shared" si="99"/>
        <v>16.224892237722582</v>
      </c>
      <c r="Y233" s="372">
        <f t="shared" si="100"/>
        <v>-35.875585304469155</v>
      </c>
      <c r="AA233" s="371">
        <f t="shared" si="101"/>
        <v>34.092603230920503</v>
      </c>
      <c r="AB233" s="372">
        <f t="shared" si="102"/>
        <v>-108.22691091413562</v>
      </c>
      <c r="AD233">
        <f t="shared" si="106"/>
        <v>0</v>
      </c>
      <c r="AE233">
        <f t="shared" si="109"/>
        <v>0</v>
      </c>
    </row>
    <row r="234" spans="1:31" x14ac:dyDescent="0.2">
      <c r="A234" s="373">
        <v>13804</v>
      </c>
      <c r="B234" s="390">
        <f t="shared" si="103"/>
        <v>13.804</v>
      </c>
      <c r="C234" s="363">
        <f t="shared" si="84"/>
        <v>19.459826642241655</v>
      </c>
      <c r="D234" s="364">
        <f t="shared" si="85"/>
        <v>1.5193857637961625</v>
      </c>
      <c r="E234" s="364">
        <f t="shared" si="86"/>
        <v>1.0146387111984669</v>
      </c>
      <c r="F234" s="365">
        <f t="shared" si="87"/>
        <v>0.17007255689793307</v>
      </c>
      <c r="G234" s="364">
        <f t="shared" si="88"/>
        <v>1.0473758532849398</v>
      </c>
      <c r="H234" s="365">
        <f t="shared" si="89"/>
        <v>-0.30192079225002055</v>
      </c>
      <c r="I234" s="363">
        <f t="shared" si="90"/>
        <v>57261.126969799057</v>
      </c>
      <c r="J234" s="366">
        <f t="shared" si="91"/>
        <v>1.5707788629402195</v>
      </c>
      <c r="K234" s="374">
        <f t="shared" si="107"/>
        <v>17.316537720391871</v>
      </c>
      <c r="L234" s="375">
        <f t="shared" si="108"/>
        <v>1.5130159169777155</v>
      </c>
      <c r="M234" s="363">
        <f t="shared" si="92"/>
        <v>1.1882788383765088</v>
      </c>
      <c r="N234" s="366">
        <f t="shared" si="93"/>
        <v>0.57064392380976481</v>
      </c>
      <c r="O234" s="367">
        <f t="shared" si="94"/>
        <v>1.0169495879806221</v>
      </c>
      <c r="P234" s="368">
        <f t="shared" si="95"/>
        <v>0.23998750623608295</v>
      </c>
      <c r="Q234" s="369">
        <f t="shared" si="96"/>
        <v>-10.302911747440035</v>
      </c>
      <c r="R234" s="370">
        <f t="shared" si="97"/>
        <v>-144.36407200283853</v>
      </c>
      <c r="S234" s="372">
        <f t="shared" si="98"/>
        <v>35.635927997161474</v>
      </c>
      <c r="U234" s="345">
        <f t="shared" si="104"/>
        <v>13804</v>
      </c>
      <c r="V234" s="345">
        <f t="shared" si="105"/>
        <v>190550416</v>
      </c>
      <c r="X234" s="371">
        <f t="shared" si="99"/>
        <v>16.210330512829472</v>
      </c>
      <c r="Y234" s="372">
        <f t="shared" si="100"/>
        <v>-36.005061496119922</v>
      </c>
      <c r="AA234" s="371">
        <f t="shared" si="101"/>
        <v>34.047332211735359</v>
      </c>
      <c r="AB234" s="372">
        <f t="shared" si="102"/>
        <v>-108.35901050671859</v>
      </c>
      <c r="AD234">
        <f t="shared" si="106"/>
        <v>0</v>
      </c>
      <c r="AE234">
        <f t="shared" si="109"/>
        <v>0</v>
      </c>
    </row>
    <row r="235" spans="1:31" x14ac:dyDescent="0.2">
      <c r="A235" s="373">
        <v>13884.25</v>
      </c>
      <c r="B235" s="390">
        <f t="shared" si="103"/>
        <v>13.88425</v>
      </c>
      <c r="C235" s="363">
        <f t="shared" si="84"/>
        <v>19.572659088931115</v>
      </c>
      <c r="D235" s="364">
        <f t="shared" si="85"/>
        <v>1.5196823944861273</v>
      </c>
      <c r="E235" s="364">
        <f t="shared" si="86"/>
        <v>1.0148081656481012</v>
      </c>
      <c r="F235" s="365">
        <f t="shared" si="87"/>
        <v>0.17104216176389936</v>
      </c>
      <c r="G235" s="364">
        <f t="shared" si="88"/>
        <v>1.0479156631472857</v>
      </c>
      <c r="H235" s="365">
        <f t="shared" si="89"/>
        <v>-0.3035704304674236</v>
      </c>
      <c r="I235" s="363">
        <f t="shared" si="90"/>
        <v>57594.016381413727</v>
      </c>
      <c r="J235" s="366">
        <f t="shared" si="91"/>
        <v>1.5707789638800858</v>
      </c>
      <c r="K235" s="374">
        <f t="shared" si="107"/>
        <v>17.416873217522536</v>
      </c>
      <c r="L235" s="375">
        <f t="shared" si="108"/>
        <v>1.5133491473219343</v>
      </c>
      <c r="M235" s="363">
        <f t="shared" si="92"/>
        <v>1.1902986808867559</v>
      </c>
      <c r="N235" s="366">
        <f t="shared" si="93"/>
        <v>0.57328218849574764</v>
      </c>
      <c r="O235" s="367">
        <f t="shared" si="94"/>
        <v>1.0171464312470633</v>
      </c>
      <c r="P235" s="368">
        <f t="shared" si="95"/>
        <v>0.24136269798570839</v>
      </c>
      <c r="Q235" s="369">
        <f t="shared" si="96"/>
        <v>-10.363802872353345</v>
      </c>
      <c r="R235" s="370">
        <f t="shared" si="97"/>
        <v>-144.63089793683679</v>
      </c>
      <c r="S235" s="372">
        <f t="shared" si="98"/>
        <v>35.369102063163211</v>
      </c>
      <c r="U235" s="345">
        <f t="shared" si="104"/>
        <v>13884.25</v>
      </c>
      <c r="V235" s="345">
        <f t="shared" si="105"/>
        <v>192772398.0625</v>
      </c>
      <c r="X235" s="371">
        <f t="shared" si="99"/>
        <v>16.19541178454557</v>
      </c>
      <c r="Y235" s="372">
        <f t="shared" si="100"/>
        <v>-36.137136019114969</v>
      </c>
      <c r="AA235" s="371">
        <f t="shared" si="101"/>
        <v>34.001359815105957</v>
      </c>
      <c r="AB235" s="372">
        <f t="shared" si="102"/>
        <v>-108.49376191772181</v>
      </c>
      <c r="AD235">
        <f t="shared" si="106"/>
        <v>0</v>
      </c>
      <c r="AE235">
        <f t="shared" si="109"/>
        <v>0</v>
      </c>
    </row>
    <row r="236" spans="1:31" x14ac:dyDescent="0.2">
      <c r="A236" s="373">
        <v>13964.5</v>
      </c>
      <c r="B236" s="390">
        <f t="shared" si="103"/>
        <v>13.964499999999999</v>
      </c>
      <c r="C236" s="363">
        <f t="shared" si="84"/>
        <v>19.6854932380718</v>
      </c>
      <c r="D236" s="364">
        <f t="shared" si="85"/>
        <v>1.519975624720785</v>
      </c>
      <c r="E236" s="364">
        <f t="shared" si="86"/>
        <v>1.0149785738338959</v>
      </c>
      <c r="F236" s="365">
        <f t="shared" si="87"/>
        <v>0.17201144196038315</v>
      </c>
      <c r="G236" s="364">
        <f t="shared" si="88"/>
        <v>1.0484583217680936</v>
      </c>
      <c r="H236" s="365">
        <f t="shared" si="89"/>
        <v>-0.30521836553367693</v>
      </c>
      <c r="I236" s="363">
        <f t="shared" si="90"/>
        <v>57926.905793028978</v>
      </c>
      <c r="J236" s="366">
        <f t="shared" si="91"/>
        <v>1.5707790636598067</v>
      </c>
      <c r="K236" s="374">
        <f t="shared" si="107"/>
        <v>17.517210626510202</v>
      </c>
      <c r="L236" s="375">
        <f t="shared" si="108"/>
        <v>1.5136785602602063</v>
      </c>
      <c r="M236" s="363">
        <f t="shared" si="92"/>
        <v>1.1923267802964783</v>
      </c>
      <c r="N236" s="366">
        <f t="shared" si="93"/>
        <v>0.57591149626903937</v>
      </c>
      <c r="O236" s="367">
        <f t="shared" si="94"/>
        <v>1.0173443971841685</v>
      </c>
      <c r="P236" s="368">
        <f t="shared" si="95"/>
        <v>0.24273754972987052</v>
      </c>
      <c r="Q236" s="369">
        <f t="shared" si="96"/>
        <v>-10.424418406245294</v>
      </c>
      <c r="R236" s="370">
        <f t="shared" si="97"/>
        <v>-144.89713603852044</v>
      </c>
      <c r="S236" s="372">
        <f t="shared" si="98"/>
        <v>35.102863961479557</v>
      </c>
      <c r="U236" s="345">
        <f t="shared" si="104"/>
        <v>13964.5</v>
      </c>
      <c r="V236" s="345">
        <f t="shared" si="105"/>
        <v>195007260.25</v>
      </c>
      <c r="X236" s="371">
        <f t="shared" si="99"/>
        <v>16.180460780981328</v>
      </c>
      <c r="Y236" s="372">
        <f t="shared" si="100"/>
        <v>-36.268916003592992</v>
      </c>
      <c r="AA236" s="371">
        <f t="shared" si="101"/>
        <v>33.955695284778244</v>
      </c>
      <c r="AB236" s="372">
        <f t="shared" si="102"/>
        <v>-108.62822003492745</v>
      </c>
      <c r="AD236">
        <f t="shared" si="106"/>
        <v>0</v>
      </c>
      <c r="AE236">
        <f t="shared" si="109"/>
        <v>0</v>
      </c>
    </row>
    <row r="237" spans="1:31" x14ac:dyDescent="0.2">
      <c r="A237" s="373">
        <v>14044.75</v>
      </c>
      <c r="B237" s="390">
        <f t="shared" si="103"/>
        <v>14.044750000000001</v>
      </c>
      <c r="C237" s="363">
        <f t="shared" si="84"/>
        <v>19.798329060556004</v>
      </c>
      <c r="D237" s="364">
        <f t="shared" si="85"/>
        <v>1.5202655125895088</v>
      </c>
      <c r="E237" s="364">
        <f t="shared" si="86"/>
        <v>1.0151499352755551</v>
      </c>
      <c r="F237" s="365">
        <f t="shared" si="87"/>
        <v>0.17298039583006161</v>
      </c>
      <c r="G237" s="364">
        <f t="shared" si="88"/>
        <v>1.0490038247263029</v>
      </c>
      <c r="H237" s="365">
        <f t="shared" si="89"/>
        <v>-0.30686459114835124</v>
      </c>
      <c r="I237" s="363">
        <f t="shared" si="90"/>
        <v>58259.795204644804</v>
      </c>
      <c r="J237" s="366">
        <f t="shared" si="91"/>
        <v>1.5707791622992691</v>
      </c>
      <c r="K237" s="374">
        <f t="shared" si="107"/>
        <v>17.617549914689008</v>
      </c>
      <c r="L237" s="375">
        <f t="shared" si="108"/>
        <v>1.5140042209455757</v>
      </c>
      <c r="M237" s="363">
        <f t="shared" si="92"/>
        <v>1.1943630945435613</v>
      </c>
      <c r="N237" s="366">
        <f t="shared" si="93"/>
        <v>0.57853185649616889</v>
      </c>
      <c r="O237" s="367">
        <f t="shared" si="94"/>
        <v>1.0175434854842969</v>
      </c>
      <c r="P237" s="368">
        <f t="shared" si="95"/>
        <v>0.24411205971496344</v>
      </c>
      <c r="Q237" s="369">
        <f t="shared" si="96"/>
        <v>-10.484761231502981</v>
      </c>
      <c r="R237" s="370">
        <f t="shared" si="97"/>
        <v>-145.16278607446841</v>
      </c>
      <c r="S237" s="372">
        <f t="shared" si="98"/>
        <v>34.837213925531586</v>
      </c>
      <c r="U237" s="345">
        <f t="shared" si="104"/>
        <v>14044.75</v>
      </c>
      <c r="V237" s="345">
        <f t="shared" si="105"/>
        <v>197255002.5625</v>
      </c>
      <c r="X237" s="371">
        <f t="shared" si="99"/>
        <v>16.165477964694361</v>
      </c>
      <c r="Y237" s="372">
        <f t="shared" si="100"/>
        <v>-36.40039825436159</v>
      </c>
      <c r="AA237" s="371">
        <f t="shared" si="101"/>
        <v>33.910335275807526</v>
      </c>
      <c r="AB237" s="372">
        <f t="shared" si="102"/>
        <v>-108.76238782010682</v>
      </c>
      <c r="AD237">
        <f t="shared" si="106"/>
        <v>0</v>
      </c>
      <c r="AE237">
        <f t="shared" si="109"/>
        <v>0</v>
      </c>
    </row>
    <row r="238" spans="1:31" x14ac:dyDescent="0.2">
      <c r="A238" s="373">
        <v>14125</v>
      </c>
      <c r="B238" s="390">
        <f t="shared" si="103"/>
        <v>14.125</v>
      </c>
      <c r="C238" s="363">
        <f t="shared" si="84"/>
        <v>19.9111665279354</v>
      </c>
      <c r="D238" s="364">
        <f t="shared" si="85"/>
        <v>1.5205521148671681</v>
      </c>
      <c r="E238" s="364">
        <f t="shared" si="86"/>
        <v>1.0153222494904193</v>
      </c>
      <c r="F238" s="365">
        <f t="shared" si="87"/>
        <v>0.17394902171917859</v>
      </c>
      <c r="G238" s="364">
        <f t="shared" si="88"/>
        <v>1.0495521675868948</v>
      </c>
      <c r="H238" s="365">
        <f t="shared" si="89"/>
        <v>-0.30850910106114315</v>
      </c>
      <c r="I238" s="363">
        <f t="shared" si="90"/>
        <v>58592.684616261184</v>
      </c>
      <c r="J238" s="366">
        <f t="shared" si="91"/>
        <v>1.570779259817908</v>
      </c>
      <c r="K238" s="374">
        <f t="shared" si="107"/>
        <v>17.717891050132465</v>
      </c>
      <c r="L238" s="375">
        <f t="shared" si="108"/>
        <v>1.5143261930583953</v>
      </c>
      <c r="M238" s="363">
        <f t="shared" si="92"/>
        <v>1.196407581682458</v>
      </c>
      <c r="N238" s="366">
        <f t="shared" si="93"/>
        <v>0.58114327897151608</v>
      </c>
      <c r="O238" s="367">
        <f t="shared" si="94"/>
        <v>1.0177436958383372</v>
      </c>
      <c r="P238" s="368">
        <f t="shared" si="95"/>
        <v>0.24548622619083046</v>
      </c>
      <c r="Q238" s="369">
        <f t="shared" si="96"/>
        <v>-10.544834176791838</v>
      </c>
      <c r="R238" s="370">
        <f t="shared" si="97"/>
        <v>-145.42784784767642</v>
      </c>
      <c r="S238" s="372">
        <f t="shared" si="98"/>
        <v>34.572152152323582</v>
      </c>
      <c r="U238" s="345">
        <f t="shared" si="104"/>
        <v>14125</v>
      </c>
      <c r="V238" s="345">
        <f t="shared" si="105"/>
        <v>199515625</v>
      </c>
      <c r="X238" s="371">
        <f t="shared" si="99"/>
        <v>16.150463796735313</v>
      </c>
      <c r="Y238" s="372">
        <f t="shared" si="100"/>
        <v>-36.531579685095444</v>
      </c>
      <c r="AA238" s="371">
        <f t="shared" si="101"/>
        <v>33.865276498477719</v>
      </c>
      <c r="AB238" s="372">
        <f t="shared" si="102"/>
        <v>-108.89626816258095</v>
      </c>
      <c r="AD238">
        <f t="shared" si="106"/>
        <v>0</v>
      </c>
      <c r="AE238">
        <f t="shared" si="109"/>
        <v>0</v>
      </c>
    </row>
    <row r="239" spans="1:31" x14ac:dyDescent="0.2">
      <c r="A239" s="373">
        <v>14207.25</v>
      </c>
      <c r="B239" s="390">
        <f t="shared" si="103"/>
        <v>14.20725</v>
      </c>
      <c r="C239" s="363">
        <f t="shared" si="84"/>
        <v>20.026817821840677</v>
      </c>
      <c r="D239" s="364">
        <f t="shared" si="85"/>
        <v>1.520842508502944</v>
      </c>
      <c r="E239" s="364">
        <f t="shared" si="86"/>
        <v>1.0154998463198381</v>
      </c>
      <c r="F239" s="365">
        <f t="shared" si="87"/>
        <v>0.17494144574741857</v>
      </c>
      <c r="G239" s="364">
        <f t="shared" si="88"/>
        <v>1.0501171186071252</v>
      </c>
      <c r="H239" s="365">
        <f t="shared" si="89"/>
        <v>-0.3101928087845755</v>
      </c>
      <c r="I239" s="363">
        <f t="shared" si="90"/>
        <v>58933.870337201915</v>
      </c>
      <c r="J239" s="366">
        <f t="shared" si="91"/>
        <v>1.5707793586237189</v>
      </c>
      <c r="K239" s="374">
        <f t="shared" si="107"/>
        <v>17.820734783478077</v>
      </c>
      <c r="L239" s="375">
        <f t="shared" si="108"/>
        <v>1.5146524269125938</v>
      </c>
      <c r="M239" s="363">
        <f t="shared" si="92"/>
        <v>1.198511458966967</v>
      </c>
      <c r="N239" s="366">
        <f t="shared" si="93"/>
        <v>0.58381051966902597</v>
      </c>
      <c r="O239" s="367">
        <f t="shared" si="94"/>
        <v>1.0179500598818654</v>
      </c>
      <c r="P239" s="368">
        <f t="shared" si="95"/>
        <v>0.24689428152134435</v>
      </c>
      <c r="Q239" s="369">
        <f t="shared" si="96"/>
        <v>-10.606127118884721</v>
      </c>
      <c r="R239" s="370">
        <f t="shared" si="97"/>
        <v>-145.69890491674252</v>
      </c>
      <c r="S239" s="372">
        <f t="shared" si="98"/>
        <v>34.301095083257479</v>
      </c>
      <c r="U239" s="345">
        <f t="shared" si="104"/>
        <v>14207.25</v>
      </c>
      <c r="V239" s="345">
        <f t="shared" si="105"/>
        <v>201845952.5625</v>
      </c>
      <c r="X239" s="371">
        <f t="shared" si="99"/>
        <v>16.135043391206477</v>
      </c>
      <c r="Y239" s="372">
        <f t="shared" si="100"/>
        <v>-36.665715158337655</v>
      </c>
      <c r="AA239" s="371">
        <f t="shared" si="101"/>
        <v>33.819403961913672</v>
      </c>
      <c r="AB239" s="372">
        <f t="shared" si="102"/>
        <v>-109.0331897584049</v>
      </c>
      <c r="AD239">
        <f t="shared" si="106"/>
        <v>0</v>
      </c>
      <c r="AE239">
        <f t="shared" si="109"/>
        <v>0</v>
      </c>
    </row>
    <row r="240" spans="1:31" x14ac:dyDescent="0.2">
      <c r="A240" s="373">
        <v>14289.5</v>
      </c>
      <c r="B240" s="390">
        <f t="shared" si="103"/>
        <v>14.2895</v>
      </c>
      <c r="C240" s="363">
        <f t="shared" si="84"/>
        <v>20.142470785183249</v>
      </c>
      <c r="D240" s="364">
        <f t="shared" si="85"/>
        <v>1.5211295674293486</v>
      </c>
      <c r="E240" s="364">
        <f t="shared" si="86"/>
        <v>1.0156784429702468</v>
      </c>
      <c r="F240" s="365">
        <f t="shared" si="87"/>
        <v>0.17593352173727447</v>
      </c>
      <c r="G240" s="364">
        <f t="shared" si="88"/>
        <v>1.0506850433683388</v>
      </c>
      <c r="H240" s="365">
        <f t="shared" si="89"/>
        <v>-0.31187470108909188</v>
      </c>
      <c r="I240" s="363">
        <f t="shared" si="90"/>
        <v>59275.056058143215</v>
      </c>
      <c r="J240" s="366">
        <f t="shared" si="91"/>
        <v>1.5707794562920823</v>
      </c>
      <c r="K240" s="374">
        <f t="shared" si="107"/>
        <v>17.923580391692738</v>
      </c>
      <c r="L240" s="375">
        <f t="shared" si="108"/>
        <v>1.514974916937293</v>
      </c>
      <c r="M240" s="363">
        <f t="shared" si="92"/>
        <v>1.2006238327519247</v>
      </c>
      <c r="N240" s="366">
        <f t="shared" si="93"/>
        <v>0.58646839375006155</v>
      </c>
      <c r="O240" s="367">
        <f t="shared" si="94"/>
        <v>1.0181576019419198</v>
      </c>
      <c r="P240" s="368">
        <f t="shared" si="95"/>
        <v>0.24830197229571552</v>
      </c>
      <c r="Q240" s="369">
        <f t="shared" si="96"/>
        <v>-10.667142410881667</v>
      </c>
      <c r="R240" s="370">
        <f t="shared" si="97"/>
        <v>-145.96934373166164</v>
      </c>
      <c r="S240" s="372">
        <f t="shared" si="98"/>
        <v>34.030656268338362</v>
      </c>
      <c r="U240" s="345">
        <f t="shared" si="104"/>
        <v>14289.5</v>
      </c>
      <c r="V240" s="345">
        <f t="shared" si="105"/>
        <v>204189810.25</v>
      </c>
      <c r="X240" s="371">
        <f t="shared" si="99"/>
        <v>16.119591027350889</v>
      </c>
      <c r="Y240" s="372">
        <f t="shared" si="100"/>
        <v>-36.799528404445788</v>
      </c>
      <c r="AA240" s="371">
        <f t="shared" si="101"/>
        <v>33.773841033772314</v>
      </c>
      <c r="AB240" s="372">
        <f t="shared" si="102"/>
        <v>-109.16981532721584</v>
      </c>
      <c r="AD240">
        <f t="shared" si="106"/>
        <v>0</v>
      </c>
      <c r="AE240">
        <f t="shared" si="109"/>
        <v>0</v>
      </c>
    </row>
    <row r="241" spans="1:31" x14ac:dyDescent="0.2">
      <c r="A241" s="373">
        <v>14371.75</v>
      </c>
      <c r="B241" s="390">
        <f t="shared" si="103"/>
        <v>14.37175</v>
      </c>
      <c r="C241" s="363">
        <f t="shared" si="84"/>
        <v>20.258125389370839</v>
      </c>
      <c r="D241" s="364">
        <f t="shared" si="85"/>
        <v>1.5214133487127075</v>
      </c>
      <c r="E241" s="364">
        <f t="shared" si="86"/>
        <v>1.0158580389143135</v>
      </c>
      <c r="F241" s="365">
        <f t="shared" si="87"/>
        <v>0.17692524791999628</v>
      </c>
      <c r="G241" s="364">
        <f t="shared" si="88"/>
        <v>1.0512559370509829</v>
      </c>
      <c r="H241" s="365">
        <f t="shared" si="89"/>
        <v>-0.31355477140933918</v>
      </c>
      <c r="I241" s="363">
        <f t="shared" si="90"/>
        <v>59616.241779085067</v>
      </c>
      <c r="J241" s="366">
        <f t="shared" si="91"/>
        <v>1.5707795528425272</v>
      </c>
      <c r="K241" s="374">
        <f t="shared" si="107"/>
        <v>18.026427842686548</v>
      </c>
      <c r="L241" s="375">
        <f t="shared" si="108"/>
        <v>1.5152937271446383</v>
      </c>
      <c r="M241" s="363">
        <f t="shared" si="92"/>
        <v>1.2027446582702617</v>
      </c>
      <c r="N241" s="366">
        <f t="shared" si="93"/>
        <v>0.58911691311313175</v>
      </c>
      <c r="O241" s="367">
        <f t="shared" si="94"/>
        <v>1.0183663216809213</v>
      </c>
      <c r="P241" s="368">
        <f t="shared" si="95"/>
        <v>0.2497092966410184</v>
      </c>
      <c r="Q241" s="369">
        <f t="shared" si="96"/>
        <v>-10.727882931083631</v>
      </c>
      <c r="R241" s="370">
        <f t="shared" si="97"/>
        <v>-146.23916419518491</v>
      </c>
      <c r="S241" s="372">
        <f t="shared" si="98"/>
        <v>33.760835804815088</v>
      </c>
      <c r="U241" s="345">
        <f t="shared" si="104"/>
        <v>14371.75</v>
      </c>
      <c r="V241" s="345">
        <f t="shared" si="105"/>
        <v>206547198.0625</v>
      </c>
      <c r="X241" s="371">
        <f t="shared" si="99"/>
        <v>16.104107196130247</v>
      </c>
      <c r="Y241" s="372">
        <f t="shared" si="100"/>
        <v>-36.933016438647343</v>
      </c>
      <c r="AA241" s="371">
        <f t="shared" si="101"/>
        <v>33.728584344790995</v>
      </c>
      <c r="AB241" s="372">
        <f t="shared" si="102"/>
        <v>-109.30614775653754</v>
      </c>
      <c r="AD241">
        <f t="shared" si="106"/>
        <v>0</v>
      </c>
      <c r="AE241">
        <f t="shared" si="109"/>
        <v>0</v>
      </c>
    </row>
    <row r="242" spans="1:31" x14ac:dyDescent="0.2">
      <c r="A242" s="373">
        <v>14454</v>
      </c>
      <c r="B242" s="390">
        <f t="shared" si="103"/>
        <v>14.454000000000001</v>
      </c>
      <c r="C242" s="363">
        <f t="shared" si="84"/>
        <v>20.373781606459989</v>
      </c>
      <c r="D242" s="364">
        <f t="shared" si="85"/>
        <v>1.5216939081256884</v>
      </c>
      <c r="E242" s="364">
        <f t="shared" si="86"/>
        <v>1.0160386336221303</v>
      </c>
      <c r="F242" s="365">
        <f t="shared" si="87"/>
        <v>0.17791662253083343</v>
      </c>
      <c r="G242" s="364">
        <f t="shared" si="88"/>
        <v>1.0518297948208004</v>
      </c>
      <c r="H242" s="365">
        <f t="shared" si="89"/>
        <v>-0.31523301323532305</v>
      </c>
      <c r="I242" s="363">
        <f t="shared" si="90"/>
        <v>59957.427500027479</v>
      </c>
      <c r="J242" s="366">
        <f t="shared" si="91"/>
        <v>1.5707796482941379</v>
      </c>
      <c r="K242" s="374">
        <f t="shared" si="107"/>
        <v>18.129277105097231</v>
      </c>
      <c r="L242" s="375">
        <f t="shared" si="108"/>
        <v>1.5156089200972163</v>
      </c>
      <c r="M242" s="363">
        <f t="shared" si="92"/>
        <v>1.2048738908916188</v>
      </c>
      <c r="N242" s="366">
        <f t="shared" si="93"/>
        <v>0.59175609009809649</v>
      </c>
      <c r="O242" s="367">
        <f t="shared" si="94"/>
        <v>1.0185762187596918</v>
      </c>
      <c r="P242" s="368">
        <f t="shared" si="95"/>
        <v>0.25111625268819593</v>
      </c>
      <c r="Q242" s="369">
        <f t="shared" si="96"/>
        <v>-10.788351504129469</v>
      </c>
      <c r="R242" s="370">
        <f t="shared" si="97"/>
        <v>-146.50836624742246</v>
      </c>
      <c r="S242" s="372">
        <f t="shared" si="98"/>
        <v>33.491633752577542</v>
      </c>
      <c r="U242" s="345">
        <f t="shared" si="104"/>
        <v>14454</v>
      </c>
      <c r="V242" s="345">
        <f t="shared" si="105"/>
        <v>208918116</v>
      </c>
      <c r="X242" s="371">
        <f t="shared" si="99"/>
        <v>16.088592386518542</v>
      </c>
      <c r="Y242" s="372">
        <f t="shared" si="100"/>
        <v>-37.066176384485516</v>
      </c>
      <c r="AA242" s="371">
        <f t="shared" si="101"/>
        <v>33.683630581356859</v>
      </c>
      <c r="AB242" s="372">
        <f t="shared" si="102"/>
        <v>-109.44218986293696</v>
      </c>
      <c r="AD242">
        <f t="shared" si="106"/>
        <v>0</v>
      </c>
      <c r="AE242">
        <f t="shared" si="109"/>
        <v>0</v>
      </c>
    </row>
    <row r="243" spans="1:31" x14ac:dyDescent="0.2">
      <c r="A243" s="373">
        <v>14622.5</v>
      </c>
      <c r="B243" s="390">
        <f t="shared" si="103"/>
        <v>14.6225</v>
      </c>
      <c r="C243" s="363">
        <f t="shared" si="84"/>
        <v>20.610723581379951</v>
      </c>
      <c r="D243" s="364">
        <f t="shared" si="85"/>
        <v>1.522258838435488</v>
      </c>
      <c r="E243" s="364">
        <f t="shared" si="86"/>
        <v>1.0164117224148408</v>
      </c>
      <c r="F243" s="365">
        <f t="shared" si="87"/>
        <v>0.17994647920800888</v>
      </c>
      <c r="G243" s="364">
        <f t="shared" si="88"/>
        <v>1.0530146540289953</v>
      </c>
      <c r="H243" s="365">
        <f t="shared" si="89"/>
        <v>-0.31866537641600839</v>
      </c>
      <c r="I243" s="363">
        <f t="shared" si="90"/>
        <v>60656.391560561613</v>
      </c>
      <c r="J243" s="366">
        <f t="shared" si="91"/>
        <v>1.5707798404861282</v>
      </c>
      <c r="K243" s="374">
        <f t="shared" si="107"/>
        <v>18.339982945950911</v>
      </c>
      <c r="L243" s="375">
        <f t="shared" si="108"/>
        <v>1.5162435949136039</v>
      </c>
      <c r="M243" s="363">
        <f t="shared" si="92"/>
        <v>1.2092619714856196</v>
      </c>
      <c r="N243" s="366">
        <f t="shared" si="93"/>
        <v>0.59713367336938572</v>
      </c>
      <c r="O243" s="367">
        <f t="shared" si="94"/>
        <v>1.0190098957931992</v>
      </c>
      <c r="P243" s="368">
        <f t="shared" si="95"/>
        <v>0.25399743021304655</v>
      </c>
      <c r="Q243" s="369">
        <f t="shared" si="96"/>
        <v>-10.911391771472116</v>
      </c>
      <c r="R243" s="370">
        <f t="shared" si="97"/>
        <v>-147.0579310349863</v>
      </c>
      <c r="S243" s="372">
        <f t="shared" si="98"/>
        <v>32.942068965013704</v>
      </c>
      <c r="U243" s="345">
        <f t="shared" si="104"/>
        <v>14622.5</v>
      </c>
      <c r="V243" s="345">
        <f t="shared" si="105"/>
        <v>213817506.25</v>
      </c>
      <c r="X243" s="371">
        <f t="shared" si="99"/>
        <v>16.056713559148058</v>
      </c>
      <c r="Y243" s="372">
        <f t="shared" si="100"/>
        <v>-37.337936033668726</v>
      </c>
      <c r="AA243" s="371">
        <f t="shared" si="101"/>
        <v>33.592469141384697</v>
      </c>
      <c r="AB243" s="372">
        <f t="shared" si="102"/>
        <v>-109.7199950013176</v>
      </c>
      <c r="AD243">
        <f t="shared" si="106"/>
        <v>0</v>
      </c>
      <c r="AE243">
        <f t="shared" si="109"/>
        <v>0</v>
      </c>
    </row>
    <row r="244" spans="1:31" x14ac:dyDescent="0.2">
      <c r="A244" s="373">
        <v>14706.75</v>
      </c>
      <c r="B244" s="390">
        <f t="shared" si="103"/>
        <v>14.70675</v>
      </c>
      <c r="C244" s="363">
        <f t="shared" si="84"/>
        <v>20.72919699323527</v>
      </c>
      <c r="D244" s="364">
        <f t="shared" si="85"/>
        <v>1.5225364605328158</v>
      </c>
      <c r="E244" s="364">
        <f t="shared" si="86"/>
        <v>1.0165998364222719</v>
      </c>
      <c r="F244" s="365">
        <f t="shared" si="87"/>
        <v>0.18096084674389631</v>
      </c>
      <c r="G244" s="364">
        <f t="shared" si="88"/>
        <v>1.0536117279041117</v>
      </c>
      <c r="H244" s="365">
        <f t="shared" si="89"/>
        <v>-0.32037865296839851</v>
      </c>
      <c r="I244" s="363">
        <f t="shared" si="90"/>
        <v>61005.87359082952</v>
      </c>
      <c r="J244" s="366">
        <f t="shared" si="91"/>
        <v>1.5707799349306188</v>
      </c>
      <c r="K244" s="374">
        <f t="shared" si="107"/>
        <v>18.445338589245825</v>
      </c>
      <c r="L244" s="375">
        <f t="shared" si="108"/>
        <v>1.5165554947189759</v>
      </c>
      <c r="M244" s="363">
        <f t="shared" si="92"/>
        <v>1.211469054152458</v>
      </c>
      <c r="N244" s="366">
        <f t="shared" si="93"/>
        <v>0.59980781768666724</v>
      </c>
      <c r="O244" s="367">
        <f t="shared" si="94"/>
        <v>1.019228585790765</v>
      </c>
      <c r="P244" s="368">
        <f t="shared" si="95"/>
        <v>0.25543743140294478</v>
      </c>
      <c r="Q244" s="369">
        <f t="shared" si="96"/>
        <v>-10.972495523044765</v>
      </c>
      <c r="R244" s="370">
        <f t="shared" si="97"/>
        <v>-147.33174018934091</v>
      </c>
      <c r="S244" s="372">
        <f t="shared" si="98"/>
        <v>32.668259810659094</v>
      </c>
      <c r="U244" s="345">
        <f t="shared" si="104"/>
        <v>14706.75</v>
      </c>
      <c r="V244" s="345">
        <f t="shared" si="105"/>
        <v>216288495.5625</v>
      </c>
      <c r="X244" s="371">
        <f t="shared" si="99"/>
        <v>16.040727456925808</v>
      </c>
      <c r="Y244" s="372">
        <f t="shared" si="100"/>
        <v>-37.473288085804448</v>
      </c>
      <c r="AA244" s="371">
        <f t="shared" si="101"/>
        <v>33.547351492034295</v>
      </c>
      <c r="AB244" s="372">
        <f t="shared" si="102"/>
        <v>-109.85845210353648</v>
      </c>
      <c r="AD244">
        <f t="shared" si="106"/>
        <v>0</v>
      </c>
      <c r="AE244">
        <f t="shared" si="109"/>
        <v>0</v>
      </c>
    </row>
    <row r="245" spans="1:31" x14ac:dyDescent="0.2">
      <c r="A245" s="373">
        <v>14791</v>
      </c>
      <c r="B245" s="390">
        <f t="shared" si="103"/>
        <v>14.791</v>
      </c>
      <c r="C245" s="363">
        <f t="shared" si="84"/>
        <v>20.847671984614585</v>
      </c>
      <c r="D245" s="364">
        <f t="shared" si="85"/>
        <v>1.5228109272603556</v>
      </c>
      <c r="E245" s="364">
        <f t="shared" si="86"/>
        <v>1.0167889960637888</v>
      </c>
      <c r="F245" s="365">
        <f t="shared" si="87"/>
        <v>0.18197483790447447</v>
      </c>
      <c r="G245" s="364">
        <f t="shared" si="88"/>
        <v>1.0542118909546667</v>
      </c>
      <c r="H245" s="365">
        <f t="shared" si="89"/>
        <v>-0.32208998380193127</v>
      </c>
      <c r="I245" s="363">
        <f t="shared" si="90"/>
        <v>61355.355621097951</v>
      </c>
      <c r="J245" s="366">
        <f t="shared" si="91"/>
        <v>1.5707800282991919</v>
      </c>
      <c r="K245" s="374">
        <f t="shared" si="107"/>
        <v>18.550696006548751</v>
      </c>
      <c r="L245" s="375">
        <f t="shared" si="108"/>
        <v>1.5168638517265647</v>
      </c>
      <c r="M245" s="363">
        <f t="shared" si="92"/>
        <v>1.2136847685481038</v>
      </c>
      <c r="N245" s="366">
        <f t="shared" si="93"/>
        <v>0.60247221711303789</v>
      </c>
      <c r="O245" s="367">
        <f t="shared" si="94"/>
        <v>1.0194485096141828</v>
      </c>
      <c r="P245" s="368">
        <f t="shared" si="95"/>
        <v>0.25687703822079516</v>
      </c>
      <c r="Q245" s="369">
        <f t="shared" si="96"/>
        <v>-11.03332545865876</v>
      </c>
      <c r="R245" s="370">
        <f t="shared" si="97"/>
        <v>-147.60490062630146</v>
      </c>
      <c r="S245" s="372">
        <f t="shared" si="98"/>
        <v>32.395099373698542</v>
      </c>
      <c r="U245" s="345">
        <f t="shared" si="104"/>
        <v>14791</v>
      </c>
      <c r="V245" s="345">
        <f t="shared" si="105"/>
        <v>218773681</v>
      </c>
      <c r="X245" s="371">
        <f t="shared" si="99"/>
        <v>16.02471091793673</v>
      </c>
      <c r="Y245" s="372">
        <f t="shared" si="100"/>
        <v>-37.608284722533874</v>
      </c>
      <c r="AA245" s="371">
        <f t="shared" si="101"/>
        <v>33.502538095409385</v>
      </c>
      <c r="AB245" s="372">
        <f t="shared" si="102"/>
        <v>-109.99661590376758</v>
      </c>
      <c r="AD245">
        <f t="shared" si="106"/>
        <v>0</v>
      </c>
      <c r="AE245">
        <f t="shared" si="109"/>
        <v>0</v>
      </c>
    </row>
    <row r="246" spans="1:31" x14ac:dyDescent="0.2">
      <c r="A246" s="373">
        <v>14877.25</v>
      </c>
      <c r="B246" s="390">
        <f t="shared" si="103"/>
        <v>14.87725</v>
      </c>
      <c r="C246" s="363">
        <f t="shared" si="84"/>
        <v>20.968961046957137</v>
      </c>
      <c r="D246" s="364">
        <f t="shared" si="85"/>
        <v>1.523088696701093</v>
      </c>
      <c r="E246" s="364">
        <f t="shared" si="86"/>
        <v>1.0169837286946632</v>
      </c>
      <c r="F246" s="365">
        <f t="shared" si="87"/>
        <v>0.18301250823124646</v>
      </c>
      <c r="G246" s="364">
        <f t="shared" si="88"/>
        <v>1.0548294957399282</v>
      </c>
      <c r="H246" s="365">
        <f t="shared" si="89"/>
        <v>-0.32383991716015198</v>
      </c>
      <c r="I246" s="363">
        <f t="shared" si="90"/>
        <v>61713.133960690815</v>
      </c>
      <c r="J246" s="366">
        <f t="shared" si="91"/>
        <v>1.5707801227887821</v>
      </c>
      <c r="K246" s="374">
        <f t="shared" si="107"/>
        <v>18.65855629643886</v>
      </c>
      <c r="L246" s="375">
        <f t="shared" si="108"/>
        <v>1.5171759214322058</v>
      </c>
      <c r="M246" s="363">
        <f t="shared" si="92"/>
        <v>1.215961973759887</v>
      </c>
      <c r="N246" s="366">
        <f t="shared" si="93"/>
        <v>0.60518978797734024</v>
      </c>
      <c r="O246" s="367">
        <f t="shared" si="94"/>
        <v>1.0196749318994933</v>
      </c>
      <c r="P246" s="368">
        <f t="shared" si="95"/>
        <v>0.25835040908017992</v>
      </c>
      <c r="Q246" s="369">
        <f t="shared" si="96"/>
        <v>-11.09531867024449</v>
      </c>
      <c r="R246" s="370">
        <f t="shared" si="97"/>
        <v>-147.88387371861756</v>
      </c>
      <c r="S246" s="372">
        <f t="shared" si="98"/>
        <v>32.116126281382435</v>
      </c>
      <c r="U246" s="345">
        <f t="shared" si="104"/>
        <v>14877.25</v>
      </c>
      <c r="V246" s="345">
        <f t="shared" si="105"/>
        <v>221332567.5625</v>
      </c>
      <c r="X246" s="371">
        <f t="shared" si="99"/>
        <v>16.008283171359444</v>
      </c>
      <c r="Y246" s="372">
        <f t="shared" si="100"/>
        <v>-37.746115200551209</v>
      </c>
      <c r="AA246" s="371">
        <f t="shared" si="101"/>
        <v>33.456972630400934</v>
      </c>
      <c r="AB246" s="372">
        <f t="shared" si="102"/>
        <v>-110.13775851806632</v>
      </c>
      <c r="AD246">
        <f t="shared" si="106"/>
        <v>0</v>
      </c>
      <c r="AE246">
        <f t="shared" si="109"/>
        <v>0</v>
      </c>
    </row>
    <row r="247" spans="1:31" x14ac:dyDescent="0.2">
      <c r="A247" s="373">
        <v>14963.5</v>
      </c>
      <c r="B247" s="390">
        <f t="shared" si="103"/>
        <v>14.9635</v>
      </c>
      <c r="C247" s="363">
        <f t="shared" si="84"/>
        <v>21.090251708569202</v>
      </c>
      <c r="D247" s="364">
        <f t="shared" si="85"/>
        <v>1.5233632712422676</v>
      </c>
      <c r="E247" s="364">
        <f t="shared" si="86"/>
        <v>1.017179555952672</v>
      </c>
      <c r="F247" s="365">
        <f t="shared" si="87"/>
        <v>0.18404978013027729</v>
      </c>
      <c r="G247" s="364">
        <f t="shared" si="88"/>
        <v>1.0554503269084077</v>
      </c>
      <c r="H247" s="365">
        <f t="shared" si="89"/>
        <v>-0.32558779719332231</v>
      </c>
      <c r="I247" s="363">
        <f t="shared" si="90"/>
        <v>62070.912300284224</v>
      </c>
      <c r="J247" s="366">
        <f t="shared" si="91"/>
        <v>1.5707802161890914</v>
      </c>
      <c r="K247" s="374">
        <f t="shared" si="107"/>
        <v>18.766418382551301</v>
      </c>
      <c r="L247" s="375">
        <f t="shared" si="108"/>
        <v>1.5174844038566111</v>
      </c>
      <c r="M247" s="363">
        <f t="shared" si="92"/>
        <v>1.2182481254729081</v>
      </c>
      <c r="N247" s="366">
        <f t="shared" si="93"/>
        <v>0.60789717924364428</v>
      </c>
      <c r="O247" s="367">
        <f t="shared" si="94"/>
        <v>1.0199026464918435</v>
      </c>
      <c r="P247" s="368">
        <f t="shared" si="95"/>
        <v>0.2598233624110467</v>
      </c>
      <c r="Q247" s="369">
        <f t="shared" si="96"/>
        <v>-11.157030717517856</v>
      </c>
      <c r="R247" s="370">
        <f t="shared" si="97"/>
        <v>-148.16216724107983</v>
      </c>
      <c r="S247" s="372">
        <f t="shared" si="98"/>
        <v>31.837832758920172</v>
      </c>
      <c r="U247" s="345">
        <f t="shared" si="104"/>
        <v>14963.5</v>
      </c>
      <c r="V247" s="345">
        <f t="shared" si="105"/>
        <v>223906332.25</v>
      </c>
      <c r="X247" s="371">
        <f t="shared" si="99"/>
        <v>15.991824612064292</v>
      </c>
      <c r="Y247" s="372">
        <f t="shared" si="100"/>
        <v>-37.883567904229224</v>
      </c>
      <c r="AA247" s="371">
        <f t="shared" si="101"/>
        <v>33.411719142422726</v>
      </c>
      <c r="AB247" s="372">
        <f t="shared" si="102"/>
        <v>-110.27859933685058</v>
      </c>
      <c r="AD247">
        <f t="shared" si="106"/>
        <v>0</v>
      </c>
      <c r="AE247">
        <f t="shared" si="109"/>
        <v>0</v>
      </c>
    </row>
    <row r="248" spans="1:31" x14ac:dyDescent="0.2">
      <c r="A248" s="373">
        <v>15049.75</v>
      </c>
      <c r="B248" s="390">
        <f t="shared" si="103"/>
        <v>15.04975</v>
      </c>
      <c r="C248" s="363">
        <f t="shared" si="84"/>
        <v>21.211543942016217</v>
      </c>
      <c r="D248" s="364">
        <f t="shared" si="85"/>
        <v>1.5236347056495165</v>
      </c>
      <c r="E248" s="364">
        <f t="shared" si="86"/>
        <v>1.0173764772057252</v>
      </c>
      <c r="F248" s="365">
        <f t="shared" si="87"/>
        <v>0.18508665160021515</v>
      </c>
      <c r="G248" s="364">
        <f t="shared" si="88"/>
        <v>1.0560743787700533</v>
      </c>
      <c r="H248" s="365">
        <f t="shared" si="89"/>
        <v>-0.32733361685229201</v>
      </c>
      <c r="I248" s="363">
        <f t="shared" si="90"/>
        <v>62428.690639878158</v>
      </c>
      <c r="J248" s="366">
        <f t="shared" si="91"/>
        <v>1.5707803085188476</v>
      </c>
      <c r="K248" s="374">
        <f t="shared" si="107"/>
        <v>18.874282234091105</v>
      </c>
      <c r="L248" s="375">
        <f t="shared" si="108"/>
        <v>1.5177893604429735</v>
      </c>
      <c r="M248" s="363">
        <f t="shared" si="92"/>
        <v>1.2205431734151431</v>
      </c>
      <c r="N248" s="366">
        <f t="shared" si="93"/>
        <v>0.6105944085342474</v>
      </c>
      <c r="O248" s="367">
        <f t="shared" si="94"/>
        <v>1.0201316529870801</v>
      </c>
      <c r="P248" s="368">
        <f t="shared" si="95"/>
        <v>0.26129589609067483</v>
      </c>
      <c r="Q248" s="369">
        <f t="shared" si="96"/>
        <v>-11.218464456007073</v>
      </c>
      <c r="R248" s="370">
        <f t="shared" si="97"/>
        <v>-148.43978141100823</v>
      </c>
      <c r="S248" s="372">
        <f t="shared" si="98"/>
        <v>31.560218588991773</v>
      </c>
      <c r="U248" s="345">
        <f t="shared" si="104"/>
        <v>15049.75</v>
      </c>
      <c r="V248" s="345">
        <f t="shared" si="105"/>
        <v>226494975.0625</v>
      </c>
      <c r="X248" s="371">
        <f t="shared" si="99"/>
        <v>15.975335785199968</v>
      </c>
      <c r="Y248" s="372">
        <f t="shared" si="100"/>
        <v>-38.020640323888543</v>
      </c>
      <c r="AA248" s="371">
        <f t="shared" si="101"/>
        <v>33.36677423079783</v>
      </c>
      <c r="AB248" s="372">
        <f t="shared" si="102"/>
        <v>-110.41914108711968</v>
      </c>
      <c r="AD248">
        <f t="shared" si="106"/>
        <v>0</v>
      </c>
      <c r="AE248">
        <f t="shared" si="109"/>
        <v>0</v>
      </c>
    </row>
    <row r="249" spans="1:31" x14ac:dyDescent="0.2">
      <c r="A249" s="373">
        <v>15136</v>
      </c>
      <c r="B249" s="390">
        <f t="shared" si="103"/>
        <v>15.135999999999999</v>
      </c>
      <c r="C249" s="363">
        <f t="shared" si="84"/>
        <v>21.332837720487209</v>
      </c>
      <c r="D249" s="364">
        <f t="shared" si="85"/>
        <v>1.5239030534448104</v>
      </c>
      <c r="E249" s="364">
        <f t="shared" si="86"/>
        <v>1.017574491818692</v>
      </c>
      <c r="F249" s="365">
        <f t="shared" si="87"/>
        <v>0.18612312064469727</v>
      </c>
      <c r="G249" s="364">
        <f t="shared" si="88"/>
        <v>1.0567016456187714</v>
      </c>
      <c r="H249" s="365">
        <f t="shared" si="89"/>
        <v>-0.32907736915475794</v>
      </c>
      <c r="I249" s="363">
        <f t="shared" si="90"/>
        <v>62786.468979472629</v>
      </c>
      <c r="J249" s="366">
        <f t="shared" si="91"/>
        <v>1.5707803997963523</v>
      </c>
      <c r="K249" s="374">
        <f t="shared" si="107"/>
        <v>18.982147820962769</v>
      </c>
      <c r="L249" s="375">
        <f t="shared" si="108"/>
        <v>1.5180908512405467</v>
      </c>
      <c r="M249" s="363">
        <f t="shared" si="92"/>
        <v>1.2228470674970766</v>
      </c>
      <c r="N249" s="366">
        <f t="shared" si="93"/>
        <v>0.61328149393083897</v>
      </c>
      <c r="O249" s="367">
        <f t="shared" si="94"/>
        <v>1.0203619509791702</v>
      </c>
      <c r="P249" s="368">
        <f t="shared" si="95"/>
        <v>0.26276800800117112</v>
      </c>
      <c r="Q249" s="369">
        <f t="shared" si="96"/>
        <v>-11.279622688172745</v>
      </c>
      <c r="R249" s="370">
        <f t="shared" si="97"/>
        <v>-148.71671648445053</v>
      </c>
      <c r="S249" s="372">
        <f t="shared" si="98"/>
        <v>31.283283515549471</v>
      </c>
      <c r="U249" s="345">
        <f t="shared" si="104"/>
        <v>15136</v>
      </c>
      <c r="V249" s="345">
        <f t="shared" si="105"/>
        <v>229098496</v>
      </c>
      <c r="X249" s="371">
        <f t="shared" si="99"/>
        <v>15.958817232895443</v>
      </c>
      <c r="Y249" s="372">
        <f t="shared" si="100"/>
        <v>-38.157330056013464</v>
      </c>
      <c r="AA249" s="371">
        <f t="shared" si="101"/>
        <v>33.322134550936681</v>
      </c>
      <c r="AB249" s="372">
        <f t="shared" si="102"/>
        <v>-110.55938642843705</v>
      </c>
      <c r="AD249">
        <f t="shared" si="106"/>
        <v>0</v>
      </c>
      <c r="AE249">
        <f t="shared" si="109"/>
        <v>0</v>
      </c>
    </row>
    <row r="250" spans="1:31" x14ac:dyDescent="0.2">
      <c r="A250" s="373">
        <v>15224</v>
      </c>
      <c r="B250" s="390">
        <f t="shared" si="103"/>
        <v>15.224</v>
      </c>
      <c r="C250" s="363">
        <f t="shared" si="84"/>
        <v>21.456594097321567</v>
      </c>
      <c r="D250" s="364">
        <f t="shared" si="85"/>
        <v>1.5241737190650473</v>
      </c>
      <c r="E250" s="364">
        <f t="shared" si="86"/>
        <v>1.0177776503184206</v>
      </c>
      <c r="F250" s="365">
        <f t="shared" si="87"/>
        <v>0.18718020267363153</v>
      </c>
      <c r="G250" s="364">
        <f t="shared" si="88"/>
        <v>1.057344947180012</v>
      </c>
      <c r="H250" s="365">
        <f t="shared" si="89"/>
        <v>-0.33085436406189506</v>
      </c>
      <c r="I250" s="363">
        <f t="shared" si="90"/>
        <v>63151.506589726072</v>
      </c>
      <c r="J250" s="366">
        <f t="shared" si="91"/>
        <v>1.5707804918599277</v>
      </c>
      <c r="K250" s="374">
        <f t="shared" si="107"/>
        <v>19.092203742944221</v>
      </c>
      <c r="L250" s="375">
        <f t="shared" si="108"/>
        <v>1.5183949481551804</v>
      </c>
      <c r="M250" s="363">
        <f t="shared" si="92"/>
        <v>1.2252067726658573</v>
      </c>
      <c r="N250" s="366">
        <f t="shared" si="93"/>
        <v>0.61601266442268787</v>
      </c>
      <c r="O250" s="367">
        <f t="shared" si="94"/>
        <v>1.0205982523300061</v>
      </c>
      <c r="P250" s="368">
        <f t="shared" si="95"/>
        <v>0.2642695519640868</v>
      </c>
      <c r="Q250" s="369">
        <f t="shared" si="96"/>
        <v>-11.341740717902724</v>
      </c>
      <c r="R250" s="370">
        <f t="shared" si="97"/>
        <v>-148.99857093123447</v>
      </c>
      <c r="S250" s="372">
        <f t="shared" si="98"/>
        <v>31.001429068765532</v>
      </c>
      <c r="U250" s="345">
        <f t="shared" si="104"/>
        <v>15224</v>
      </c>
      <c r="V250" s="345">
        <f t="shared" si="105"/>
        <v>231770176</v>
      </c>
      <c r="X250" s="371">
        <f t="shared" si="99"/>
        <v>15.941933444616936</v>
      </c>
      <c r="Y250" s="372">
        <f t="shared" si="100"/>
        <v>-38.296396403568842</v>
      </c>
      <c r="AA250" s="371">
        <f t="shared" si="101"/>
        <v>33.276900309485214</v>
      </c>
      <c r="AB250" s="372">
        <f t="shared" si="102"/>
        <v>-110.70217452766562</v>
      </c>
      <c r="AD250">
        <f t="shared" si="106"/>
        <v>0</v>
      </c>
      <c r="AE250">
        <f t="shared" si="109"/>
        <v>0</v>
      </c>
    </row>
    <row r="251" spans="1:31" x14ac:dyDescent="0.2">
      <c r="A251" s="373">
        <v>15312</v>
      </c>
      <c r="B251" s="390">
        <f t="shared" si="103"/>
        <v>15.311999999999999</v>
      </c>
      <c r="C251" s="363">
        <f t="shared" si="84"/>
        <v>21.580352028034564</v>
      </c>
      <c r="D251" s="364">
        <f t="shared" si="85"/>
        <v>1.5244412803051941</v>
      </c>
      <c r="E251" s="364">
        <f t="shared" si="86"/>
        <v>1.0179819456510322</v>
      </c>
      <c r="F251" s="365">
        <f t="shared" si="87"/>
        <v>0.18823686159851569</v>
      </c>
      <c r="G251" s="364">
        <f t="shared" si="88"/>
        <v>1.0579915834645339</v>
      </c>
      <c r="H251" s="365">
        <f t="shared" si="89"/>
        <v>-0.3326291923966071</v>
      </c>
      <c r="I251" s="363">
        <f t="shared" si="90"/>
        <v>63516.544199980039</v>
      </c>
      <c r="J251" s="366">
        <f t="shared" si="91"/>
        <v>1.570780582865301</v>
      </c>
      <c r="K251" s="374">
        <f t="shared" si="107"/>
        <v>19.202261410237686</v>
      </c>
      <c r="L251" s="375">
        <f t="shared" si="108"/>
        <v>1.5186955592373923</v>
      </c>
      <c r="M251" s="363">
        <f t="shared" si="92"/>
        <v>1.22757558183482</v>
      </c>
      <c r="N251" s="366">
        <f t="shared" si="93"/>
        <v>0.61873331465741677</v>
      </c>
      <c r="O251" s="367">
        <f t="shared" si="94"/>
        <v>1.0208358972580702</v>
      </c>
      <c r="P251" s="368">
        <f t="shared" si="95"/>
        <v>0.26577065243024817</v>
      </c>
      <c r="Q251" s="369">
        <f t="shared" si="96"/>
        <v>-11.403577678657788</v>
      </c>
      <c r="R251" s="370">
        <f t="shared" si="97"/>
        <v>-149.2797191027916</v>
      </c>
      <c r="S251" s="372">
        <f t="shared" si="98"/>
        <v>30.720280897208397</v>
      </c>
      <c r="U251" s="345">
        <f t="shared" si="104"/>
        <v>15312</v>
      </c>
      <c r="V251" s="345">
        <f t="shared" si="105"/>
        <v>234457344</v>
      </c>
      <c r="X251" s="371">
        <f t="shared" si="99"/>
        <v>15.925019842700658</v>
      </c>
      <c r="Y251" s="372">
        <f t="shared" si="100"/>
        <v>-38.435059647646732</v>
      </c>
      <c r="AA251" s="371">
        <f t="shared" si="101"/>
        <v>33.231976950646427</v>
      </c>
      <c r="AB251" s="372">
        <f t="shared" si="102"/>
        <v>-110.84465945514484</v>
      </c>
      <c r="AD251">
        <f t="shared" si="106"/>
        <v>0</v>
      </c>
      <c r="AE251">
        <f t="shared" si="109"/>
        <v>0</v>
      </c>
    </row>
    <row r="252" spans="1:31" x14ac:dyDescent="0.2">
      <c r="A252" s="373">
        <v>15400</v>
      </c>
      <c r="B252" s="390">
        <f t="shared" si="103"/>
        <v>15.4</v>
      </c>
      <c r="C252" s="363">
        <f t="shared" si="84"/>
        <v>21.704111486045306</v>
      </c>
      <c r="D252" s="364">
        <f t="shared" si="85"/>
        <v>1.5247057902312577</v>
      </c>
      <c r="E252" s="364">
        <f t="shared" si="86"/>
        <v>1.0181873771322236</v>
      </c>
      <c r="F252" s="365">
        <f t="shared" si="87"/>
        <v>0.18929309531516675</v>
      </c>
      <c r="G252" s="364">
        <f t="shared" si="88"/>
        <v>1.0586415483616201</v>
      </c>
      <c r="H252" s="365">
        <f t="shared" si="89"/>
        <v>-0.33440184695783426</v>
      </c>
      <c r="I252" s="363">
        <f t="shared" si="90"/>
        <v>63881.581810234529</v>
      </c>
      <c r="J252" s="366">
        <f t="shared" si="91"/>
        <v>1.5707806728306131</v>
      </c>
      <c r="K252" s="374">
        <f t="shared" si="107"/>
        <v>19.312320793004446</v>
      </c>
      <c r="L252" s="375">
        <f t="shared" si="108"/>
        <v>1.5189927440288284</v>
      </c>
      <c r="M252" s="363">
        <f t="shared" si="92"/>
        <v>1.2299534424028546</v>
      </c>
      <c r="N252" s="366">
        <f t="shared" si="93"/>
        <v>0.62144346525909644</v>
      </c>
      <c r="O252" s="367">
        <f t="shared" si="94"/>
        <v>1.0210748853261065</v>
      </c>
      <c r="P252" s="368">
        <f t="shared" si="95"/>
        <v>0.26727130716587311</v>
      </c>
      <c r="Q252" s="369">
        <f t="shared" si="96"/>
        <v>-11.465136384575832</v>
      </c>
      <c r="R252" s="370">
        <f t="shared" si="97"/>
        <v>-149.56016139079082</v>
      </c>
      <c r="S252" s="372">
        <f t="shared" si="98"/>
        <v>30.439838609209176</v>
      </c>
      <c r="U252" s="345">
        <f t="shared" si="104"/>
        <v>15400</v>
      </c>
      <c r="V252" s="345">
        <f t="shared" si="105"/>
        <v>237160000</v>
      </c>
      <c r="X252" s="371">
        <f t="shared" si="99"/>
        <v>15.908076992838174</v>
      </c>
      <c r="Y252" s="372">
        <f t="shared" si="100"/>
        <v>-38.573317559473715</v>
      </c>
      <c r="AA252" s="371">
        <f t="shared" si="101"/>
        <v>33.187361094590869</v>
      </c>
      <c r="AB252" s="372">
        <f t="shared" si="102"/>
        <v>-110.9868438313171</v>
      </c>
      <c r="AD252">
        <f t="shared" si="106"/>
        <v>0</v>
      </c>
      <c r="AE252">
        <f t="shared" si="109"/>
        <v>0</v>
      </c>
    </row>
    <row r="253" spans="1:31" x14ac:dyDescent="0.2">
      <c r="A253" s="373">
        <v>15488</v>
      </c>
      <c r="B253" s="390">
        <f t="shared" si="103"/>
        <v>15.488</v>
      </c>
      <c r="C253" s="363">
        <f t="shared" si="84"/>
        <v>21.827872445375423</v>
      </c>
      <c r="D253" s="364">
        <f t="shared" si="85"/>
        <v>1.5249673007074687</v>
      </c>
      <c r="E253" s="364">
        <f t="shared" si="86"/>
        <v>1.0183939440744396</v>
      </c>
      <c r="F253" s="365">
        <f t="shared" si="87"/>
        <v>0.19034890172488983</v>
      </c>
      <c r="G253" s="364">
        <f t="shared" si="88"/>
        <v>1.0592948357441341</v>
      </c>
      <c r="H253" s="365">
        <f t="shared" si="89"/>
        <v>-0.33617232061679014</v>
      </c>
      <c r="I253" s="363">
        <f t="shared" si="90"/>
        <v>64246.619420489529</v>
      </c>
      <c r="J253" s="366">
        <f t="shared" si="91"/>
        <v>1.5707807617735918</v>
      </c>
      <c r="K253" s="374">
        <f t="shared" si="107"/>
        <v>19.422381862081657</v>
      </c>
      <c r="L253" s="375">
        <f t="shared" si="108"/>
        <v>1.5192865607239656</v>
      </c>
      <c r="M253" s="363">
        <f t="shared" si="92"/>
        <v>1.2323403019746184</v>
      </c>
      <c r="N253" s="366">
        <f t="shared" si="93"/>
        <v>0.62414313730987148</v>
      </c>
      <c r="O253" s="367">
        <f t="shared" si="94"/>
        <v>1.0213152160948551</v>
      </c>
      <c r="P253" s="368">
        <f t="shared" si="95"/>
        <v>0.26877151394249182</v>
      </c>
      <c r="Q253" s="369">
        <f t="shared" si="96"/>
        <v>-11.526419597825925</v>
      </c>
      <c r="R253" s="370">
        <f t="shared" si="97"/>
        <v>-149.83989822558456</v>
      </c>
      <c r="S253" s="372">
        <f t="shared" si="98"/>
        <v>30.160101774415438</v>
      </c>
      <c r="U253" s="345">
        <f t="shared" si="104"/>
        <v>15488</v>
      </c>
      <c r="V253" s="345">
        <f t="shared" si="105"/>
        <v>239878144</v>
      </c>
      <c r="X253" s="371">
        <f t="shared" si="99"/>
        <v>15.891105457196538</v>
      </c>
      <c r="Y253" s="372">
        <f t="shared" si="100"/>
        <v>-38.711168013685537</v>
      </c>
      <c r="AA253" s="371">
        <f t="shared" si="101"/>
        <v>33.143049416982407</v>
      </c>
      <c r="AB253" s="372">
        <f t="shared" si="102"/>
        <v>-111.12873021189901</v>
      </c>
      <c r="AD253">
        <f t="shared" si="106"/>
        <v>0</v>
      </c>
      <c r="AE253">
        <f t="shared" si="109"/>
        <v>0</v>
      </c>
    </row>
    <row r="254" spans="1:31" x14ac:dyDescent="0.2">
      <c r="A254" s="373">
        <v>15578.25</v>
      </c>
      <c r="B254" s="390">
        <f t="shared" si="103"/>
        <v>15.578250000000001</v>
      </c>
      <c r="C254" s="363">
        <f t="shared" si="84"/>
        <v>21.954799280208842</v>
      </c>
      <c r="D254" s="364">
        <f t="shared" si="85"/>
        <v>1.5252324351633788</v>
      </c>
      <c r="E254" s="364">
        <f t="shared" si="86"/>
        <v>1.0186069712138186</v>
      </c>
      <c r="F254" s="365">
        <f t="shared" si="87"/>
        <v>0.19143125715742768</v>
      </c>
      <c r="G254" s="364">
        <f t="shared" si="88"/>
        <v>1.0599682710581049</v>
      </c>
      <c r="H254" s="365">
        <f t="shared" si="89"/>
        <v>-0.33798578941897695</v>
      </c>
      <c r="I254" s="363">
        <f t="shared" si="90"/>
        <v>64620.990378734532</v>
      </c>
      <c r="J254" s="366">
        <f t="shared" si="91"/>
        <v>1.5707808519469535</v>
      </c>
      <c r="K254" s="374">
        <f t="shared" si="107"/>
        <v>19.535258714263019</v>
      </c>
      <c r="L254" s="375">
        <f t="shared" si="108"/>
        <v>1.5195844509868526</v>
      </c>
      <c r="M254" s="363">
        <f t="shared" si="92"/>
        <v>1.2347974816164387</v>
      </c>
      <c r="N254" s="366">
        <f t="shared" si="93"/>
        <v>0.62690097377098186</v>
      </c>
      <c r="O254" s="367">
        <f t="shared" si="94"/>
        <v>1.021563085857371</v>
      </c>
      <c r="P254" s="368">
        <f t="shared" si="95"/>
        <v>0.27030961066429432</v>
      </c>
      <c r="Q254" s="369">
        <f t="shared" si="96"/>
        <v>-11.58898640297507</v>
      </c>
      <c r="R254" s="370">
        <f t="shared" si="97"/>
        <v>-150.12605517384785</v>
      </c>
      <c r="S254" s="372">
        <f t="shared" si="98"/>
        <v>29.873944826152155</v>
      </c>
      <c r="U254" s="345">
        <f t="shared" si="104"/>
        <v>15578.25</v>
      </c>
      <c r="V254" s="345">
        <f t="shared" si="105"/>
        <v>242681873.0625</v>
      </c>
      <c r="X254" s="371">
        <f t="shared" si="99"/>
        <v>15.873670780039193</v>
      </c>
      <c r="Y254" s="372">
        <f t="shared" si="100"/>
        <v>-38.852117715387081</v>
      </c>
      <c r="AA254" s="371">
        <f t="shared" si="101"/>
        <v>33.097917288990608</v>
      </c>
      <c r="AB254" s="372">
        <f t="shared" si="102"/>
        <v>-111.27393745846076</v>
      </c>
      <c r="AD254">
        <f t="shared" si="106"/>
        <v>0</v>
      </c>
      <c r="AE254">
        <f t="shared" si="109"/>
        <v>0</v>
      </c>
    </row>
    <row r="255" spans="1:31" x14ac:dyDescent="0.2">
      <c r="A255" s="373">
        <v>15668.5</v>
      </c>
      <c r="B255" s="390">
        <f t="shared" si="103"/>
        <v>15.6685</v>
      </c>
      <c r="C255" s="363">
        <f t="shared" si="84"/>
        <v>22.081727640640519</v>
      </c>
      <c r="D255" s="364">
        <f t="shared" si="85"/>
        <v>1.5254945215896365</v>
      </c>
      <c r="E255" s="364">
        <f t="shared" si="86"/>
        <v>1.0188211911445917</v>
      </c>
      <c r="F255" s="365">
        <f t="shared" si="87"/>
        <v>0.1925131586993595</v>
      </c>
      <c r="G255" s="364">
        <f t="shared" si="88"/>
        <v>1.0606451878237049</v>
      </c>
      <c r="H255" s="365">
        <f t="shared" si="89"/>
        <v>-0.33979694941509381</v>
      </c>
      <c r="I255" s="363">
        <f t="shared" si="90"/>
        <v>64995.361336980037</v>
      </c>
      <c r="J255" s="366">
        <f t="shared" si="91"/>
        <v>1.5707809410815246</v>
      </c>
      <c r="K255" s="374">
        <f t="shared" si="107"/>
        <v>19.648137280057995</v>
      </c>
      <c r="L255" s="375">
        <f t="shared" si="108"/>
        <v>1.5198789185159809</v>
      </c>
      <c r="M255" s="363">
        <f t="shared" si="92"/>
        <v>1.2372640153664618</v>
      </c>
      <c r="N255" s="366">
        <f t="shared" si="93"/>
        <v>0.62964783534688773</v>
      </c>
      <c r="O255" s="367">
        <f t="shared" si="94"/>
        <v>1.0218123669169301</v>
      </c>
      <c r="P255" s="368">
        <f t="shared" si="95"/>
        <v>0.27184723149678874</v>
      </c>
      <c r="Q255" s="369">
        <f t="shared" si="96"/>
        <v>-11.65126917025013</v>
      </c>
      <c r="R255" s="370">
        <f t="shared" si="97"/>
        <v>-150.41147117167668</v>
      </c>
      <c r="S255" s="372">
        <f t="shared" si="98"/>
        <v>29.588528828323319</v>
      </c>
      <c r="U255" s="345">
        <f t="shared" si="104"/>
        <v>15668.5</v>
      </c>
      <c r="V255" s="345">
        <f t="shared" si="105"/>
        <v>245501892.25</v>
      </c>
      <c r="X255" s="371">
        <f t="shared" si="99"/>
        <v>15.856207117534069</v>
      </c>
      <c r="Y255" s="372">
        <f t="shared" si="100"/>
        <v>-38.992634651165751</v>
      </c>
      <c r="AA255" s="371">
        <f t="shared" si="101"/>
        <v>33.053098184220673</v>
      </c>
      <c r="AB255" s="372">
        <f t="shared" si="102"/>
        <v>-111.41883652051092</v>
      </c>
      <c r="AD255">
        <f t="shared" si="106"/>
        <v>0</v>
      </c>
      <c r="AE255">
        <f t="shared" si="109"/>
        <v>0</v>
      </c>
    </row>
    <row r="256" spans="1:31" x14ac:dyDescent="0.2">
      <c r="A256" s="373">
        <v>15758.75</v>
      </c>
      <c r="B256" s="390">
        <f t="shared" si="103"/>
        <v>15.758749999999999</v>
      </c>
      <c r="C256" s="363">
        <f t="shared" si="84"/>
        <v>22.208657500512853</v>
      </c>
      <c r="D256" s="364">
        <f t="shared" si="85"/>
        <v>1.5257536122114324</v>
      </c>
      <c r="E256" s="364">
        <f t="shared" si="86"/>
        <v>1.0190366031145197</v>
      </c>
      <c r="F256" s="365">
        <f t="shared" si="87"/>
        <v>0.19359460410498017</v>
      </c>
      <c r="G256" s="364">
        <f t="shared" si="88"/>
        <v>1.0613255793794916</v>
      </c>
      <c r="H256" s="365">
        <f t="shared" si="89"/>
        <v>-0.34160579315193584</v>
      </c>
      <c r="I256" s="363">
        <f t="shared" si="90"/>
        <v>65369.732295226066</v>
      </c>
      <c r="J256" s="366">
        <f t="shared" si="91"/>
        <v>1.5707810291951525</v>
      </c>
      <c r="K256" s="374">
        <f t="shared" si="107"/>
        <v>19.761017530101149</v>
      </c>
      <c r="L256" s="375">
        <f t="shared" si="108"/>
        <v>1.5201700219145695</v>
      </c>
      <c r="M256" s="363">
        <f t="shared" si="92"/>
        <v>1.2397398473930805</v>
      </c>
      <c r="N256" s="366">
        <f t="shared" si="93"/>
        <v>0.63238374621517923</v>
      </c>
      <c r="O256" s="367">
        <f t="shared" si="94"/>
        <v>1.0220630587931927</v>
      </c>
      <c r="P256" s="368">
        <f t="shared" si="95"/>
        <v>0.27338437405370586</v>
      </c>
      <c r="Q256" s="369">
        <f t="shared" si="96"/>
        <v>-11.713270717259984</v>
      </c>
      <c r="R256" s="370">
        <f t="shared" si="97"/>
        <v>-150.69614680484244</v>
      </c>
      <c r="S256" s="372">
        <f t="shared" si="98"/>
        <v>29.303853195157558</v>
      </c>
      <c r="U256" s="345">
        <f t="shared" si="104"/>
        <v>15758.75</v>
      </c>
      <c r="V256" s="345">
        <f t="shared" si="105"/>
        <v>248338201.5625</v>
      </c>
      <c r="X256" s="371">
        <f t="shared" si="99"/>
        <v>15.838715064178665</v>
      </c>
      <c r="Y256" s="372">
        <f t="shared" si="100"/>
        <v>-39.13271684960084</v>
      </c>
      <c r="AA256" s="371">
        <f t="shared" si="101"/>
        <v>33.008588690566221</v>
      </c>
      <c r="AB256" s="372">
        <f t="shared" si="102"/>
        <v>-111.56342995524162</v>
      </c>
      <c r="AD256">
        <f t="shared" si="106"/>
        <v>0</v>
      </c>
      <c r="AE256">
        <f t="shared" si="109"/>
        <v>0</v>
      </c>
    </row>
    <row r="257" spans="1:31" x14ac:dyDescent="0.2">
      <c r="A257" s="373">
        <v>15849</v>
      </c>
      <c r="B257" s="390">
        <f t="shared" si="103"/>
        <v>15.849</v>
      </c>
      <c r="C257" s="363">
        <f t="shared" si="84"/>
        <v>22.335588834262548</v>
      </c>
      <c r="D257" s="364">
        <f t="shared" si="85"/>
        <v>1.5260097580684207</v>
      </c>
      <c r="E257" s="364">
        <f t="shared" si="86"/>
        <v>1.0192532063678157</v>
      </c>
      <c r="F257" s="365">
        <f t="shared" si="87"/>
        <v>0.19467559113474547</v>
      </c>
      <c r="G257" s="364">
        <f t="shared" si="88"/>
        <v>1.062009439046943</v>
      </c>
      <c r="H257" s="365">
        <f t="shared" si="89"/>
        <v>-0.34341231325597754</v>
      </c>
      <c r="I257" s="363">
        <f t="shared" si="90"/>
        <v>65744.103253472582</v>
      </c>
      <c r="J257" s="366">
        <f t="shared" si="91"/>
        <v>1.5707811163052778</v>
      </c>
      <c r="K257" s="374">
        <f t="shared" si="107"/>
        <v>19.87389943569379</v>
      </c>
      <c r="L257" s="375">
        <f t="shared" si="108"/>
        <v>1.5204578184567048</v>
      </c>
      <c r="M257" s="363">
        <f t="shared" si="92"/>
        <v>1.2422249221001538</v>
      </c>
      <c r="N257" s="366">
        <f t="shared" si="93"/>
        <v>0.63510873101680598</v>
      </c>
      <c r="O257" s="367">
        <f t="shared" si="94"/>
        <v>1.0223151610036387</v>
      </c>
      <c r="P257" s="368">
        <f t="shared" si="95"/>
        <v>0.2749210359547416</v>
      </c>
      <c r="Q257" s="369">
        <f t="shared" si="96"/>
        <v>-11.774993809686059</v>
      </c>
      <c r="R257" s="370">
        <f t="shared" si="97"/>
        <v>-150.98008269842336</v>
      </c>
      <c r="S257" s="372">
        <f t="shared" si="98"/>
        <v>29.019917301576641</v>
      </c>
      <c r="U257" s="345">
        <f t="shared" si="104"/>
        <v>15849</v>
      </c>
      <c r="V257" s="345">
        <f t="shared" si="105"/>
        <v>251190801</v>
      </c>
      <c r="X257" s="371">
        <f t="shared" si="99"/>
        <v>15.821195210345717</v>
      </c>
      <c r="Y257" s="372">
        <f t="shared" si="100"/>
        <v>-39.272362441950634</v>
      </c>
      <c r="AA257" s="371">
        <f t="shared" si="101"/>
        <v>32.964385451973094</v>
      </c>
      <c r="AB257" s="372">
        <f t="shared" si="102"/>
        <v>-111.70772025647277</v>
      </c>
      <c r="AD257">
        <f t="shared" si="106"/>
        <v>0</v>
      </c>
      <c r="AE257">
        <f t="shared" si="109"/>
        <v>0</v>
      </c>
    </row>
    <row r="258" spans="1:31" x14ac:dyDescent="0.2">
      <c r="A258" s="373">
        <v>15941.25</v>
      </c>
      <c r="B258" s="390">
        <f t="shared" si="103"/>
        <v>15.94125</v>
      </c>
      <c r="C258" s="363">
        <f t="shared" si="84"/>
        <v>22.465334547977076</v>
      </c>
      <c r="D258" s="364">
        <f t="shared" si="85"/>
        <v>1.5262685888455525</v>
      </c>
      <c r="E258" s="364">
        <f t="shared" si="86"/>
        <v>1.0194758400779715</v>
      </c>
      <c r="F258" s="365">
        <f t="shared" si="87"/>
        <v>0.19578005750531011</v>
      </c>
      <c r="G258" s="364">
        <f t="shared" si="88"/>
        <v>1.0627120307752673</v>
      </c>
      <c r="H258" s="365">
        <f t="shared" si="89"/>
        <v>-0.34525645800989935</v>
      </c>
      <c r="I258" s="363">
        <f t="shared" si="90"/>
        <v>66126.770521043654</v>
      </c>
      <c r="J258" s="366">
        <f t="shared" si="91"/>
        <v>1.5707812043264597</v>
      </c>
      <c r="K258" s="374">
        <f t="shared" si="107"/>
        <v>19.989284561148025</v>
      </c>
      <c r="L258" s="375">
        <f t="shared" si="108"/>
        <v>1.5207486334470459</v>
      </c>
      <c r="M258" s="363">
        <f t="shared" si="92"/>
        <v>1.2447745622668518</v>
      </c>
      <c r="N258" s="366">
        <f t="shared" si="93"/>
        <v>0.63788283747839669</v>
      </c>
      <c r="O258" s="367">
        <f t="shared" si="94"/>
        <v>1.0225743070234368</v>
      </c>
      <c r="P258" s="368">
        <f t="shared" si="95"/>
        <v>0.27649125208180553</v>
      </c>
      <c r="Q258" s="369">
        <f t="shared" si="96"/>
        <v>-11.837799774229483</v>
      </c>
      <c r="R258" s="370">
        <f t="shared" si="97"/>
        <v>-151.26954698030517</v>
      </c>
      <c r="S258" s="372">
        <f t="shared" si="98"/>
        <v>28.730453019694835</v>
      </c>
      <c r="U258" s="345">
        <f t="shared" si="104"/>
        <v>15941.25</v>
      </c>
      <c r="V258" s="345">
        <f t="shared" si="105"/>
        <v>254123451.5625</v>
      </c>
      <c r="X258" s="371">
        <f t="shared" si="99"/>
        <v>15.803258983764778</v>
      </c>
      <c r="Y258" s="372">
        <f t="shared" si="100"/>
        <v>-39.414649605958886</v>
      </c>
      <c r="AA258" s="371">
        <f t="shared" si="101"/>
        <v>32.919515714010615</v>
      </c>
      <c r="AB258" s="372">
        <f t="shared" si="102"/>
        <v>-111.85489737434624</v>
      </c>
      <c r="AD258">
        <f t="shared" si="106"/>
        <v>0</v>
      </c>
      <c r="AE258">
        <f t="shared" si="109"/>
        <v>0</v>
      </c>
    </row>
    <row r="259" spans="1:31" x14ac:dyDescent="0.2">
      <c r="A259" s="373">
        <v>16033.5</v>
      </c>
      <c r="B259" s="390">
        <f t="shared" si="103"/>
        <v>16.0335</v>
      </c>
      <c r="C259" s="363">
        <f t="shared" si="84"/>
        <v>22.595081749435661</v>
      </c>
      <c r="D259" s="364">
        <f t="shared" si="85"/>
        <v>1.5265244470840089</v>
      </c>
      <c r="E259" s="364">
        <f t="shared" si="86"/>
        <v>1.0196997168476929</v>
      </c>
      <c r="F259" s="365">
        <f t="shared" si="87"/>
        <v>0.19688404024721293</v>
      </c>
      <c r="G259" s="364">
        <f t="shared" si="88"/>
        <v>1.0634182318660843</v>
      </c>
      <c r="H259" s="365">
        <f t="shared" si="89"/>
        <v>-0.34709815967910784</v>
      </c>
      <c r="I259" s="363">
        <f t="shared" si="90"/>
        <v>66509.437788615236</v>
      </c>
      <c r="J259" s="366">
        <f t="shared" si="91"/>
        <v>1.5707812913347681</v>
      </c>
      <c r="K259" s="374">
        <f t="shared" si="107"/>
        <v>20.104671357758114</v>
      </c>
      <c r="L259" s="375">
        <f t="shared" si="108"/>
        <v>1.5210361103108916</v>
      </c>
      <c r="M259" s="363">
        <f t="shared" si="92"/>
        <v>1.2473337425988993</v>
      </c>
      <c r="N259" s="366">
        <f t="shared" si="93"/>
        <v>0.6406455817458887</v>
      </c>
      <c r="O259" s="367">
        <f t="shared" si="94"/>
        <v>1.0228349255515203</v>
      </c>
      <c r="P259" s="368">
        <f t="shared" si="95"/>
        <v>0.27806096100373817</v>
      </c>
      <c r="Q259" s="369">
        <f t="shared" si="96"/>
        <v>-11.900320488817771</v>
      </c>
      <c r="R259" s="370">
        <f t="shared" si="97"/>
        <v>-151.55823981574861</v>
      </c>
      <c r="S259" s="372">
        <f t="shared" si="98"/>
        <v>28.441760184251393</v>
      </c>
      <c r="U259" s="345">
        <f t="shared" si="104"/>
        <v>16033.5</v>
      </c>
      <c r="V259" s="345">
        <f t="shared" si="105"/>
        <v>257073122.25</v>
      </c>
      <c r="X259" s="371">
        <f t="shared" si="99"/>
        <v>15.785294944836307</v>
      </c>
      <c r="Y259" s="372">
        <f t="shared" si="100"/>
        <v>-39.556476966725064</v>
      </c>
      <c r="AA259" s="371">
        <f t="shared" si="101"/>
        <v>32.874959038350788</v>
      </c>
      <c r="AB259" s="372">
        <f t="shared" si="102"/>
        <v>-112.00176284902356</v>
      </c>
      <c r="AD259">
        <f t="shared" si="106"/>
        <v>0</v>
      </c>
      <c r="AE259">
        <f t="shared" si="109"/>
        <v>0</v>
      </c>
    </row>
    <row r="260" spans="1:31" x14ac:dyDescent="0.2">
      <c r="A260" s="373">
        <v>16125.75</v>
      </c>
      <c r="B260" s="390">
        <f t="shared" si="103"/>
        <v>16.12575</v>
      </c>
      <c r="C260" s="363">
        <f t="shared" si="84"/>
        <v>22.724830413155527</v>
      </c>
      <c r="D260" s="364">
        <f t="shared" si="85"/>
        <v>1.5267773836656182</v>
      </c>
      <c r="E260" s="364">
        <f t="shared" si="86"/>
        <v>1.0199248358584132</v>
      </c>
      <c r="F260" s="365">
        <f t="shared" si="87"/>
        <v>0.19798753698879828</v>
      </c>
      <c r="G260" s="364">
        <f t="shared" si="88"/>
        <v>1.0641280351334097</v>
      </c>
      <c r="H260" s="365">
        <f t="shared" si="89"/>
        <v>-0.34893741064647738</v>
      </c>
      <c r="I260" s="363">
        <f t="shared" si="90"/>
        <v>66892.105056187283</v>
      </c>
      <c r="J260" s="366">
        <f t="shared" si="91"/>
        <v>1.570781377347586</v>
      </c>
      <c r="K260" s="374">
        <f t="shared" si="107"/>
        <v>20.220059796914438</v>
      </c>
      <c r="L260" s="375">
        <f t="shared" si="108"/>
        <v>1.521320306148692</v>
      </c>
      <c r="M260" s="363">
        <f t="shared" si="92"/>
        <v>1.2499024044957137</v>
      </c>
      <c r="N260" s="366">
        <f t="shared" si="93"/>
        <v>0.64339699156639185</v>
      </c>
      <c r="O260" s="367">
        <f t="shared" si="94"/>
        <v>1.0230970160655688</v>
      </c>
      <c r="P260" s="368">
        <f t="shared" si="95"/>
        <v>0.27963016019792136</v>
      </c>
      <c r="Q260" s="369">
        <f t="shared" si="96"/>
        <v>-11.962558747266407</v>
      </c>
      <c r="R260" s="370">
        <f t="shared" si="97"/>
        <v>-151.84616199416263</v>
      </c>
      <c r="S260" s="372">
        <f t="shared" si="98"/>
        <v>28.153838005837372</v>
      </c>
      <c r="U260" s="345">
        <f t="shared" si="104"/>
        <v>16125.75</v>
      </c>
      <c r="V260" s="345">
        <f t="shared" si="105"/>
        <v>260039813.0625</v>
      </c>
      <c r="X260" s="371">
        <f t="shared" si="99"/>
        <v>15.767303710392655</v>
      </c>
      <c r="Y260" s="372">
        <f t="shared" si="100"/>
        <v>-39.697842843422578</v>
      </c>
      <c r="AA260" s="371">
        <f t="shared" si="101"/>
        <v>32.830712014345806</v>
      </c>
      <c r="AB260" s="372">
        <f t="shared" si="102"/>
        <v>-112.14831915074009</v>
      </c>
      <c r="AD260">
        <f t="shared" si="106"/>
        <v>0</v>
      </c>
      <c r="AE260">
        <f t="shared" si="109"/>
        <v>0</v>
      </c>
    </row>
    <row r="261" spans="1:31" x14ac:dyDescent="0.2">
      <c r="A261" s="373">
        <v>16218</v>
      </c>
      <c r="B261" s="390">
        <f t="shared" si="103"/>
        <v>16.218</v>
      </c>
      <c r="C261" s="363">
        <f t="shared" si="84"/>
        <v>22.854580514232275</v>
      </c>
      <c r="D261" s="364">
        <f t="shared" si="85"/>
        <v>1.5270274483182578</v>
      </c>
      <c r="E261" s="364">
        <f t="shared" si="86"/>
        <v>1.0201511962877481</v>
      </c>
      <c r="F261" s="365">
        <f t="shared" si="87"/>
        <v>0.19909054536523255</v>
      </c>
      <c r="G261" s="364">
        <f t="shared" si="88"/>
        <v>1.0648414333738143</v>
      </c>
      <c r="H261" s="365">
        <f t="shared" si="89"/>
        <v>-0.35077420338146265</v>
      </c>
      <c r="I261" s="363">
        <f t="shared" si="90"/>
        <v>67274.77232375984</v>
      </c>
      <c r="J261" s="366">
        <f t="shared" si="91"/>
        <v>1.5707814623819005</v>
      </c>
      <c r="K261" s="374">
        <f t="shared" si="107"/>
        <v>20.335449850656346</v>
      </c>
      <c r="L261" s="375">
        <f t="shared" si="108"/>
        <v>1.5216012767670184</v>
      </c>
      <c r="M261" s="363">
        <f t="shared" si="92"/>
        <v>1.2524804896212161</v>
      </c>
      <c r="N261" s="366">
        <f t="shared" si="93"/>
        <v>0.64613709514625328</v>
      </c>
      <c r="O261" s="367">
        <f t="shared" si="94"/>
        <v>1.023360578040921</v>
      </c>
      <c r="P261" s="368">
        <f t="shared" si="95"/>
        <v>0.28119884714834381</v>
      </c>
      <c r="Q261" s="369">
        <f t="shared" si="96"/>
        <v>-12.024517292221725</v>
      </c>
      <c r="R261" s="370">
        <f t="shared" si="97"/>
        <v>-152.13331434421139</v>
      </c>
      <c r="S261" s="372">
        <f t="shared" si="98"/>
        <v>27.866685655788615</v>
      </c>
      <c r="U261" s="345">
        <f t="shared" si="104"/>
        <v>16218</v>
      </c>
      <c r="V261" s="345">
        <f t="shared" si="105"/>
        <v>263023524</v>
      </c>
      <c r="X261" s="371">
        <f t="shared" si="99"/>
        <v>15.749285892569722</v>
      </c>
      <c r="Y261" s="372">
        <f t="shared" si="100"/>
        <v>-39.838745655648388</v>
      </c>
      <c r="AA261" s="371">
        <f t="shared" si="101"/>
        <v>32.786771287213426</v>
      </c>
      <c r="AB261" s="372">
        <f t="shared" si="102"/>
        <v>-112.294568688563</v>
      </c>
      <c r="AD261">
        <f t="shared" si="106"/>
        <v>0</v>
      </c>
      <c r="AE261">
        <f t="shared" si="109"/>
        <v>0</v>
      </c>
    </row>
    <row r="262" spans="1:31" x14ac:dyDescent="0.2">
      <c r="A262" s="373">
        <v>16312.5</v>
      </c>
      <c r="B262" s="390">
        <f t="shared" si="103"/>
        <v>16.3125</v>
      </c>
      <c r="C262" s="363">
        <f t="shared" si="84"/>
        <v>22.987496716849478</v>
      </c>
      <c r="D262" s="364">
        <f t="shared" si="85"/>
        <v>1.5272806850569316</v>
      </c>
      <c r="E262" s="364">
        <f t="shared" si="86"/>
        <v>1.0203843640451347</v>
      </c>
      <c r="F262" s="365">
        <f t="shared" si="87"/>
        <v>0.20021994754277461</v>
      </c>
      <c r="G262" s="364">
        <f t="shared" si="88"/>
        <v>1.0655759515892178</v>
      </c>
      <c r="H262" s="365">
        <f t="shared" si="89"/>
        <v>-0.35265323925951347</v>
      </c>
      <c r="I262" s="363">
        <f t="shared" si="90"/>
        <v>67666.772939322458</v>
      </c>
      <c r="J262" s="366">
        <f t="shared" si="91"/>
        <v>1.5707815484929828</v>
      </c>
      <c r="K262" s="374">
        <f t="shared" si="107"/>
        <v>20.453655941524509</v>
      </c>
      <c r="L262" s="375">
        <f t="shared" si="108"/>
        <v>1.5218858131656721</v>
      </c>
      <c r="M262" s="363">
        <f t="shared" si="92"/>
        <v>1.2551311649560617</v>
      </c>
      <c r="N262" s="366">
        <f t="shared" si="93"/>
        <v>0.64893233722952304</v>
      </c>
      <c r="O262" s="367">
        <f t="shared" si="94"/>
        <v>1.0236320935391798</v>
      </c>
      <c r="P262" s="368">
        <f t="shared" si="95"/>
        <v>0.28280526099629971</v>
      </c>
      <c r="Q262" s="369">
        <f t="shared" si="96"/>
        <v>-12.087699805563517</v>
      </c>
      <c r="R262" s="370">
        <f t="shared" si="97"/>
        <v>-152.42667309487899</v>
      </c>
      <c r="S262" s="372">
        <f t="shared" si="98"/>
        <v>27.573326905121007</v>
      </c>
      <c r="U262" s="345">
        <f t="shared" si="104"/>
        <v>16312.5</v>
      </c>
      <c r="V262" s="345">
        <f t="shared" si="105"/>
        <v>266097656.25</v>
      </c>
      <c r="X262" s="371">
        <f t="shared" si="99"/>
        <v>15.730801686817941</v>
      </c>
      <c r="Y262" s="372">
        <f t="shared" si="100"/>
        <v>-39.982603428942333</v>
      </c>
      <c r="AA262" s="371">
        <f t="shared" si="101"/>
        <v>32.742072979623408</v>
      </c>
      <c r="AB262" s="372">
        <f t="shared" si="102"/>
        <v>-112.44406966593667</v>
      </c>
      <c r="AD262">
        <f t="shared" si="106"/>
        <v>0</v>
      </c>
      <c r="AE262">
        <f t="shared" si="109"/>
        <v>0</v>
      </c>
    </row>
    <row r="263" spans="1:31" x14ac:dyDescent="0.2">
      <c r="A263" s="373">
        <v>16407</v>
      </c>
      <c r="B263" s="390">
        <f t="shared" si="103"/>
        <v>16.407</v>
      </c>
      <c r="C263" s="363">
        <f t="shared" si="84"/>
        <v>23.120414376678738</v>
      </c>
      <c r="D263" s="364">
        <f t="shared" si="85"/>
        <v>1.5275310101305861</v>
      </c>
      <c r="E263" s="364">
        <f t="shared" si="86"/>
        <v>1.0206188327573953</v>
      </c>
      <c r="F263" s="365">
        <f t="shared" si="87"/>
        <v>0.2013488322402795</v>
      </c>
      <c r="G263" s="364">
        <f t="shared" si="88"/>
        <v>1.0663142269234471</v>
      </c>
      <c r="H263" s="365">
        <f t="shared" si="89"/>
        <v>-0.35452967980956324</v>
      </c>
      <c r="I263" s="363">
        <f t="shared" si="90"/>
        <v>68058.7735548856</v>
      </c>
      <c r="J263" s="366">
        <f t="shared" si="91"/>
        <v>1.5707816336121105</v>
      </c>
      <c r="K263" s="374">
        <f t="shared" si="107"/>
        <v>20.571863669310083</v>
      </c>
      <c r="L263" s="375">
        <f t="shared" si="108"/>
        <v>1.5221670796448175</v>
      </c>
      <c r="M263" s="363">
        <f t="shared" si="92"/>
        <v>1.2577916057270868</v>
      </c>
      <c r="N263" s="366">
        <f t="shared" si="93"/>
        <v>0.65171577617020415</v>
      </c>
      <c r="O263" s="367">
        <f t="shared" si="94"/>
        <v>1.0239051520306499</v>
      </c>
      <c r="P263" s="368">
        <f t="shared" si="95"/>
        <v>0.28441113198474766</v>
      </c>
      <c r="Q263" s="369">
        <f t="shared" si="96"/>
        <v>-12.150594461730133</v>
      </c>
      <c r="R263" s="370">
        <f t="shared" si="97"/>
        <v>-152.71922588944835</v>
      </c>
      <c r="S263" s="372">
        <f t="shared" si="98"/>
        <v>27.280774110551647</v>
      </c>
      <c r="U263" s="345">
        <f t="shared" si="104"/>
        <v>16407</v>
      </c>
      <c r="V263" s="345">
        <f t="shared" si="105"/>
        <v>269189649</v>
      </c>
      <c r="X263" s="371">
        <f t="shared" si="99"/>
        <v>15.712290870231477</v>
      </c>
      <c r="Y263" s="372">
        <f t="shared" si="100"/>
        <v>-40.125972227732788</v>
      </c>
      <c r="AA263" s="371">
        <f t="shared" si="101"/>
        <v>32.697689140043259</v>
      </c>
      <c r="AB263" s="372">
        <f t="shared" si="102"/>
        <v>-112.59325366171554</v>
      </c>
      <c r="AD263">
        <f t="shared" si="106"/>
        <v>0</v>
      </c>
      <c r="AE263">
        <f t="shared" si="109"/>
        <v>0</v>
      </c>
    </row>
    <row r="264" spans="1:31" x14ac:dyDescent="0.2">
      <c r="A264" s="373">
        <v>16501.5</v>
      </c>
      <c r="B264" s="390">
        <f t="shared" si="103"/>
        <v>16.5015</v>
      </c>
      <c r="C264" s="363">
        <f t="shared" si="84"/>
        <v>23.253333468731483</v>
      </c>
      <c r="D264" s="364">
        <f t="shared" si="85"/>
        <v>1.5277784734379505</v>
      </c>
      <c r="E264" s="364">
        <f t="shared" si="86"/>
        <v>1.0208546015281246</v>
      </c>
      <c r="F264" s="365">
        <f t="shared" si="87"/>
        <v>0.20247719693804764</v>
      </c>
      <c r="G264" s="364">
        <f t="shared" si="88"/>
        <v>1.0670562515780719</v>
      </c>
      <c r="H264" s="365">
        <f t="shared" si="89"/>
        <v>-0.35640351721833102</v>
      </c>
      <c r="I264" s="363">
        <f t="shared" si="90"/>
        <v>68450.774170449207</v>
      </c>
      <c r="J264" s="366">
        <f t="shared" si="91"/>
        <v>1.5707817177563261</v>
      </c>
      <c r="K264" s="374">
        <f t="shared" si="107"/>
        <v>20.69007300595667</v>
      </c>
      <c r="L264" s="375">
        <f t="shared" si="108"/>
        <v>1.5224451322060115</v>
      </c>
      <c r="M264" s="363">
        <f t="shared" si="92"/>
        <v>1.2604617500989421</v>
      </c>
      <c r="N264" s="366">
        <f t="shared" si="93"/>
        <v>0.65448744371334988</v>
      </c>
      <c r="O264" s="367">
        <f t="shared" si="94"/>
        <v>1.024179752943768</v>
      </c>
      <c r="P264" s="368">
        <f t="shared" si="95"/>
        <v>0.28601645743077336</v>
      </c>
      <c r="Q264" s="369">
        <f t="shared" si="96"/>
        <v>-12.213204050312347</v>
      </c>
      <c r="R264" s="370">
        <f t="shared" si="97"/>
        <v>-153.01097374106755</v>
      </c>
      <c r="S264" s="372">
        <f t="shared" si="98"/>
        <v>26.989026258932455</v>
      </c>
      <c r="U264" s="345">
        <f t="shared" si="104"/>
        <v>16501.5</v>
      </c>
      <c r="V264" s="345">
        <f t="shared" si="105"/>
        <v>272299502.25</v>
      </c>
      <c r="X264" s="371">
        <f t="shared" si="99"/>
        <v>15.693754085254037</v>
      </c>
      <c r="Y264" s="372">
        <f t="shared" si="100"/>
        <v>-40.268850663200894</v>
      </c>
      <c r="AA264" s="371">
        <f t="shared" si="101"/>
        <v>32.653616336438482</v>
      </c>
      <c r="AB264" s="372">
        <f t="shared" si="102"/>
        <v>-112.74212307786665</v>
      </c>
      <c r="AD264">
        <f t="shared" si="106"/>
        <v>0</v>
      </c>
      <c r="AE264">
        <f t="shared" si="109"/>
        <v>0</v>
      </c>
    </row>
    <row r="265" spans="1:31" x14ac:dyDescent="0.2">
      <c r="A265" s="373">
        <v>16596</v>
      </c>
      <c r="B265" s="390">
        <f t="shared" si="103"/>
        <v>16.596</v>
      </c>
      <c r="C265" s="363">
        <f t="shared" si="84"/>
        <v>23.386253968586981</v>
      </c>
      <c r="D265" s="364">
        <f t="shared" si="85"/>
        <v>1.5280231237447353</v>
      </c>
      <c r="E265" s="364">
        <f t="shared" si="86"/>
        <v>1.0210916694567769</v>
      </c>
      <c r="F265" s="365">
        <f t="shared" si="87"/>
        <v>0.20360503912399663</v>
      </c>
      <c r="G265" s="364">
        <f t="shared" si="88"/>
        <v>1.0678020177367884</v>
      </c>
      <c r="H265" s="365">
        <f t="shared" si="89"/>
        <v>-0.35827474376732116</v>
      </c>
      <c r="I265" s="363">
        <f t="shared" si="90"/>
        <v>68842.774786013295</v>
      </c>
      <c r="J265" s="366">
        <f t="shared" si="91"/>
        <v>1.5707818009422834</v>
      </c>
      <c r="K265" s="374">
        <f t="shared" si="107"/>
        <v>20.808283924045039</v>
      </c>
      <c r="L265" s="375">
        <f t="shared" si="108"/>
        <v>1.5227200255802562</v>
      </c>
      <c r="M265" s="363">
        <f t="shared" si="92"/>
        <v>1.2631415365345471</v>
      </c>
      <c r="N265" s="366">
        <f t="shared" si="93"/>
        <v>0.65724737205951889</v>
      </c>
      <c r="O265" s="367">
        <f t="shared" si="94"/>
        <v>1.0244558957044418</v>
      </c>
      <c r="P265" s="368">
        <f t="shared" si="95"/>
        <v>0.28762123465884237</v>
      </c>
      <c r="Q265" s="369">
        <f t="shared" si="96"/>
        <v>-12.275531310064785</v>
      </c>
      <c r="R265" s="370">
        <f t="shared" si="97"/>
        <v>-153.30191770225866</v>
      </c>
      <c r="S265" s="372">
        <f t="shared" si="98"/>
        <v>26.698082297741337</v>
      </c>
      <c r="U265" s="345">
        <f t="shared" si="104"/>
        <v>16596</v>
      </c>
      <c r="V265" s="345">
        <f t="shared" si="105"/>
        <v>275427216</v>
      </c>
      <c r="X265" s="371">
        <f t="shared" si="99"/>
        <v>15.675191968997543</v>
      </c>
      <c r="Y265" s="372">
        <f t="shared" si="100"/>
        <v>-40.411237445401561</v>
      </c>
      <c r="AA265" s="371">
        <f t="shared" si="101"/>
        <v>32.609851192942543</v>
      </c>
      <c r="AB265" s="372">
        <f t="shared" si="102"/>
        <v>-112.8906802568571</v>
      </c>
      <c r="AD265">
        <f t="shared" si="106"/>
        <v>0</v>
      </c>
      <c r="AE265">
        <f t="shared" si="109"/>
        <v>0</v>
      </c>
    </row>
    <row r="266" spans="1:31" x14ac:dyDescent="0.2">
      <c r="A266" s="373">
        <v>16692.5</v>
      </c>
      <c r="B266" s="390">
        <f t="shared" si="103"/>
        <v>16.692499999999999</v>
      </c>
      <c r="C266" s="363">
        <f t="shared" si="84"/>
        <v>23.521989028721908</v>
      </c>
      <c r="D266" s="364">
        <f t="shared" si="85"/>
        <v>1.5282700984331932</v>
      </c>
      <c r="E266" s="364">
        <f t="shared" si="86"/>
        <v>1.0213350944478763</v>
      </c>
      <c r="F266" s="365">
        <f t="shared" si="87"/>
        <v>0.20475620916662549</v>
      </c>
      <c r="G266" s="364">
        <f t="shared" si="88"/>
        <v>1.0685674202847955</v>
      </c>
      <c r="H266" s="365">
        <f t="shared" si="89"/>
        <v>-0.36018287074307281</v>
      </c>
      <c r="I266" s="363">
        <f t="shared" si="90"/>
        <v>69243.071710901975</v>
      </c>
      <c r="J266" s="366">
        <f t="shared" si="91"/>
        <v>1.5707818849168094</v>
      </c>
      <c r="K266" s="374">
        <f t="shared" si="107"/>
        <v>20.928998264657487</v>
      </c>
      <c r="L266" s="375">
        <f t="shared" si="108"/>
        <v>1.5229975322069194</v>
      </c>
      <c r="M266" s="363">
        <f t="shared" si="92"/>
        <v>1.2658879247082402</v>
      </c>
      <c r="N266" s="366">
        <f t="shared" si="93"/>
        <v>0.66005363101602488</v>
      </c>
      <c r="O266" s="367">
        <f t="shared" si="94"/>
        <v>1.0247394732974979</v>
      </c>
      <c r="P266" s="368">
        <f t="shared" si="95"/>
        <v>0.28925940690883728</v>
      </c>
      <c r="Q266" s="369">
        <f t="shared" si="96"/>
        <v>-12.338889104878195</v>
      </c>
      <c r="R266" s="370">
        <f t="shared" si="97"/>
        <v>-153.59819075079344</v>
      </c>
      <c r="S266" s="372">
        <f t="shared" si="98"/>
        <v>26.401809249206565</v>
      </c>
      <c r="U266" s="345">
        <f t="shared" si="104"/>
        <v>16692.5</v>
      </c>
      <c r="V266" s="345">
        <f t="shared" si="105"/>
        <v>278639556.25</v>
      </c>
      <c r="X266" s="371">
        <f t="shared" si="99"/>
        <v>15.656211519114549</v>
      </c>
      <c r="Y266" s="372">
        <f t="shared" si="100"/>
        <v>-40.556129092886898</v>
      </c>
      <c r="AA266" s="371">
        <f t="shared" si="101"/>
        <v>32.565473848012125</v>
      </c>
      <c r="AB266" s="372">
        <f t="shared" si="102"/>
        <v>-113.04206165790652</v>
      </c>
      <c r="AD266">
        <f t="shared" si="106"/>
        <v>0</v>
      </c>
      <c r="AE266">
        <f t="shared" si="109"/>
        <v>0</v>
      </c>
    </row>
    <row r="267" spans="1:31" x14ac:dyDescent="0.2">
      <c r="A267" s="373">
        <v>16789</v>
      </c>
      <c r="B267" s="390">
        <f t="shared" si="103"/>
        <v>16.789000000000001</v>
      </c>
      <c r="C267" s="363">
        <f t="shared" si="84"/>
        <v>23.657725507151994</v>
      </c>
      <c r="D267" s="364">
        <f t="shared" si="85"/>
        <v>1.5285142390960391</v>
      </c>
      <c r="E267" s="364">
        <f t="shared" si="86"/>
        <v>1.0215798722584879</v>
      </c>
      <c r="F267" s="365">
        <f t="shared" si="87"/>
        <v>0.20590682907636371</v>
      </c>
      <c r="G267" s="364">
        <f t="shared" si="88"/>
        <v>1.0693367078539788</v>
      </c>
      <c r="H267" s="365">
        <f t="shared" si="89"/>
        <v>-0.36208825921079707</v>
      </c>
      <c r="I267" s="363">
        <f t="shared" si="90"/>
        <v>69643.368635791136</v>
      </c>
      <c r="J267" s="366">
        <f t="shared" si="91"/>
        <v>1.570781967925996</v>
      </c>
      <c r="K267" s="374">
        <f t="shared" si="107"/>
        <v>21.049714198524722</v>
      </c>
      <c r="L267" s="375">
        <f t="shared" si="108"/>
        <v>1.5232718559636342</v>
      </c>
      <c r="M267" s="363">
        <f t="shared" si="92"/>
        <v>1.2686442386546184</v>
      </c>
      <c r="N267" s="366">
        <f t="shared" si="93"/>
        <v>0.66284771788605368</v>
      </c>
      <c r="O267" s="367">
        <f t="shared" si="94"/>
        <v>1.0250246574741364</v>
      </c>
      <c r="P267" s="368">
        <f t="shared" si="95"/>
        <v>0.29089700187494477</v>
      </c>
      <c r="Q267" s="369">
        <f t="shared" si="96"/>
        <v>-12.40195810968256</v>
      </c>
      <c r="R267" s="370">
        <f t="shared" si="97"/>
        <v>-153.89362786155291</v>
      </c>
      <c r="S267" s="372">
        <f t="shared" si="98"/>
        <v>26.106372138447085</v>
      </c>
      <c r="U267" s="345">
        <f t="shared" si="104"/>
        <v>16789</v>
      </c>
      <c r="V267" s="345">
        <f t="shared" si="105"/>
        <v>281870521</v>
      </c>
      <c r="X267" s="371">
        <f t="shared" si="99"/>
        <v>15.637205980044317</v>
      </c>
      <c r="Y267" s="372">
        <f t="shared" si="100"/>
        <v>-40.700505640893553</v>
      </c>
      <c r="AA267" s="371">
        <f t="shared" si="101"/>
        <v>32.521410382277992</v>
      </c>
      <c r="AB267" s="372">
        <f t="shared" si="102"/>
        <v>-113.19312222065933</v>
      </c>
      <c r="AD267">
        <f t="shared" si="106"/>
        <v>0</v>
      </c>
      <c r="AE267">
        <f t="shared" si="109"/>
        <v>0</v>
      </c>
    </row>
    <row r="268" spans="1:31" x14ac:dyDescent="0.2">
      <c r="A268" s="373">
        <v>16885.5</v>
      </c>
      <c r="B268" s="390">
        <f t="shared" si="103"/>
        <v>16.8855</v>
      </c>
      <c r="C268" s="363">
        <f t="shared" si="84"/>
        <v>23.793463379604049</v>
      </c>
      <c r="D268" s="364">
        <f t="shared" si="85"/>
        <v>1.5287555942068953</v>
      </c>
      <c r="E268" s="364">
        <f t="shared" si="86"/>
        <v>1.0218260019164103</v>
      </c>
      <c r="F268" s="365">
        <f t="shared" si="87"/>
        <v>0.20705689620299095</v>
      </c>
      <c r="G268" s="364">
        <f t="shared" si="88"/>
        <v>1.0701098720656703</v>
      </c>
      <c r="H268" s="365">
        <f t="shared" si="89"/>
        <v>-0.36399090125643796</v>
      </c>
      <c r="I268" s="363">
        <f t="shared" si="90"/>
        <v>70043.665560680791</v>
      </c>
      <c r="J268" s="366">
        <f t="shared" si="91"/>
        <v>1.570782049986394</v>
      </c>
      <c r="K268" s="374">
        <f t="shared" si="107"/>
        <v>21.170431698392054</v>
      </c>
      <c r="L268" s="375">
        <f t="shared" si="108"/>
        <v>1.5235430512565977</v>
      </c>
      <c r="M268" s="363">
        <f t="shared" si="92"/>
        <v>1.2714104138188891</v>
      </c>
      <c r="N268" s="366">
        <f t="shared" si="93"/>
        <v>0.66562966834911297</v>
      </c>
      <c r="O268" s="367">
        <f t="shared" si="94"/>
        <v>1.0253114476149503</v>
      </c>
      <c r="P268" s="368">
        <f t="shared" si="95"/>
        <v>0.29253401673212404</v>
      </c>
      <c r="Q268" s="369">
        <f t="shared" si="96"/>
        <v>-12.464741084960846</v>
      </c>
      <c r="R268" s="370">
        <f t="shared" si="97"/>
        <v>-154.18823027640059</v>
      </c>
      <c r="S268" s="372">
        <f t="shared" si="98"/>
        <v>25.811769723599411</v>
      </c>
      <c r="U268" s="345">
        <f t="shared" si="104"/>
        <v>16885.5</v>
      </c>
      <c r="V268" s="345">
        <f t="shared" si="105"/>
        <v>285120110.25</v>
      </c>
      <c r="X268" s="371">
        <f t="shared" si="99"/>
        <v>15.61817601280363</v>
      </c>
      <c r="Y268" s="372">
        <f t="shared" si="100"/>
        <v>-40.844366017409563</v>
      </c>
      <c r="AA268" s="371">
        <f t="shared" si="101"/>
        <v>32.477657374240401</v>
      </c>
      <c r="AB268" s="372">
        <f t="shared" si="102"/>
        <v>-113.34386425899102</v>
      </c>
      <c r="AD268">
        <f t="shared" si="106"/>
        <v>0</v>
      </c>
      <c r="AE268">
        <f t="shared" si="109"/>
        <v>0</v>
      </c>
    </row>
    <row r="269" spans="1:31" x14ac:dyDescent="0.2">
      <c r="A269" s="373">
        <v>16982</v>
      </c>
      <c r="B269" s="390">
        <f t="shared" si="103"/>
        <v>16.981999999999999</v>
      </c>
      <c r="C269" s="363">
        <f t="shared" ref="C269:C332" si="110">SQRT(1+(A269/pole1)^2)</f>
        <v>23.929202622355394</v>
      </c>
      <c r="D269" s="364">
        <f t="shared" ref="D269:D332" si="111">ATAN(A269/pole1)</f>
        <v>1.528994211140825</v>
      </c>
      <c r="E269" s="364">
        <f t="shared" ref="E269:E332" si="112">SQRT(1+(A269/Zero1)^2)</f>
        <v>1.0220734824450122</v>
      </c>
      <c r="F269" s="365">
        <f t="shared" ref="F269:F332" si="113">ATAN(A269/Zero1)</f>
        <v>0.20820640790468178</v>
      </c>
      <c r="G269" s="364">
        <f t="shared" ref="G269:G332" si="114">IF(VIN_nom&gt;Vout, 1, SQRT(1+(A269/z_RHP)^2))</f>
        <v>1.0708869045232372</v>
      </c>
      <c r="H269" s="365">
        <f t="shared" ref="H269:H332" si="115">IF(VIN_nom&gt;Vout, 0, -ATAN(A269/z_RHP))</f>
        <v>-0.36589078906827427</v>
      </c>
      <c r="I269" s="363">
        <f t="shared" ref="I269:I332" si="116">SQRT(1+(A269/Pole2)^2)</f>
        <v>70443.962485570897</v>
      </c>
      <c r="J269" s="366">
        <f t="shared" ref="J269:J332" si="117">ATAN(A269/Pole2)</f>
        <v>1.5707821311141774</v>
      </c>
      <c r="K269" s="374">
        <f t="shared" si="107"/>
        <v>21.291150737622555</v>
      </c>
      <c r="L269" s="375">
        <f t="shared" si="108"/>
        <v>1.5238111712599569</v>
      </c>
      <c r="M269" s="363">
        <f t="shared" ref="M269:M332" si="118">SQRT(1+(A269/pole4)^2)</f>
        <v>1.2741863859768798</v>
      </c>
      <c r="N269" s="366">
        <f t="shared" ref="N269:N332" si="119">ATAN(A269/pole4)</f>
        <v>0.6683995185268492</v>
      </c>
      <c r="O269" s="367">
        <f t="shared" ref="O269:O332" si="120">SQRT((1-(V269/pterm2))^2+(A269/pterm1)^2)</f>
        <v>1.0255998430978353</v>
      </c>
      <c r="P269" s="368">
        <f t="shared" ref="P269:P332" si="121">IF((ATAN((A269/pterm1)/(1-A269^2/pterm2))&gt;0),ATAN((A269/pterm1)/(1-A269^2/pterm2)),PI()+ATAN((A269/pterm1)/(1-A269^2/pterm2)))</f>
        <v>0.29417044866346953</v>
      </c>
      <c r="Q269" s="369">
        <f t="shared" ref="Q269:Q332" si="122">20*LOG10(((E269*K269*G269)/(C269*I269*O269*M269))*Adc)</f>
        <v>-12.527240741346974</v>
      </c>
      <c r="R269" s="370">
        <f t="shared" ref="R269:R332" si="123">((F269+L269+H269)-(D269+J269+P269+N269))*radconv</f>
        <v>-154.48199927600803</v>
      </c>
      <c r="S269" s="372">
        <f t="shared" ref="S269:S332" si="124">IF(R269&gt;0,R269,R269+180)</f>
        <v>25.518000723991975</v>
      </c>
      <c r="U269" s="345">
        <f t="shared" si="104"/>
        <v>16982</v>
      </c>
      <c r="V269" s="345">
        <f t="shared" si="105"/>
        <v>288388324</v>
      </c>
      <c r="X269" s="371">
        <f t="shared" ref="X269:X332" si="125">20*LOG10((K269/(I269*M269))*AEA)</f>
        <v>15.599122272490346</v>
      </c>
      <c r="Y269" s="372">
        <f t="shared" ref="Y269:Y332" si="126">(L269-(J269+N269))*radconv</f>
        <v>-40.987709246325281</v>
      </c>
      <c r="AA269" s="371">
        <f t="shared" ref="AA269:AA332" si="127">20*LOG10((E269*G269/(C269*O269))*Acs*Am)</f>
        <v>32.434211458167546</v>
      </c>
      <c r="AB269" s="372">
        <f t="shared" ref="AB269:AB332" si="128">(F269+H269-(D269+P269))*radconv</f>
        <v>-113.49429002968274</v>
      </c>
      <c r="AD269">
        <f t="shared" si="106"/>
        <v>0</v>
      </c>
      <c r="AE269">
        <f t="shared" si="109"/>
        <v>0</v>
      </c>
    </row>
    <row r="270" spans="1:31" x14ac:dyDescent="0.2">
      <c r="A270" s="373">
        <v>17081</v>
      </c>
      <c r="B270" s="390">
        <f t="shared" ref="B270:B333" si="129">A270/1000</f>
        <v>17.081</v>
      </c>
      <c r="C270" s="363">
        <f t="shared" si="110"/>
        <v>24.068459825507819</v>
      </c>
      <c r="D270" s="364">
        <f t="shared" si="111"/>
        <v>1.5292362128899331</v>
      </c>
      <c r="E270" s="364">
        <f t="shared" si="112"/>
        <v>1.0223287771769205</v>
      </c>
      <c r="F270" s="365">
        <f t="shared" si="113"/>
        <v>0.20938511974687921</v>
      </c>
      <c r="G270" s="364">
        <f t="shared" si="114"/>
        <v>1.0716880784001106</v>
      </c>
      <c r="H270" s="365">
        <f t="shared" si="115"/>
        <v>-0.36783702650346312</v>
      </c>
      <c r="I270" s="363">
        <f t="shared" si="116"/>
        <v>70854.629797116664</v>
      </c>
      <c r="J270" s="366">
        <f t="shared" si="117"/>
        <v>1.5707822133911162</v>
      </c>
      <c r="K270" s="374">
        <f t="shared" si="107"/>
        <v>21.414998785515362</v>
      </c>
      <c r="L270" s="375">
        <f t="shared" si="108"/>
        <v>1.5240830960222242</v>
      </c>
      <c r="M270" s="363">
        <f t="shared" si="118"/>
        <v>1.2770443885380032</v>
      </c>
      <c r="N270" s="366">
        <f t="shared" si="119"/>
        <v>0.6712285902312074</v>
      </c>
      <c r="O270" s="367">
        <f t="shared" si="120"/>
        <v>1.025897377575935</v>
      </c>
      <c r="P270" s="368">
        <f t="shared" si="121"/>
        <v>0.29584866648644204</v>
      </c>
      <c r="Q270" s="369">
        <f t="shared" si="122"/>
        <v>-12.59106792600919</v>
      </c>
      <c r="R270" s="370">
        <f t="shared" si="123"/>
        <v>-154.78251417221469</v>
      </c>
      <c r="S270" s="372">
        <f t="shared" si="124"/>
        <v>25.21748582778531</v>
      </c>
      <c r="U270" s="345">
        <f t="shared" ref="U270:U333" si="130">IF(Q270&lt;0,A270,1000000000)</f>
        <v>17081</v>
      </c>
      <c r="V270" s="345">
        <f t="shared" ref="V270:V333" si="131">A270^2</f>
        <v>291760561</v>
      </c>
      <c r="X270" s="371">
        <f t="shared" si="125"/>
        <v>15.579550887472886</v>
      </c>
      <c r="Y270" s="372">
        <f t="shared" si="126"/>
        <v>-41.134227687990645</v>
      </c>
      <c r="AA270" s="371">
        <f t="shared" si="127"/>
        <v>32.389955658522794</v>
      </c>
      <c r="AB270" s="372">
        <f t="shared" si="128"/>
        <v>-113.64828648422404</v>
      </c>
      <c r="AD270">
        <f t="shared" ref="AD270:AD333" si="132">SUM((Q271&lt;0)*(Q270&gt;0))*A270</f>
        <v>0</v>
      </c>
      <c r="AE270">
        <f t="shared" si="109"/>
        <v>0</v>
      </c>
    </row>
    <row r="271" spans="1:31" x14ac:dyDescent="0.2">
      <c r="A271" s="373">
        <v>17180</v>
      </c>
      <c r="B271" s="390">
        <f t="shared" si="129"/>
        <v>17.18</v>
      </c>
      <c r="C271" s="363">
        <f t="shared" si="110"/>
        <v>24.207718422008533</v>
      </c>
      <c r="D271" s="364">
        <f t="shared" si="111"/>
        <v>1.5294754303488907</v>
      </c>
      <c r="E271" s="364">
        <f t="shared" si="112"/>
        <v>1.0225854915828154</v>
      </c>
      <c r="F271" s="365">
        <f t="shared" si="113"/>
        <v>0.21056324140711305</v>
      </c>
      <c r="G271" s="364">
        <f t="shared" si="114"/>
        <v>1.072493305586278</v>
      </c>
      <c r="H271" s="365">
        <f t="shared" si="115"/>
        <v>-0.36978034882318489</v>
      </c>
      <c r="I271" s="363">
        <f t="shared" si="116"/>
        <v>71265.297108662897</v>
      </c>
      <c r="J271" s="366">
        <f t="shared" si="117"/>
        <v>1.5707822947198109</v>
      </c>
      <c r="K271" s="374">
        <f t="shared" si="107"/>
        <v>21.538848398688899</v>
      </c>
      <c r="L271" s="375">
        <f t="shared" si="108"/>
        <v>1.524351893638231</v>
      </c>
      <c r="M271" s="363">
        <f t="shared" si="118"/>
        <v>1.2799125664172801</v>
      </c>
      <c r="N271" s="366">
        <f t="shared" si="119"/>
        <v>0.67404500496319664</v>
      </c>
      <c r="O271" s="367">
        <f t="shared" si="120"/>
        <v>1.0261966003167631</v>
      </c>
      <c r="P271" s="368">
        <f t="shared" si="121"/>
        <v>0.29752626480902838</v>
      </c>
      <c r="Q271" s="369">
        <f t="shared" si="122"/>
        <v>-12.654602546037633</v>
      </c>
      <c r="R271" s="370">
        <f t="shared" si="123"/>
        <v>-155.08215476356494</v>
      </c>
      <c r="S271" s="372">
        <f t="shared" si="124"/>
        <v>24.917845236435056</v>
      </c>
      <c r="U271" s="345">
        <f t="shared" si="130"/>
        <v>17180</v>
      </c>
      <c r="V271" s="345">
        <f t="shared" si="131"/>
        <v>295152400</v>
      </c>
      <c r="X271" s="371">
        <f t="shared" si="125"/>
        <v>15.559955859268799</v>
      </c>
      <c r="Y271" s="372">
        <f t="shared" si="126"/>
        <v>-41.280200056509486</v>
      </c>
      <c r="AA271" s="371">
        <f t="shared" si="127"/>
        <v>32.346016066698439</v>
      </c>
      <c r="AB271" s="372">
        <f t="shared" si="128"/>
        <v>-113.80195470705546</v>
      </c>
      <c r="AD271">
        <f t="shared" si="132"/>
        <v>0</v>
      </c>
      <c r="AE271">
        <f t="shared" si="109"/>
        <v>0</v>
      </c>
    </row>
    <row r="272" spans="1:31" x14ac:dyDescent="0.2">
      <c r="A272" s="373">
        <v>17279</v>
      </c>
      <c r="B272" s="390">
        <f t="shared" si="129"/>
        <v>17.279</v>
      </c>
      <c r="C272" s="363">
        <f t="shared" si="110"/>
        <v>24.346978387948727</v>
      </c>
      <c r="D272" s="364">
        <f t="shared" si="111"/>
        <v>1.5297119112668713</v>
      </c>
      <c r="E272" s="364">
        <f t="shared" si="112"/>
        <v>1.0228436245937629</v>
      </c>
      <c r="F272" s="365">
        <f t="shared" si="113"/>
        <v>0.21174077006059658</v>
      </c>
      <c r="G272" s="364">
        <f t="shared" si="114"/>
        <v>1.0733025769589581</v>
      </c>
      <c r="H272" s="365">
        <f t="shared" si="115"/>
        <v>-0.37172074792713078</v>
      </c>
      <c r="I272" s="363">
        <f t="shared" si="116"/>
        <v>71675.96442020961</v>
      </c>
      <c r="J272" s="366">
        <f t="shared" si="117"/>
        <v>1.5707823751165604</v>
      </c>
      <c r="K272" s="374">
        <f t="shared" si="107"/>
        <v>21.662699550296168</v>
      </c>
      <c r="L272" s="375">
        <f t="shared" si="108"/>
        <v>1.5246176177048643</v>
      </c>
      <c r="M272" s="363">
        <f t="shared" si="118"/>
        <v>1.2827908513620689</v>
      </c>
      <c r="N272" s="366">
        <f t="shared" si="119"/>
        <v>0.67684880309050488</v>
      </c>
      <c r="O272" s="367">
        <f t="shared" si="120"/>
        <v>1.0264975106398408</v>
      </c>
      <c r="P272" s="368">
        <f t="shared" si="121"/>
        <v>0.29920324061654624</v>
      </c>
      <c r="Q272" s="369">
        <f t="shared" si="122"/>
        <v>-12.717847372936015</v>
      </c>
      <c r="R272" s="370">
        <f t="shared" si="123"/>
        <v>-155.38092255384782</v>
      </c>
      <c r="S272" s="372">
        <f t="shared" si="124"/>
        <v>24.619077446152176</v>
      </c>
      <c r="U272" s="345">
        <f t="shared" si="130"/>
        <v>17279</v>
      </c>
      <c r="V272" s="345">
        <f t="shared" si="131"/>
        <v>298563841</v>
      </c>
      <c r="X272" s="371">
        <f t="shared" si="125"/>
        <v>15.540337875663282</v>
      </c>
      <c r="Y272" s="372">
        <f t="shared" si="126"/>
        <v>-41.425625594838387</v>
      </c>
      <c r="AA272" s="371">
        <f t="shared" si="127"/>
        <v>32.302389223405569</v>
      </c>
      <c r="AB272" s="372">
        <f t="shared" si="128"/>
        <v>-113.9552969590094</v>
      </c>
      <c r="AD272">
        <f t="shared" si="132"/>
        <v>0</v>
      </c>
      <c r="AE272">
        <f t="shared" si="109"/>
        <v>0</v>
      </c>
    </row>
    <row r="273" spans="1:31" x14ac:dyDescent="0.2">
      <c r="A273" s="373">
        <v>17378</v>
      </c>
      <c r="B273" s="390">
        <f t="shared" si="129"/>
        <v>17.378</v>
      </c>
      <c r="C273" s="363">
        <f t="shared" si="110"/>
        <v>24.486239699963274</v>
      </c>
      <c r="D273" s="364">
        <f t="shared" si="111"/>
        <v>1.529945702308027</v>
      </c>
      <c r="E273" s="364">
        <f t="shared" si="112"/>
        <v>1.0231031751360038</v>
      </c>
      <c r="F273" s="365">
        <f t="shared" si="113"/>
        <v>0.21291770289196399</v>
      </c>
      <c r="G273" s="364">
        <f t="shared" si="114"/>
        <v>1.0741158833771141</v>
      </c>
      <c r="H273" s="365">
        <f t="shared" si="115"/>
        <v>-0.37365821582739311</v>
      </c>
      <c r="I273" s="363">
        <f t="shared" si="116"/>
        <v>72086.631731756774</v>
      </c>
      <c r="J273" s="366">
        <f t="shared" si="117"/>
        <v>1.5707824545972919</v>
      </c>
      <c r="K273" s="374">
        <f t="shared" si="107"/>
        <v>21.786552214100332</v>
      </c>
      <c r="L273" s="375">
        <f t="shared" si="108"/>
        <v>1.5248803206020149</v>
      </c>
      <c r="M273" s="363">
        <f t="shared" si="118"/>
        <v>1.2856791754914836</v>
      </c>
      <c r="N273" s="366">
        <f t="shared" si="119"/>
        <v>0.67964002541343271</v>
      </c>
      <c r="O273" s="367">
        <f t="shared" si="120"/>
        <v>1.0268001078617621</v>
      </c>
      <c r="P273" s="368">
        <f t="shared" si="121"/>
        <v>0.30087959090344601</v>
      </c>
      <c r="Q273" s="369">
        <f t="shared" si="122"/>
        <v>-12.780805128438233</v>
      </c>
      <c r="R273" s="370">
        <f t="shared" si="123"/>
        <v>-155.67881908560298</v>
      </c>
      <c r="S273" s="372">
        <f t="shared" si="124"/>
        <v>24.321180914397019</v>
      </c>
      <c r="U273" s="345">
        <f t="shared" si="130"/>
        <v>17378</v>
      </c>
      <c r="V273" s="345">
        <f t="shared" si="131"/>
        <v>301994884</v>
      </c>
      <c r="X273" s="371">
        <f t="shared" si="125"/>
        <v>15.520697617803854</v>
      </c>
      <c r="Y273" s="372">
        <f t="shared" si="126"/>
        <v>-41.570503640428292</v>
      </c>
      <c r="AA273" s="371">
        <f t="shared" si="127"/>
        <v>32.259071725762787</v>
      </c>
      <c r="AB273" s="372">
        <f t="shared" si="128"/>
        <v>-114.10831544517471</v>
      </c>
      <c r="AD273">
        <f t="shared" si="132"/>
        <v>0</v>
      </c>
      <c r="AE273">
        <f t="shared" si="109"/>
        <v>0</v>
      </c>
    </row>
    <row r="274" spans="1:31" x14ac:dyDescent="0.2">
      <c r="A274" s="373">
        <v>17479.25</v>
      </c>
      <c r="B274" s="390">
        <f t="shared" si="129"/>
        <v>17.47925</v>
      </c>
      <c r="C274" s="363">
        <f t="shared" si="110"/>
        <v>24.628667410310076</v>
      </c>
      <c r="D274" s="364">
        <f t="shared" si="111"/>
        <v>1.5301820720377783</v>
      </c>
      <c r="E274" s="364">
        <f t="shared" si="112"/>
        <v>1.0233700896524356</v>
      </c>
      <c r="F274" s="365">
        <f t="shared" si="113"/>
        <v>0.21412076498443133</v>
      </c>
      <c r="G274" s="364">
        <f t="shared" si="114"/>
        <v>1.0749518381326466</v>
      </c>
      <c r="H274" s="365">
        <f t="shared" si="115"/>
        <v>-0.37563667699357106</v>
      </c>
      <c r="I274" s="363">
        <f t="shared" si="116"/>
        <v>72506.632391294101</v>
      </c>
      <c r="J274" s="366">
        <f t="shared" si="117"/>
        <v>1.570782534953143</v>
      </c>
      <c r="K274" s="374">
        <f t="shared" si="107"/>
        <v>21.913221248590098</v>
      </c>
      <c r="L274" s="375">
        <f t="shared" si="108"/>
        <v>1.5251459224255348</v>
      </c>
      <c r="M274" s="363">
        <f t="shared" si="118"/>
        <v>1.2886434570198377</v>
      </c>
      <c r="N274" s="366">
        <f t="shared" si="119"/>
        <v>0.68248171979465622</v>
      </c>
      <c r="O274" s="367">
        <f t="shared" si="120"/>
        <v>1.0271113264204106</v>
      </c>
      <c r="P274" s="368">
        <f t="shared" si="121"/>
        <v>0.3025933899310328</v>
      </c>
      <c r="Q274" s="369">
        <f t="shared" si="122"/>
        <v>-12.844899595690279</v>
      </c>
      <c r="R274" s="370">
        <f t="shared" si="123"/>
        <v>-155.9825864546884</v>
      </c>
      <c r="S274" s="372">
        <f t="shared" si="124"/>
        <v>24.017413545311598</v>
      </c>
      <c r="U274" s="345">
        <f t="shared" si="130"/>
        <v>17479.25</v>
      </c>
      <c r="V274" s="345">
        <f t="shared" si="131"/>
        <v>305524180.5625</v>
      </c>
      <c r="X274" s="371">
        <f t="shared" si="125"/>
        <v>15.500588654003129</v>
      </c>
      <c r="Y274" s="372">
        <f t="shared" si="126"/>
        <v>-41.71810747583956</v>
      </c>
      <c r="AA274" s="371">
        <f t="shared" si="127"/>
        <v>32.215086222311463</v>
      </c>
      <c r="AB274" s="372">
        <f t="shared" si="128"/>
        <v>-114.26447897884887</v>
      </c>
      <c r="AD274">
        <f t="shared" si="132"/>
        <v>0</v>
      </c>
      <c r="AE274">
        <f t="shared" si="109"/>
        <v>0</v>
      </c>
    </row>
    <row r="275" spans="1:31" x14ac:dyDescent="0.2">
      <c r="A275" s="373">
        <v>17580.5</v>
      </c>
      <c r="B275" s="390">
        <f t="shared" si="129"/>
        <v>17.580500000000001</v>
      </c>
      <c r="C275" s="363">
        <f t="shared" si="110"/>
        <v>24.771096480852918</v>
      </c>
      <c r="D275" s="364">
        <f t="shared" si="111"/>
        <v>1.5304157236189162</v>
      </c>
      <c r="E275" s="364">
        <f t="shared" si="112"/>
        <v>1.0236384845784718</v>
      </c>
      <c r="F275" s="365">
        <f t="shared" si="113"/>
        <v>0.21532319793798085</v>
      </c>
      <c r="G275" s="364">
        <f t="shared" si="114"/>
        <v>1.0757919940325307</v>
      </c>
      <c r="H275" s="365">
        <f t="shared" si="115"/>
        <v>-0.37761205566408346</v>
      </c>
      <c r="I275" s="363">
        <f t="shared" si="116"/>
        <v>72926.633050831908</v>
      </c>
      <c r="J275" s="366">
        <f t="shared" si="117"/>
        <v>1.5707826143834196</v>
      </c>
      <c r="K275" s="374">
        <f t="shared" si="107"/>
        <v>22.039891811164424</v>
      </c>
      <c r="L275" s="375">
        <f t="shared" si="108"/>
        <v>1.5254084712639908</v>
      </c>
      <c r="M275" s="363">
        <f t="shared" si="118"/>
        <v>1.2916180968234487</v>
      </c>
      <c r="N275" s="366">
        <f t="shared" si="119"/>
        <v>0.68531034789526946</v>
      </c>
      <c r="O275" s="367">
        <f t="shared" si="120"/>
        <v>1.0274243079712593</v>
      </c>
      <c r="P275" s="368">
        <f t="shared" si="121"/>
        <v>0.30430652835263</v>
      </c>
      <c r="Q275" s="369">
        <f t="shared" si="122"/>
        <v>-12.908699399083613</v>
      </c>
      <c r="R275" s="370">
        <f t="shared" si="123"/>
        <v>-156.28544589580142</v>
      </c>
      <c r="S275" s="372">
        <f t="shared" si="124"/>
        <v>23.714554104198584</v>
      </c>
      <c r="U275" s="345">
        <f t="shared" si="130"/>
        <v>17580.5</v>
      </c>
      <c r="V275" s="345">
        <f t="shared" si="131"/>
        <v>309073980.25</v>
      </c>
      <c r="X275" s="371">
        <f t="shared" si="125"/>
        <v>15.480457811788604</v>
      </c>
      <c r="Y275" s="372">
        <f t="shared" si="126"/>
        <v>-41.865137538644817</v>
      </c>
      <c r="AA275" s="371">
        <f t="shared" si="127"/>
        <v>32.171417261132653</v>
      </c>
      <c r="AB275" s="372">
        <f t="shared" si="128"/>
        <v>-114.4203083571566</v>
      </c>
      <c r="AD275">
        <f t="shared" si="132"/>
        <v>0</v>
      </c>
      <c r="AE275">
        <f t="shared" si="109"/>
        <v>0</v>
      </c>
    </row>
    <row r="276" spans="1:31" x14ac:dyDescent="0.2">
      <c r="A276" s="373">
        <v>17681.75</v>
      </c>
      <c r="B276" s="390">
        <f t="shared" si="129"/>
        <v>17.681750000000001</v>
      </c>
      <c r="C276" s="363">
        <f t="shared" si="110"/>
        <v>24.913526888263341</v>
      </c>
      <c r="D276" s="364">
        <f t="shared" si="111"/>
        <v>1.530646703644601</v>
      </c>
      <c r="E276" s="364">
        <f t="shared" si="112"/>
        <v>1.0239083587499422</v>
      </c>
      <c r="F276" s="365">
        <f t="shared" si="113"/>
        <v>0.21652499877166645</v>
      </c>
      <c r="G276" s="364">
        <f t="shared" si="114"/>
        <v>1.0766363412416458</v>
      </c>
      <c r="H276" s="365">
        <f t="shared" si="115"/>
        <v>-0.37958434365698962</v>
      </c>
      <c r="I276" s="363">
        <f t="shared" si="116"/>
        <v>73346.633710370166</v>
      </c>
      <c r="J276" s="366">
        <f t="shared" si="117"/>
        <v>1.5707826929040221</v>
      </c>
      <c r="K276" s="374">
        <f t="shared" si="107"/>
        <v>22.166563875626657</v>
      </c>
      <c r="L276" s="375">
        <f t="shared" si="108"/>
        <v>1.5256680194202332</v>
      </c>
      <c r="M276" s="363">
        <f t="shared" si="118"/>
        <v>1.2946030235009609</v>
      </c>
      <c r="N276" s="366">
        <f t="shared" si="119"/>
        <v>0.68812595467462845</v>
      </c>
      <c r="O276" s="367">
        <f t="shared" si="120"/>
        <v>1.0277390517738407</v>
      </c>
      <c r="P276" s="368">
        <f t="shared" si="121"/>
        <v>0.30601900298290752</v>
      </c>
      <c r="Q276" s="369">
        <f t="shared" si="122"/>
        <v>-12.972207296838526</v>
      </c>
      <c r="R276" s="370">
        <f t="shared" si="123"/>
        <v>-156.58739917819221</v>
      </c>
      <c r="S276" s="372">
        <f t="shared" si="124"/>
        <v>23.412600821807786</v>
      </c>
      <c r="U276" s="345">
        <f t="shared" si="130"/>
        <v>17681.75</v>
      </c>
      <c r="V276" s="345">
        <f t="shared" si="131"/>
        <v>312644283.0625</v>
      </c>
      <c r="X276" s="371">
        <f t="shared" si="125"/>
        <v>15.460305798200213</v>
      </c>
      <c r="Y276" s="372">
        <f t="shared" si="126"/>
        <v>-42.011593409003908</v>
      </c>
      <c r="AA276" s="371">
        <f t="shared" si="127"/>
        <v>32.12806137696613</v>
      </c>
      <c r="AB276" s="372">
        <f t="shared" si="128"/>
        <v>-114.57580576918834</v>
      </c>
      <c r="AD276">
        <f t="shared" si="132"/>
        <v>0</v>
      </c>
      <c r="AE276">
        <f t="shared" si="109"/>
        <v>0</v>
      </c>
    </row>
    <row r="277" spans="1:31" x14ac:dyDescent="0.2">
      <c r="A277" s="373">
        <v>17783</v>
      </c>
      <c r="B277" s="390">
        <f t="shared" si="129"/>
        <v>17.783000000000001</v>
      </c>
      <c r="C277" s="363">
        <f t="shared" si="110"/>
        <v>25.055958609743097</v>
      </c>
      <c r="D277" s="364">
        <f t="shared" si="111"/>
        <v>1.5308750576497041</v>
      </c>
      <c r="E277" s="364">
        <f t="shared" si="112"/>
        <v>1.0241797109974915</v>
      </c>
      <c r="F277" s="365">
        <f t="shared" si="113"/>
        <v>0.2177261645149792</v>
      </c>
      <c r="G277" s="364">
        <f t="shared" si="114"/>
        <v>1.0774848699067112</v>
      </c>
      <c r="H277" s="365">
        <f t="shared" si="115"/>
        <v>-0.38155353291211069</v>
      </c>
      <c r="I277" s="363">
        <f t="shared" si="116"/>
        <v>73766.634369908876</v>
      </c>
      <c r="J277" s="366">
        <f t="shared" si="117"/>
        <v>1.5707827705304882</v>
      </c>
      <c r="K277" s="374">
        <f t="shared" si="107"/>
        <v>22.293237416375231</v>
      </c>
      <c r="L277" s="375">
        <f t="shared" si="108"/>
        <v>1.5259246180099793</v>
      </c>
      <c r="M277" s="363">
        <f t="shared" si="118"/>
        <v>1.2975981660622227</v>
      </c>
      <c r="N277" s="366">
        <f t="shared" si="119"/>
        <v>0.69092858550494796</v>
      </c>
      <c r="O277" s="367">
        <f t="shared" si="120"/>
        <v>1.0280555570845544</v>
      </c>
      <c r="P277" s="368">
        <f t="shared" si="121"/>
        <v>0.30773081064665653</v>
      </c>
      <c r="Q277" s="369">
        <f t="shared" si="122"/>
        <v>-13.03542599812509</v>
      </c>
      <c r="R277" s="370">
        <f t="shared" si="123"/>
        <v>-156.88844810908594</v>
      </c>
      <c r="S277" s="372">
        <f t="shared" si="124"/>
        <v>23.111551890914058</v>
      </c>
      <c r="U277" s="345">
        <f t="shared" si="130"/>
        <v>17783</v>
      </c>
      <c r="V277" s="345">
        <f t="shared" si="131"/>
        <v>316235089</v>
      </c>
      <c r="X277" s="371">
        <f t="shared" si="125"/>
        <v>15.440133312979947</v>
      </c>
      <c r="Y277" s="372">
        <f t="shared" si="126"/>
        <v>-42.157474758728583</v>
      </c>
      <c r="AA277" s="371">
        <f t="shared" si="127"/>
        <v>32.085015160899829</v>
      </c>
      <c r="AB277" s="372">
        <f t="shared" si="128"/>
        <v>-114.73097335035736</v>
      </c>
      <c r="AD277">
        <f t="shared" si="132"/>
        <v>0</v>
      </c>
      <c r="AE277">
        <f t="shared" si="109"/>
        <v>0</v>
      </c>
    </row>
    <row r="278" spans="1:31" x14ac:dyDescent="0.2">
      <c r="A278" s="373">
        <v>17886.5</v>
      </c>
      <c r="B278" s="390">
        <f t="shared" si="129"/>
        <v>17.886500000000002</v>
      </c>
      <c r="C278" s="363">
        <f t="shared" si="110"/>
        <v>25.201556815586233</v>
      </c>
      <c r="D278" s="364">
        <f t="shared" si="111"/>
        <v>1.531105818321169</v>
      </c>
      <c r="E278" s="364">
        <f t="shared" si="112"/>
        <v>1.0244586197822443</v>
      </c>
      <c r="F278" s="365">
        <f t="shared" si="113"/>
        <v>0.21895336333146082</v>
      </c>
      <c r="G278" s="364">
        <f t="shared" si="114"/>
        <v>1.0783565663564763</v>
      </c>
      <c r="H278" s="365">
        <f t="shared" si="115"/>
        <v>-0.38356327086888303</v>
      </c>
      <c r="I278" s="363">
        <f t="shared" si="116"/>
        <v>74195.968377437792</v>
      </c>
      <c r="J278" s="366">
        <f t="shared" si="117"/>
        <v>1.5707828489736362</v>
      </c>
      <c r="K278" s="374">
        <f t="shared" si="107"/>
        <v>22.422727424504547</v>
      </c>
      <c r="L278" s="375">
        <f t="shared" si="108"/>
        <v>1.5261839221927276</v>
      </c>
      <c r="M278" s="363">
        <f t="shared" si="118"/>
        <v>1.3006703527966483</v>
      </c>
      <c r="N278" s="366">
        <f t="shared" si="119"/>
        <v>0.69378013299578212</v>
      </c>
      <c r="O278" s="367">
        <f t="shared" si="120"/>
        <v>1.0283809157291011</v>
      </c>
      <c r="P278" s="368">
        <f t="shared" si="121"/>
        <v>0.30947996582176962</v>
      </c>
      <c r="Q278" s="369">
        <f t="shared" si="122"/>
        <v>-13.099753422541623</v>
      </c>
      <c r="R278" s="370">
        <f t="shared" si="123"/>
        <v>-157.1952542167646</v>
      </c>
      <c r="S278" s="372">
        <f t="shared" si="124"/>
        <v>22.804745783235404</v>
      </c>
      <c r="U278" s="345">
        <f t="shared" si="130"/>
        <v>17886.5</v>
      </c>
      <c r="V278" s="345">
        <f t="shared" si="131"/>
        <v>319926882.25</v>
      </c>
      <c r="X278" s="371">
        <f t="shared" si="125"/>
        <v>15.419492112190394</v>
      </c>
      <c r="Y278" s="372">
        <f t="shared" si="126"/>
        <v>-42.306003854383967</v>
      </c>
      <c r="AA278" s="371">
        <f t="shared" si="127"/>
        <v>32.041328937272851</v>
      </c>
      <c r="AB278" s="372">
        <f t="shared" si="128"/>
        <v>-114.88925036238064</v>
      </c>
      <c r="AD278">
        <f t="shared" si="132"/>
        <v>0</v>
      </c>
      <c r="AE278">
        <f t="shared" si="109"/>
        <v>0</v>
      </c>
    </row>
    <row r="279" spans="1:31" x14ac:dyDescent="0.2">
      <c r="A279" s="373">
        <v>17990</v>
      </c>
      <c r="B279" s="390">
        <f t="shared" si="129"/>
        <v>17.989999999999998</v>
      </c>
      <c r="C279" s="363">
        <f t="shared" si="110"/>
        <v>25.347156348007235</v>
      </c>
      <c r="D279" s="364">
        <f t="shared" si="111"/>
        <v>1.5313339279265394</v>
      </c>
      <c r="E279" s="364">
        <f t="shared" si="112"/>
        <v>1.0247390705778201</v>
      </c>
      <c r="F279" s="365">
        <f t="shared" si="113"/>
        <v>0.22017989227423601</v>
      </c>
      <c r="G279" s="364">
        <f t="shared" si="114"/>
        <v>1.0792326112925414</v>
      </c>
      <c r="H279" s="365">
        <f t="shared" si="115"/>
        <v>-0.38556975419186967</v>
      </c>
      <c r="I279" s="363">
        <f t="shared" si="116"/>
        <v>74625.30238496713</v>
      </c>
      <c r="J279" s="366">
        <f t="shared" si="117"/>
        <v>1.5707829265141866</v>
      </c>
      <c r="K279" s="374">
        <f t="shared" ref="K279:K342" si="133">SQRT(1+(A279/Zero2)^2)</f>
        <v>22.552218922994442</v>
      </c>
      <c r="L279" s="375">
        <f t="shared" ref="L279:L342" si="134">ATAN(A279/Zero2)</f>
        <v>1.5264402486201771</v>
      </c>
      <c r="M279" s="363">
        <f t="shared" si="118"/>
        <v>1.3037530658081684</v>
      </c>
      <c r="N279" s="366">
        <f t="shared" si="119"/>
        <v>0.69661821855381467</v>
      </c>
      <c r="O279" s="367">
        <f t="shared" si="120"/>
        <v>1.0287081134596681</v>
      </c>
      <c r="P279" s="368">
        <f t="shared" si="121"/>
        <v>0.31122841738100038</v>
      </c>
      <c r="Q279" s="369">
        <f t="shared" si="122"/>
        <v>-13.163784227807067</v>
      </c>
      <c r="R279" s="370">
        <f t="shared" si="123"/>
        <v>-157.50111926864213</v>
      </c>
      <c r="S279" s="372">
        <f t="shared" si="124"/>
        <v>22.498880731357872</v>
      </c>
      <c r="U279" s="345">
        <f t="shared" si="130"/>
        <v>17990</v>
      </c>
      <c r="V279" s="345">
        <f t="shared" si="131"/>
        <v>323640100</v>
      </c>
      <c r="X279" s="371">
        <f t="shared" si="125"/>
        <v>15.398830975098008</v>
      </c>
      <c r="Y279" s="372">
        <f t="shared" si="126"/>
        <v>-42.453932199201034</v>
      </c>
      <c r="AA279" s="371">
        <f t="shared" si="127"/>
        <v>31.997959269099795</v>
      </c>
      <c r="AB279" s="372">
        <f t="shared" si="128"/>
        <v>-115.04718706944109</v>
      </c>
      <c r="AD279">
        <f t="shared" si="132"/>
        <v>0</v>
      </c>
      <c r="AE279">
        <f t="shared" si="109"/>
        <v>0</v>
      </c>
    </row>
    <row r="280" spans="1:31" x14ac:dyDescent="0.2">
      <c r="A280" s="373">
        <v>18093.5</v>
      </c>
      <c r="B280" s="390">
        <f t="shared" si="129"/>
        <v>18.093499999999999</v>
      </c>
      <c r="C280" s="363">
        <f t="shared" si="110"/>
        <v>25.492757184276222</v>
      </c>
      <c r="D280" s="364">
        <f t="shared" si="111"/>
        <v>1.5315594318662364</v>
      </c>
      <c r="E280" s="364">
        <f t="shared" si="112"/>
        <v>1.0250210621185136</v>
      </c>
      <c r="F280" s="365">
        <f t="shared" si="113"/>
        <v>0.22140574820435302</v>
      </c>
      <c r="G280" s="364">
        <f t="shared" si="114"/>
        <v>1.0801129941341547</v>
      </c>
      <c r="H280" s="365">
        <f t="shared" si="115"/>
        <v>-0.38757297466385732</v>
      </c>
      <c r="I280" s="363">
        <f t="shared" si="116"/>
        <v>75054.636392496934</v>
      </c>
      <c r="J280" s="366">
        <f t="shared" si="117"/>
        <v>1.5707830031676286</v>
      </c>
      <c r="K280" s="374">
        <f t="shared" si="133"/>
        <v>22.681711886319206</v>
      </c>
      <c r="L280" s="375">
        <f t="shared" si="134"/>
        <v>1.526693648259577</v>
      </c>
      <c r="M280" s="363">
        <f t="shared" si="118"/>
        <v>1.306846230605639</v>
      </c>
      <c r="N280" s="366">
        <f t="shared" si="119"/>
        <v>0.69944289188634234</v>
      </c>
      <c r="O280" s="367">
        <f t="shared" si="120"/>
        <v>1.0290371494719335</v>
      </c>
      <c r="P280" s="368">
        <f t="shared" si="121"/>
        <v>0.31297616196572103</v>
      </c>
      <c r="Q280" s="369">
        <f t="shared" si="122"/>
        <v>-13.227521156914047</v>
      </c>
      <c r="R280" s="370">
        <f t="shared" si="123"/>
        <v>-157.8060453112704</v>
      </c>
      <c r="S280" s="372">
        <f t="shared" si="124"/>
        <v>22.193954688729605</v>
      </c>
      <c r="U280" s="345">
        <f t="shared" si="130"/>
        <v>18093.5</v>
      </c>
      <c r="V280" s="345">
        <f t="shared" si="131"/>
        <v>327374742.25</v>
      </c>
      <c r="X280" s="371">
        <f t="shared" si="125"/>
        <v>15.378150625496819</v>
      </c>
      <c r="Y280" s="372">
        <f t="shared" si="126"/>
        <v>-42.601259721877334</v>
      </c>
      <c r="AA280" s="371">
        <f t="shared" si="127"/>
        <v>31.954902689594004</v>
      </c>
      <c r="AB280" s="372">
        <f t="shared" si="128"/>
        <v>-115.20478558939303</v>
      </c>
      <c r="AD280">
        <f t="shared" si="132"/>
        <v>0</v>
      </c>
      <c r="AE280">
        <f t="shared" si="109"/>
        <v>0</v>
      </c>
    </row>
    <row r="281" spans="1:31" x14ac:dyDescent="0.2">
      <c r="A281" s="373">
        <v>18197</v>
      </c>
      <c r="B281" s="390">
        <f t="shared" si="129"/>
        <v>18.196999999999999</v>
      </c>
      <c r="C281" s="363">
        <f t="shared" si="110"/>
        <v>25.638359302179442</v>
      </c>
      <c r="D281" s="364">
        <f t="shared" si="111"/>
        <v>1.5317823745104255</v>
      </c>
      <c r="E281" s="364">
        <f t="shared" si="112"/>
        <v>1.0253045931330624</v>
      </c>
      <c r="F281" s="365">
        <f t="shared" si="113"/>
        <v>0.2226309279943946</v>
      </c>
      <c r="G281" s="364">
        <f t="shared" si="114"/>
        <v>1.0809977042827243</v>
      </c>
      <c r="H281" s="365">
        <f t="shared" si="115"/>
        <v>-0.38957292419908263</v>
      </c>
      <c r="I281" s="363">
        <f t="shared" si="116"/>
        <v>75483.970400027174</v>
      </c>
      <c r="J281" s="366">
        <f t="shared" si="117"/>
        <v>1.5707830789490993</v>
      </c>
      <c r="K281" s="374">
        <f t="shared" si="133"/>
        <v>22.811206289532429</v>
      </c>
      <c r="L281" s="375">
        <f t="shared" si="134"/>
        <v>1.5269441709223788</v>
      </c>
      <c r="M281" s="363">
        <f t="shared" si="118"/>
        <v>1.3099497731501248</v>
      </c>
      <c r="N281" s="366">
        <f t="shared" si="119"/>
        <v>0.70225420308807696</v>
      </c>
      <c r="O281" s="367">
        <f t="shared" si="120"/>
        <v>1.0293680229582318</v>
      </c>
      <c r="P281" s="368">
        <f t="shared" si="121"/>
        <v>0.31472319622849348</v>
      </c>
      <c r="Q281" s="369">
        <f t="shared" si="122"/>
        <v>-13.290966904625199</v>
      </c>
      <c r="R281" s="370">
        <f t="shared" si="123"/>
        <v>-158.11003442808308</v>
      </c>
      <c r="S281" s="372">
        <f t="shared" si="124"/>
        <v>21.889965571916917</v>
      </c>
      <c r="U281" s="345">
        <f t="shared" si="130"/>
        <v>18197</v>
      </c>
      <c r="V281" s="345">
        <f t="shared" si="131"/>
        <v>331130809</v>
      </c>
      <c r="X281" s="371">
        <f t="shared" si="125"/>
        <v>15.357451779225354</v>
      </c>
      <c r="Y281" s="372">
        <f t="shared" si="126"/>
        <v>-42.747986439509759</v>
      </c>
      <c r="AA281" s="371">
        <f t="shared" si="127"/>
        <v>31.912155788154315</v>
      </c>
      <c r="AB281" s="372">
        <f t="shared" si="128"/>
        <v>-115.36204798857331</v>
      </c>
      <c r="AD281">
        <f t="shared" si="132"/>
        <v>0</v>
      </c>
      <c r="AE281">
        <f t="shared" si="109"/>
        <v>0</v>
      </c>
    </row>
    <row r="282" spans="1:31" x14ac:dyDescent="0.2">
      <c r="A282" s="373">
        <v>18303</v>
      </c>
      <c r="B282" s="390">
        <f t="shared" si="129"/>
        <v>18.303000000000001</v>
      </c>
      <c r="C282" s="363">
        <f t="shared" si="110"/>
        <v>25.787479685213153</v>
      </c>
      <c r="D282" s="364">
        <f t="shared" si="111"/>
        <v>1.5320080927080937</v>
      </c>
      <c r="E282" s="364">
        <f t="shared" si="112"/>
        <v>1.0255965670897176</v>
      </c>
      <c r="F282" s="365">
        <f t="shared" si="113"/>
        <v>0.22388499740844095</v>
      </c>
      <c r="G282" s="364">
        <f t="shared" si="114"/>
        <v>1.081908258505089</v>
      </c>
      <c r="H282" s="365">
        <f t="shared" si="115"/>
        <v>-0.39161778298011463</v>
      </c>
      <c r="I282" s="363">
        <f t="shared" si="116"/>
        <v>75923.674794213177</v>
      </c>
      <c r="J282" s="366">
        <f t="shared" si="117"/>
        <v>1.5707831556726777</v>
      </c>
      <c r="K282" s="374">
        <f t="shared" si="133"/>
        <v>22.943830043885622</v>
      </c>
      <c r="L282" s="375">
        <f t="shared" si="134"/>
        <v>1.5271978136689561</v>
      </c>
      <c r="M282" s="363">
        <f t="shared" si="118"/>
        <v>1.313138960385057</v>
      </c>
      <c r="N282" s="366">
        <f t="shared" si="119"/>
        <v>0.70511962292692165</v>
      </c>
      <c r="O282" s="367">
        <f t="shared" si="120"/>
        <v>1.0297087922955386</v>
      </c>
      <c r="P282" s="368">
        <f t="shared" si="121"/>
        <v>0.31651168963519788</v>
      </c>
      <c r="Q282" s="369">
        <f t="shared" si="122"/>
        <v>-13.355646108220821</v>
      </c>
      <c r="R282" s="370">
        <f t="shared" si="123"/>
        <v>-158.42039734597975</v>
      </c>
      <c r="S282" s="372">
        <f t="shared" si="124"/>
        <v>21.579602654020249</v>
      </c>
      <c r="U282" s="345">
        <f t="shared" si="130"/>
        <v>18303</v>
      </c>
      <c r="V282" s="345">
        <f t="shared" si="131"/>
        <v>334999809</v>
      </c>
      <c r="X282" s="371">
        <f t="shared" si="125"/>
        <v>15.336234528192749</v>
      </c>
      <c r="Y282" s="372">
        <f t="shared" si="126"/>
        <v>-42.897634640033857</v>
      </c>
      <c r="AA282" s="371">
        <f t="shared" si="127"/>
        <v>31.868693835591305</v>
      </c>
      <c r="AB282" s="372">
        <f t="shared" si="128"/>
        <v>-115.52276270594587</v>
      </c>
      <c r="AD282">
        <f t="shared" si="132"/>
        <v>0</v>
      </c>
      <c r="AE282">
        <f t="shared" ref="AE282:AE345" si="135">IF(AD282&gt;0,S282,0)</f>
        <v>0</v>
      </c>
    </row>
    <row r="283" spans="1:31" x14ac:dyDescent="0.2">
      <c r="A283" s="373">
        <v>18409</v>
      </c>
      <c r="B283" s="390">
        <f t="shared" si="129"/>
        <v>18.408999999999999</v>
      </c>
      <c r="C283" s="363">
        <f t="shared" si="110"/>
        <v>25.936601366977897</v>
      </c>
      <c r="D283" s="364">
        <f t="shared" si="111"/>
        <v>1.5322312153975257</v>
      </c>
      <c r="E283" s="364">
        <f t="shared" si="112"/>
        <v>1.0258901530723499</v>
      </c>
      <c r="F283" s="365">
        <f t="shared" si="113"/>
        <v>0.2251383510214901</v>
      </c>
      <c r="G283" s="364">
        <f t="shared" si="114"/>
        <v>1.0828233290505074</v>
      </c>
      <c r="H283" s="365">
        <f t="shared" si="115"/>
        <v>-0.39365919415346462</v>
      </c>
      <c r="I283" s="363">
        <f t="shared" si="116"/>
        <v>76363.379188399616</v>
      </c>
      <c r="J283" s="366">
        <f t="shared" si="117"/>
        <v>1.5707832315126991</v>
      </c>
      <c r="K283" s="374">
        <f t="shared" si="133"/>
        <v>23.076455257355349</v>
      </c>
      <c r="L283" s="375">
        <f t="shared" si="134"/>
        <v>1.5274485409557113</v>
      </c>
      <c r="M283" s="363">
        <f t="shared" si="118"/>
        <v>1.3163388770245865</v>
      </c>
      <c r="N283" s="366">
        <f t="shared" si="119"/>
        <v>0.70797113486176455</v>
      </c>
      <c r="O283" s="367">
        <f t="shared" si="120"/>
        <v>1.0300514872203692</v>
      </c>
      <c r="P283" s="368">
        <f t="shared" si="121"/>
        <v>0.31829943091955087</v>
      </c>
      <c r="Q283" s="369">
        <f t="shared" si="122"/>
        <v>-13.420025465402283</v>
      </c>
      <c r="R283" s="370">
        <f t="shared" si="123"/>
        <v>-158.7297820664956</v>
      </c>
      <c r="S283" s="372">
        <f t="shared" si="124"/>
        <v>21.270217933504398</v>
      </c>
      <c r="U283" s="345">
        <f t="shared" si="130"/>
        <v>18409</v>
      </c>
      <c r="V283" s="345">
        <f t="shared" si="131"/>
        <v>338891281</v>
      </c>
      <c r="X283" s="371">
        <f t="shared" si="125"/>
        <v>15.314999370426781</v>
      </c>
      <c r="Y283" s="372">
        <f t="shared" si="126"/>
        <v>-43.046652969275108</v>
      </c>
      <c r="AA283" s="371">
        <f t="shared" si="127"/>
        <v>31.825549636175808</v>
      </c>
      <c r="AB283" s="372">
        <f t="shared" si="128"/>
        <v>-115.68312909722054</v>
      </c>
      <c r="AD283">
        <f t="shared" si="132"/>
        <v>0</v>
      </c>
      <c r="AE283">
        <f t="shared" si="135"/>
        <v>0</v>
      </c>
    </row>
    <row r="284" spans="1:31" x14ac:dyDescent="0.2">
      <c r="A284" s="373">
        <v>18515</v>
      </c>
      <c r="B284" s="390">
        <f t="shared" si="129"/>
        <v>18.515000000000001</v>
      </c>
      <c r="C284" s="363">
        <f t="shared" si="110"/>
        <v>26.08572432520069</v>
      </c>
      <c r="D284" s="364">
        <f t="shared" si="111"/>
        <v>1.5324517870691508</v>
      </c>
      <c r="E284" s="364">
        <f t="shared" si="112"/>
        <v>1.0261853496973841</v>
      </c>
      <c r="F284" s="365">
        <f t="shared" si="113"/>
        <v>0.22639098551182432</v>
      </c>
      <c r="G284" s="364">
        <f t="shared" si="114"/>
        <v>1.0837429044787545</v>
      </c>
      <c r="H284" s="365">
        <f t="shared" si="115"/>
        <v>-0.39569714945922496</v>
      </c>
      <c r="I284" s="363">
        <f t="shared" si="116"/>
        <v>76803.083582586507</v>
      </c>
      <c r="J284" s="366">
        <f t="shared" si="117"/>
        <v>1.5707833064843391</v>
      </c>
      <c r="K284" s="374">
        <f t="shared" si="133"/>
        <v>23.209081904927817</v>
      </c>
      <c r="L284" s="375">
        <f t="shared" si="134"/>
        <v>1.5276964027314104</v>
      </c>
      <c r="M284" s="363">
        <f t="shared" si="118"/>
        <v>1.3195494450120726</v>
      </c>
      <c r="N284" s="366">
        <f t="shared" si="119"/>
        <v>0.71080879386925</v>
      </c>
      <c r="O284" s="367">
        <f t="shared" si="120"/>
        <v>1.0303961068543317</v>
      </c>
      <c r="P284" s="368">
        <f t="shared" si="121"/>
        <v>0.32008641652235709</v>
      </c>
      <c r="Q284" s="369">
        <f t="shared" si="122"/>
        <v>-13.484107721689689</v>
      </c>
      <c r="R284" s="370">
        <f t="shared" si="123"/>
        <v>-159.03819094082607</v>
      </c>
      <c r="S284" s="372">
        <f t="shared" si="124"/>
        <v>20.96180905917393</v>
      </c>
      <c r="U284" s="345">
        <f t="shared" si="130"/>
        <v>18515</v>
      </c>
      <c r="V284" s="345">
        <f t="shared" si="131"/>
        <v>342805225</v>
      </c>
      <c r="X284" s="371">
        <f t="shared" si="125"/>
        <v>15.293747049036952</v>
      </c>
      <c r="Y284" s="372">
        <f t="shared" si="126"/>
        <v>-43.195041716179269</v>
      </c>
      <c r="AA284" s="371">
        <f t="shared" si="127"/>
        <v>31.782719701278232</v>
      </c>
      <c r="AB284" s="372">
        <f t="shared" si="128"/>
        <v>-115.84314922464677</v>
      </c>
      <c r="AD284">
        <f t="shared" si="132"/>
        <v>0</v>
      </c>
      <c r="AE284">
        <f t="shared" si="135"/>
        <v>0</v>
      </c>
    </row>
    <row r="285" spans="1:31" x14ac:dyDescent="0.2">
      <c r="A285" s="373">
        <v>18621</v>
      </c>
      <c r="B285" s="390">
        <f t="shared" si="129"/>
        <v>18.620999999999999</v>
      </c>
      <c r="C285" s="363">
        <f t="shared" si="110"/>
        <v>26.234848538114775</v>
      </c>
      <c r="D285" s="364">
        <f t="shared" si="111"/>
        <v>1.5326698512028325</v>
      </c>
      <c r="E285" s="364">
        <f t="shared" si="112"/>
        <v>1.0264821555752506</v>
      </c>
      <c r="F285" s="365">
        <f t="shared" si="113"/>
        <v>0.22764289757056339</v>
      </c>
      <c r="G285" s="364">
        <f t="shared" si="114"/>
        <v>1.0846669733321768</v>
      </c>
      <c r="H285" s="365">
        <f t="shared" si="115"/>
        <v>-0.39773164078025397</v>
      </c>
      <c r="I285" s="363">
        <f t="shared" si="116"/>
        <v>77242.787976773805</v>
      </c>
      <c r="J285" s="366">
        <f t="shared" si="117"/>
        <v>1.5707833806024272</v>
      </c>
      <c r="K285" s="374">
        <f t="shared" si="133"/>
        <v>23.341709962157488</v>
      </c>
      <c r="L285" s="375">
        <f t="shared" si="134"/>
        <v>1.5279414478110076</v>
      </c>
      <c r="M285" s="363">
        <f t="shared" si="118"/>
        <v>1.3227705867901298</v>
      </c>
      <c r="N285" s="366">
        <f t="shared" si="119"/>
        <v>0.71363265528555597</v>
      </c>
      <c r="O285" s="367">
        <f t="shared" si="120"/>
        <v>1.0307426503154433</v>
      </c>
      <c r="P285" s="368">
        <f t="shared" si="121"/>
        <v>0.32187264289687922</v>
      </c>
      <c r="Q285" s="369">
        <f t="shared" si="122"/>
        <v>-13.547895574836378</v>
      </c>
      <c r="R285" s="370">
        <f t="shared" si="123"/>
        <v>-159.34562635596561</v>
      </c>
      <c r="S285" s="372">
        <f t="shared" si="124"/>
        <v>20.654373644034393</v>
      </c>
      <c r="U285" s="345">
        <f t="shared" si="130"/>
        <v>18621</v>
      </c>
      <c r="V285" s="345">
        <f t="shared" si="131"/>
        <v>346741641</v>
      </c>
      <c r="X285" s="371">
        <f t="shared" si="125"/>
        <v>15.272478298446558</v>
      </c>
      <c r="Y285" s="372">
        <f t="shared" si="126"/>
        <v>-43.342801255234527</v>
      </c>
      <c r="AA285" s="371">
        <f t="shared" si="127"/>
        <v>31.740200598721934</v>
      </c>
      <c r="AB285" s="372">
        <f t="shared" si="128"/>
        <v>-116.0028251007311</v>
      </c>
      <c r="AD285">
        <f t="shared" si="132"/>
        <v>0</v>
      </c>
      <c r="AE285">
        <f t="shared" si="135"/>
        <v>0</v>
      </c>
    </row>
    <row r="286" spans="1:31" x14ac:dyDescent="0.2">
      <c r="A286" s="373">
        <v>18729.5</v>
      </c>
      <c r="B286" s="390">
        <f t="shared" si="129"/>
        <v>18.729500000000002</v>
      </c>
      <c r="C286" s="363">
        <f t="shared" si="110"/>
        <v>26.387491108746381</v>
      </c>
      <c r="D286" s="364">
        <f t="shared" si="111"/>
        <v>1.5328905057663216</v>
      </c>
      <c r="E286" s="364">
        <f t="shared" si="112"/>
        <v>1.026787626766573</v>
      </c>
      <c r="F286" s="365">
        <f t="shared" si="113"/>
        <v>0.22892358422657694</v>
      </c>
      <c r="G286" s="364">
        <f t="shared" si="114"/>
        <v>1.0856174779255574</v>
      </c>
      <c r="H286" s="365">
        <f t="shared" si="115"/>
        <v>-0.39981051956910452</v>
      </c>
      <c r="I286" s="363">
        <f t="shared" si="116"/>
        <v>77692.862757616909</v>
      </c>
      <c r="J286" s="366">
        <f t="shared" si="117"/>
        <v>1.5707834555997247</v>
      </c>
      <c r="K286" s="374">
        <f t="shared" si="133"/>
        <v>23.477467474587574</v>
      </c>
      <c r="L286" s="375">
        <f t="shared" si="134"/>
        <v>1.5281894049251243</v>
      </c>
      <c r="M286" s="363">
        <f t="shared" si="118"/>
        <v>1.326078569267485</v>
      </c>
      <c r="N286" s="366">
        <f t="shared" si="119"/>
        <v>0.71650888577624716</v>
      </c>
      <c r="O286" s="367">
        <f t="shared" si="120"/>
        <v>1.0310993584691697</v>
      </c>
      <c r="P286" s="368">
        <f t="shared" si="121"/>
        <v>0.32370020726404114</v>
      </c>
      <c r="Q286" s="369">
        <f t="shared" si="122"/>
        <v>-13.612885725316378</v>
      </c>
      <c r="R286" s="370">
        <f t="shared" si="123"/>
        <v>-159.65930696593421</v>
      </c>
      <c r="S286" s="372">
        <f t="shared" si="124"/>
        <v>20.340693034065794</v>
      </c>
      <c r="U286" s="345">
        <f t="shared" si="130"/>
        <v>18729.5</v>
      </c>
      <c r="V286" s="345">
        <f t="shared" si="131"/>
        <v>350794170.25</v>
      </c>
      <c r="X286" s="371">
        <f t="shared" si="125"/>
        <v>15.250691668882592</v>
      </c>
      <c r="Y286" s="372">
        <f t="shared" si="126"/>
        <v>-43.493394524319548</v>
      </c>
      <c r="AA286" s="371">
        <f t="shared" si="127"/>
        <v>31.696997077805904</v>
      </c>
      <c r="AB286" s="372">
        <f t="shared" si="128"/>
        <v>-116.16591244161467</v>
      </c>
      <c r="AD286">
        <f t="shared" si="132"/>
        <v>0</v>
      </c>
      <c r="AE286">
        <f t="shared" si="135"/>
        <v>0</v>
      </c>
    </row>
    <row r="287" spans="1:31" x14ac:dyDescent="0.2">
      <c r="A287" s="373">
        <v>18838</v>
      </c>
      <c r="B287" s="390">
        <f t="shared" si="129"/>
        <v>18.838000000000001</v>
      </c>
      <c r="C287" s="363">
        <f t="shared" si="110"/>
        <v>26.540134949365264</v>
      </c>
      <c r="D287" s="364">
        <f t="shared" si="111"/>
        <v>1.53310862217991</v>
      </c>
      <c r="E287" s="364">
        <f t="shared" si="112"/>
        <v>1.0270947810488016</v>
      </c>
      <c r="F287" s="365">
        <f t="shared" si="113"/>
        <v>0.23020350699817385</v>
      </c>
      <c r="G287" s="364">
        <f t="shared" si="114"/>
        <v>1.0865726660519253</v>
      </c>
      <c r="H287" s="365">
        <f t="shared" si="115"/>
        <v>-0.40188575229728279</v>
      </c>
      <c r="I287" s="363">
        <f t="shared" si="116"/>
        <v>78142.937538460435</v>
      </c>
      <c r="J287" s="366">
        <f t="shared" si="117"/>
        <v>1.5707835297331079</v>
      </c>
      <c r="K287" s="374">
        <f t="shared" si="133"/>
        <v>23.613226413878902</v>
      </c>
      <c r="L287" s="375">
        <f t="shared" si="134"/>
        <v>1.5284345109067454</v>
      </c>
      <c r="M287" s="363">
        <f t="shared" si="118"/>
        <v>1.3293974673494018</v>
      </c>
      <c r="N287" s="366">
        <f t="shared" si="119"/>
        <v>0.71937077857745191</v>
      </c>
      <c r="O287" s="367">
        <f t="shared" si="120"/>
        <v>1.0314580803853608</v>
      </c>
      <c r="P287" s="368">
        <f t="shared" si="121"/>
        <v>0.32552696868842407</v>
      </c>
      <c r="Q287" s="369">
        <f t="shared" si="122"/>
        <v>-13.677572993622704</v>
      </c>
      <c r="R287" s="370">
        <f t="shared" si="123"/>
        <v>-159.97197282812152</v>
      </c>
      <c r="S287" s="372">
        <f t="shared" si="124"/>
        <v>20.028027171878477</v>
      </c>
      <c r="U287" s="345">
        <f t="shared" si="130"/>
        <v>18838</v>
      </c>
      <c r="V287" s="345">
        <f t="shared" si="131"/>
        <v>354870244</v>
      </c>
      <c r="X287" s="371">
        <f t="shared" si="125"/>
        <v>15.2288893553423</v>
      </c>
      <c r="Y287" s="372">
        <f t="shared" si="126"/>
        <v>-43.643329612668445</v>
      </c>
      <c r="AA287" s="371">
        <f t="shared" si="127"/>
        <v>31.654112123039866</v>
      </c>
      <c r="AB287" s="372">
        <f t="shared" si="128"/>
        <v>-116.32864321545306</v>
      </c>
      <c r="AD287">
        <f t="shared" si="132"/>
        <v>0</v>
      </c>
      <c r="AE287">
        <f t="shared" si="135"/>
        <v>0</v>
      </c>
    </row>
    <row r="288" spans="1:31" x14ac:dyDescent="0.2">
      <c r="A288" s="373">
        <v>18946.5</v>
      </c>
      <c r="B288" s="390">
        <f t="shared" si="129"/>
        <v>18.9465</v>
      </c>
      <c r="C288" s="363">
        <f t="shared" si="110"/>
        <v>26.69278003818399</v>
      </c>
      <c r="D288" s="364">
        <f t="shared" si="111"/>
        <v>1.5333242439665864</v>
      </c>
      <c r="E288" s="364">
        <f t="shared" si="112"/>
        <v>1.0274036169123977</v>
      </c>
      <c r="F288" s="365">
        <f t="shared" si="113"/>
        <v>0.23148266237881368</v>
      </c>
      <c r="G288" s="364">
        <f t="shared" si="114"/>
        <v>1.0875325253705317</v>
      </c>
      <c r="H288" s="365">
        <f t="shared" si="115"/>
        <v>-0.40395733072112422</v>
      </c>
      <c r="I288" s="363">
        <f t="shared" si="116"/>
        <v>78593.012319304398</v>
      </c>
      <c r="J288" s="366">
        <f t="shared" si="117"/>
        <v>1.5707836030174191</v>
      </c>
      <c r="K288" s="374">
        <f t="shared" si="133"/>
        <v>23.748986755561901</v>
      </c>
      <c r="L288" s="375">
        <f t="shared" si="134"/>
        <v>1.5286768146213947</v>
      </c>
      <c r="M288" s="363">
        <f t="shared" si="118"/>
        <v>1.3327271994863077</v>
      </c>
      <c r="N288" s="366">
        <f t="shared" si="119"/>
        <v>0.72221839409930877</v>
      </c>
      <c r="O288" s="367">
        <f t="shared" si="120"/>
        <v>1.0318188151066066</v>
      </c>
      <c r="P288" s="368">
        <f t="shared" si="121"/>
        <v>0.32735292340716721</v>
      </c>
      <c r="Q288" s="369">
        <f t="shared" si="122"/>
        <v>-13.741960125403436</v>
      </c>
      <c r="R288" s="370">
        <f t="shared" si="123"/>
        <v>-160.28362661150589</v>
      </c>
      <c r="S288" s="372">
        <f t="shared" si="124"/>
        <v>19.716373388494105</v>
      </c>
      <c r="U288" s="345">
        <f t="shared" si="130"/>
        <v>18946.5</v>
      </c>
      <c r="V288" s="345">
        <f t="shared" si="131"/>
        <v>358969862.25</v>
      </c>
      <c r="X288" s="371">
        <f t="shared" si="125"/>
        <v>15.207072117341278</v>
      </c>
      <c r="Y288" s="372">
        <f t="shared" si="126"/>
        <v>-43.792607182589379</v>
      </c>
      <c r="AA288" s="371">
        <f t="shared" si="127"/>
        <v>31.611542229260156</v>
      </c>
      <c r="AB288" s="372">
        <f t="shared" si="128"/>
        <v>-116.49101942891657</v>
      </c>
      <c r="AD288">
        <f t="shared" si="132"/>
        <v>0</v>
      </c>
      <c r="AE288">
        <f t="shared" si="135"/>
        <v>0</v>
      </c>
    </row>
    <row r="289" spans="1:31" x14ac:dyDescent="0.2">
      <c r="A289" s="373">
        <v>19055</v>
      </c>
      <c r="B289" s="390">
        <f t="shared" si="129"/>
        <v>19.055</v>
      </c>
      <c r="C289" s="363">
        <f t="shared" si="110"/>
        <v>26.845426353910486</v>
      </c>
      <c r="D289" s="364">
        <f t="shared" si="111"/>
        <v>1.5335374136603721</v>
      </c>
      <c r="E289" s="364">
        <f t="shared" si="112"/>
        <v>1.0277141328413772</v>
      </c>
      <c r="F289" s="365">
        <f t="shared" si="113"/>
        <v>0.23276104687620458</v>
      </c>
      <c r="G289" s="364">
        <f t="shared" si="114"/>
        <v>1.0884970435239134</v>
      </c>
      <c r="H289" s="365">
        <f t="shared" si="115"/>
        <v>-0.4060252467514282</v>
      </c>
      <c r="I289" s="363">
        <f t="shared" si="116"/>
        <v>79043.087100148783</v>
      </c>
      <c r="J289" s="366">
        <f t="shared" si="117"/>
        <v>1.5707836754671625</v>
      </c>
      <c r="K289" s="374">
        <f t="shared" si="133"/>
        <v>23.884748475723086</v>
      </c>
      <c r="L289" s="375">
        <f t="shared" si="134"/>
        <v>1.5289163638249159</v>
      </c>
      <c r="M289" s="363">
        <f t="shared" si="118"/>
        <v>1.3360676846766923</v>
      </c>
      <c r="N289" s="366">
        <f t="shared" si="119"/>
        <v>0.72505179307692136</v>
      </c>
      <c r="O289" s="367">
        <f t="shared" si="120"/>
        <v>1.0321815616716561</v>
      </c>
      <c r="P289" s="368">
        <f t="shared" si="121"/>
        <v>0.3291780676712428</v>
      </c>
      <c r="Q289" s="369">
        <f t="shared" si="122"/>
        <v>-13.806049819120132</v>
      </c>
      <c r="R289" s="370">
        <f t="shared" si="123"/>
        <v>-160.59427101940827</v>
      </c>
      <c r="S289" s="372">
        <f t="shared" si="124"/>
        <v>19.405728980591732</v>
      </c>
      <c r="U289" s="345">
        <f t="shared" si="130"/>
        <v>19055</v>
      </c>
      <c r="V289" s="345">
        <f t="shared" si="131"/>
        <v>363093025</v>
      </c>
      <c r="X289" s="371">
        <f t="shared" si="125"/>
        <v>15.1852407049837</v>
      </c>
      <c r="Y289" s="372">
        <f t="shared" si="126"/>
        <v>-43.941227978570105</v>
      </c>
      <c r="AA289" s="371">
        <f t="shared" si="127"/>
        <v>31.569283947901038</v>
      </c>
      <c r="AB289" s="372">
        <f t="shared" si="128"/>
        <v>-116.6530430408382</v>
      </c>
      <c r="AD289">
        <f t="shared" si="132"/>
        <v>0</v>
      </c>
      <c r="AE289">
        <f t="shared" si="135"/>
        <v>0</v>
      </c>
    </row>
    <row r="290" spans="1:31" x14ac:dyDescent="0.2">
      <c r="A290" s="373">
        <v>19165.75</v>
      </c>
      <c r="B290" s="390">
        <f t="shared" si="129"/>
        <v>19.165749999999999</v>
      </c>
      <c r="C290" s="363">
        <f t="shared" si="110"/>
        <v>27.001239389957814</v>
      </c>
      <c r="D290" s="364">
        <f t="shared" si="111"/>
        <v>1.5337525181953251</v>
      </c>
      <c r="E290" s="364">
        <f t="shared" si="112"/>
        <v>1.028032819146536</v>
      </c>
      <c r="F290" s="365">
        <f t="shared" si="113"/>
        <v>0.23406514301144354</v>
      </c>
      <c r="G290" s="364">
        <f t="shared" si="114"/>
        <v>1.0894863551105809</v>
      </c>
      <c r="H290" s="365">
        <f t="shared" si="115"/>
        <v>-0.40813226049003154</v>
      </c>
      <c r="I290" s="363">
        <f t="shared" si="116"/>
        <v>79502.495228983418</v>
      </c>
      <c r="J290" s="366">
        <f t="shared" si="117"/>
        <v>1.5707837485733307</v>
      </c>
      <c r="K290" s="374">
        <f t="shared" si="133"/>
        <v>24.023326928479566</v>
      </c>
      <c r="L290" s="375">
        <f t="shared" si="134"/>
        <v>1.5291580883199933</v>
      </c>
      <c r="M290" s="363">
        <f t="shared" si="118"/>
        <v>1.3394884489071781</v>
      </c>
      <c r="N290" s="366">
        <f t="shared" si="119"/>
        <v>0.72792935074739473</v>
      </c>
      <c r="O290" s="367">
        <f t="shared" si="120"/>
        <v>1.0325539044854992</v>
      </c>
      <c r="P290" s="368">
        <f t="shared" si="121"/>
        <v>0.33104022083146573</v>
      </c>
      <c r="Q290" s="369">
        <f t="shared" si="122"/>
        <v>-13.871164561908</v>
      </c>
      <c r="R290" s="370">
        <f t="shared" si="123"/>
        <v>-160.91031921375929</v>
      </c>
      <c r="S290" s="372">
        <f t="shared" si="124"/>
        <v>19.089680786240706</v>
      </c>
      <c r="U290" s="345">
        <f t="shared" si="130"/>
        <v>19165.75</v>
      </c>
      <c r="V290" s="345">
        <f t="shared" si="131"/>
        <v>367325973.0625</v>
      </c>
      <c r="X290" s="371">
        <f t="shared" si="125"/>
        <v>15.162942718334998</v>
      </c>
      <c r="Y290" s="372">
        <f t="shared" si="126"/>
        <v>-44.092254283868314</v>
      </c>
      <c r="AA290" s="371">
        <f t="shared" si="127"/>
        <v>31.526467191761867</v>
      </c>
      <c r="AB290" s="372">
        <f t="shared" si="128"/>
        <v>-116.81806492989095</v>
      </c>
      <c r="AD290">
        <f t="shared" si="132"/>
        <v>0</v>
      </c>
      <c r="AE290">
        <f t="shared" si="135"/>
        <v>0</v>
      </c>
    </row>
    <row r="291" spans="1:31" x14ac:dyDescent="0.2">
      <c r="A291" s="373">
        <v>19276.5</v>
      </c>
      <c r="B291" s="390">
        <f t="shared" si="129"/>
        <v>19.276499999999999</v>
      </c>
      <c r="C291" s="363">
        <f t="shared" si="110"/>
        <v>27.157053661015205</v>
      </c>
      <c r="D291" s="364">
        <f t="shared" si="111"/>
        <v>1.5339651544047803</v>
      </c>
      <c r="E291" s="364">
        <f t="shared" si="112"/>
        <v>1.028353252707553</v>
      </c>
      <c r="F291" s="365">
        <f t="shared" si="113"/>
        <v>0.2353684286526064</v>
      </c>
      <c r="G291" s="364">
        <f t="shared" si="114"/>
        <v>1.0904804946908175</v>
      </c>
      <c r="H291" s="365">
        <f t="shared" si="115"/>
        <v>-0.41023544182168531</v>
      </c>
      <c r="I291" s="363">
        <f t="shared" si="116"/>
        <v>79961.90335781849</v>
      </c>
      <c r="J291" s="366">
        <f t="shared" si="117"/>
        <v>1.57078382083946</v>
      </c>
      <c r="K291" s="374">
        <f t="shared" si="133"/>
        <v>24.161906768834964</v>
      </c>
      <c r="L291" s="375">
        <f t="shared" si="134"/>
        <v>1.5293970400227415</v>
      </c>
      <c r="M291" s="363">
        <f t="shared" si="118"/>
        <v>1.3429202479961477</v>
      </c>
      <c r="N291" s="366">
        <f t="shared" si="119"/>
        <v>0.73079222496947882</v>
      </c>
      <c r="O291" s="367">
        <f t="shared" si="120"/>
        <v>1.0329283414128865</v>
      </c>
      <c r="P291" s="368">
        <f t="shared" si="121"/>
        <v>0.33290152172610832</v>
      </c>
      <c r="Q291" s="369">
        <f t="shared" si="122"/>
        <v>-13.93597493893993</v>
      </c>
      <c r="R291" s="370">
        <f t="shared" si="123"/>
        <v>-161.22532153094696</v>
      </c>
      <c r="S291" s="372">
        <f t="shared" si="124"/>
        <v>18.774678469053043</v>
      </c>
      <c r="U291" s="345">
        <f t="shared" si="130"/>
        <v>19276.5</v>
      </c>
      <c r="V291" s="345">
        <f t="shared" si="131"/>
        <v>371583452.25</v>
      </c>
      <c r="X291" s="371">
        <f t="shared" si="125"/>
        <v>15.140631512842228</v>
      </c>
      <c r="Y291" s="372">
        <f t="shared" si="126"/>
        <v>-44.242598110711612</v>
      </c>
      <c r="AA291" s="371">
        <f t="shared" si="127"/>
        <v>31.483968020222711</v>
      </c>
      <c r="AB291" s="372">
        <f t="shared" si="128"/>
        <v>-116.98272342023532</v>
      </c>
      <c r="AD291">
        <f t="shared" si="132"/>
        <v>0</v>
      </c>
      <c r="AE291">
        <f t="shared" si="135"/>
        <v>0</v>
      </c>
    </row>
    <row r="292" spans="1:31" x14ac:dyDescent="0.2">
      <c r="A292" s="373">
        <v>19387.25</v>
      </c>
      <c r="B292" s="390">
        <f t="shared" si="129"/>
        <v>19.387250000000002</v>
      </c>
      <c r="C292" s="363">
        <f t="shared" si="110"/>
        <v>27.312869145946227</v>
      </c>
      <c r="D292" s="364">
        <f t="shared" si="111"/>
        <v>1.5341753645135323</v>
      </c>
      <c r="E292" s="364">
        <f t="shared" si="112"/>
        <v>1.0286754318916118</v>
      </c>
      <c r="F292" s="365">
        <f t="shared" si="113"/>
        <v>0.23667090013177874</v>
      </c>
      <c r="G292" s="364">
        <f t="shared" si="114"/>
        <v>1.0914794490723472</v>
      </c>
      <c r="H292" s="365">
        <f t="shared" si="115"/>
        <v>-0.41233478263744128</v>
      </c>
      <c r="I292" s="363">
        <f t="shared" si="116"/>
        <v>80421.311486653998</v>
      </c>
      <c r="J292" s="366">
        <f t="shared" si="117"/>
        <v>1.570783892279946</v>
      </c>
      <c r="K292" s="374">
        <f t="shared" si="133"/>
        <v>24.300487973049854</v>
      </c>
      <c r="L292" s="375">
        <f t="shared" si="134"/>
        <v>1.5296332663438084</v>
      </c>
      <c r="M292" s="363">
        <f t="shared" si="118"/>
        <v>1.3463629975620126</v>
      </c>
      <c r="N292" s="366">
        <f t="shared" si="119"/>
        <v>0.7336404812753502</v>
      </c>
      <c r="O292" s="367">
        <f t="shared" si="120"/>
        <v>1.0333048714192994</v>
      </c>
      <c r="P292" s="368">
        <f t="shared" si="121"/>
        <v>0.33476196641287725</v>
      </c>
      <c r="Q292" s="369">
        <f t="shared" si="122"/>
        <v>-14.00048367575555</v>
      </c>
      <c r="R292" s="370">
        <f t="shared" si="123"/>
        <v>-161.53928094905643</v>
      </c>
      <c r="S292" s="372">
        <f t="shared" si="124"/>
        <v>18.460719050943567</v>
      </c>
      <c r="U292" s="345">
        <f t="shared" si="130"/>
        <v>19387.25</v>
      </c>
      <c r="V292" s="345">
        <f t="shared" si="131"/>
        <v>375865462.5625</v>
      </c>
      <c r="X292" s="371">
        <f t="shared" si="125"/>
        <v>15.118307856169322</v>
      </c>
      <c r="Y292" s="372">
        <f t="shared" si="126"/>
        <v>-44.392260498211876</v>
      </c>
      <c r="AA292" s="371">
        <f t="shared" si="127"/>
        <v>31.44178294008</v>
      </c>
      <c r="AB292" s="372">
        <f t="shared" si="128"/>
        <v>-117.14702045084455</v>
      </c>
      <c r="AD292">
        <f t="shared" si="132"/>
        <v>0</v>
      </c>
      <c r="AE292">
        <f t="shared" si="135"/>
        <v>0</v>
      </c>
    </row>
    <row r="293" spans="1:31" x14ac:dyDescent="0.2">
      <c r="A293" s="373">
        <v>19498</v>
      </c>
      <c r="B293" s="390">
        <f t="shared" si="129"/>
        <v>19.498000000000001</v>
      </c>
      <c r="C293" s="363">
        <f t="shared" si="110"/>
        <v>27.468685824093868</v>
      </c>
      <c r="D293" s="364">
        <f t="shared" si="111"/>
        <v>1.5343831897891596</v>
      </c>
      <c r="E293" s="364">
        <f t="shared" si="112"/>
        <v>1.0289993550590515</v>
      </c>
      <c r="F293" s="365">
        <f t="shared" si="113"/>
        <v>0.2379725537966767</v>
      </c>
      <c r="G293" s="364">
        <f t="shared" si="114"/>
        <v>1.0924832050473687</v>
      </c>
      <c r="H293" s="365">
        <f t="shared" si="115"/>
        <v>-0.4144302749933455</v>
      </c>
      <c r="I293" s="363">
        <f t="shared" si="116"/>
        <v>80880.719615489885</v>
      </c>
      <c r="J293" s="366">
        <f t="shared" si="117"/>
        <v>1.5707839629088582</v>
      </c>
      <c r="K293" s="374">
        <f t="shared" si="133"/>
        <v>24.439070517923028</v>
      </c>
      <c r="L293" s="375">
        <f t="shared" si="134"/>
        <v>1.5298668136196991</v>
      </c>
      <c r="M293" s="363">
        <f t="shared" si="118"/>
        <v>1.349816613816172</v>
      </c>
      <c r="N293" s="366">
        <f t="shared" si="119"/>
        <v>0.7364741854784066</v>
      </c>
      <c r="O293" s="367">
        <f t="shared" si="120"/>
        <v>1.0336834934661627</v>
      </c>
      <c r="P293" s="368">
        <f t="shared" si="121"/>
        <v>0.33662155096466023</v>
      </c>
      <c r="Q293" s="369">
        <f t="shared" si="122"/>
        <v>-14.064693451801713</v>
      </c>
      <c r="R293" s="370">
        <f t="shared" si="123"/>
        <v>-161.8522004783942</v>
      </c>
      <c r="S293" s="372">
        <f t="shared" si="124"/>
        <v>18.147799521605805</v>
      </c>
      <c r="U293" s="345">
        <f t="shared" si="130"/>
        <v>19498</v>
      </c>
      <c r="V293" s="345">
        <f t="shared" si="131"/>
        <v>380172004</v>
      </c>
      <c r="X293" s="371">
        <f t="shared" si="125"/>
        <v>15.095972505946786</v>
      </c>
      <c r="Y293" s="372">
        <f t="shared" si="126"/>
        <v>-44.541242563118992</v>
      </c>
      <c r="AA293" s="371">
        <f t="shared" si="127"/>
        <v>31.399908514256371</v>
      </c>
      <c r="AB293" s="372">
        <f t="shared" si="128"/>
        <v>-117.3109579152752</v>
      </c>
      <c r="AD293">
        <f t="shared" si="132"/>
        <v>0</v>
      </c>
      <c r="AE293">
        <f t="shared" si="135"/>
        <v>0</v>
      </c>
    </row>
    <row r="294" spans="1:31" x14ac:dyDescent="0.2">
      <c r="A294" s="373">
        <v>19611.75</v>
      </c>
      <c r="B294" s="390">
        <f t="shared" si="129"/>
        <v>19.611750000000001</v>
      </c>
      <c r="C294" s="363">
        <f t="shared" si="110"/>
        <v>27.628724490978627</v>
      </c>
      <c r="D294" s="364">
        <f t="shared" si="111"/>
        <v>1.5345942043984124</v>
      </c>
      <c r="E294" s="364">
        <f t="shared" si="112"/>
        <v>1.0293338664242973</v>
      </c>
      <c r="F294" s="365">
        <f t="shared" si="113"/>
        <v>0.23930861153949115</v>
      </c>
      <c r="G294" s="364">
        <f t="shared" si="114"/>
        <v>1.0935191353650289</v>
      </c>
      <c r="H294" s="365">
        <f t="shared" si="115"/>
        <v>-0.41657851570867943</v>
      </c>
      <c r="I294" s="363">
        <f t="shared" si="116"/>
        <v>81352.572208312718</v>
      </c>
      <c r="J294" s="366">
        <f t="shared" si="117"/>
        <v>1.5707840346205635</v>
      </c>
      <c r="K294" s="374">
        <f t="shared" si="133"/>
        <v>24.581408363583371</v>
      </c>
      <c r="L294" s="375">
        <f t="shared" si="134"/>
        <v>1.5301039459174748</v>
      </c>
      <c r="M294" s="363">
        <f t="shared" si="118"/>
        <v>1.3533750065779357</v>
      </c>
      <c r="N294" s="366">
        <f t="shared" si="119"/>
        <v>0.73936956984916435</v>
      </c>
      <c r="O294" s="367">
        <f t="shared" si="120"/>
        <v>1.0340745483574072</v>
      </c>
      <c r="P294" s="368">
        <f t="shared" si="121"/>
        <v>0.33853060850140448</v>
      </c>
      <c r="Q294" s="369">
        <f t="shared" si="122"/>
        <v>-14.130334093753056</v>
      </c>
      <c r="R294" s="370">
        <f t="shared" si="123"/>
        <v>-162.17251705494868</v>
      </c>
      <c r="S294" s="372">
        <f t="shared" si="124"/>
        <v>17.827482945051315</v>
      </c>
      <c r="U294" s="345">
        <f t="shared" si="130"/>
        <v>19611.75</v>
      </c>
      <c r="V294" s="345">
        <f t="shared" si="131"/>
        <v>384620738.0625</v>
      </c>
      <c r="X294" s="371">
        <f t="shared" si="125"/>
        <v>15.073020747237408</v>
      </c>
      <c r="Y294" s="372">
        <f t="shared" si="126"/>
        <v>-44.693553296734862</v>
      </c>
      <c r="AA294" s="371">
        <f t="shared" si="127"/>
        <v>31.357219631014406</v>
      </c>
      <c r="AB294" s="372">
        <f t="shared" si="128"/>
        <v>-117.47896375821382</v>
      </c>
      <c r="AD294">
        <f t="shared" si="132"/>
        <v>0</v>
      </c>
      <c r="AE294">
        <f t="shared" si="135"/>
        <v>0</v>
      </c>
    </row>
    <row r="295" spans="1:31" x14ac:dyDescent="0.2">
      <c r="A295" s="373">
        <v>19725.5</v>
      </c>
      <c r="B295" s="390">
        <f t="shared" si="129"/>
        <v>19.7255</v>
      </c>
      <c r="C295" s="363">
        <f t="shared" si="110"/>
        <v>27.788764373922085</v>
      </c>
      <c r="D295" s="364">
        <f t="shared" si="111"/>
        <v>1.5348027884839401</v>
      </c>
      <c r="E295" s="364">
        <f t="shared" si="112"/>
        <v>1.0296702140065002</v>
      </c>
      <c r="F295" s="365">
        <f t="shared" si="113"/>
        <v>0.24064379880279507</v>
      </c>
      <c r="G295" s="364">
        <f t="shared" si="114"/>
        <v>1.0945601026399012</v>
      </c>
      <c r="H295" s="365">
        <f t="shared" si="115"/>
        <v>-0.41872268019027975</v>
      </c>
      <c r="I295" s="363">
        <f t="shared" si="116"/>
        <v>81824.424801135974</v>
      </c>
      <c r="J295" s="366">
        <f t="shared" si="117"/>
        <v>1.5707841055051968</v>
      </c>
      <c r="K295" s="374">
        <f t="shared" si="133"/>
        <v>24.723747575583054</v>
      </c>
      <c r="L295" s="375">
        <f t="shared" si="134"/>
        <v>1.5303383477988426</v>
      </c>
      <c r="M295" s="363">
        <f t="shared" si="118"/>
        <v>1.3569446854614482</v>
      </c>
      <c r="N295" s="366">
        <f t="shared" si="119"/>
        <v>0.74224974463571747</v>
      </c>
      <c r="O295" s="367">
        <f t="shared" si="120"/>
        <v>1.0344678079287815</v>
      </c>
      <c r="P295" s="368">
        <f t="shared" si="121"/>
        <v>0.34043875032495624</v>
      </c>
      <c r="Q295" s="369">
        <f t="shared" si="122"/>
        <v>-14.195664944534037</v>
      </c>
      <c r="R295" s="370">
        <f t="shared" si="123"/>
        <v>-162.49174317902779</v>
      </c>
      <c r="S295" s="372">
        <f t="shared" si="124"/>
        <v>17.508256820972207</v>
      </c>
      <c r="U295" s="345">
        <f t="shared" si="130"/>
        <v>19725.5</v>
      </c>
      <c r="V295" s="345">
        <f t="shared" si="131"/>
        <v>389095350.25</v>
      </c>
      <c r="X295" s="371">
        <f t="shared" si="125"/>
        <v>15.050058240710545</v>
      </c>
      <c r="Y295" s="372">
        <f t="shared" si="126"/>
        <v>-44.845148979315582</v>
      </c>
      <c r="AA295" s="371">
        <f t="shared" si="127"/>
        <v>31.314851286760291</v>
      </c>
      <c r="AB295" s="372">
        <f t="shared" si="128"/>
        <v>-117.64659419971223</v>
      </c>
      <c r="AD295">
        <f t="shared" si="132"/>
        <v>0</v>
      </c>
      <c r="AE295">
        <f t="shared" si="135"/>
        <v>0</v>
      </c>
    </row>
    <row r="296" spans="1:31" x14ac:dyDescent="0.2">
      <c r="A296" s="373">
        <v>19839.25</v>
      </c>
      <c r="B296" s="390">
        <f t="shared" si="129"/>
        <v>19.83925</v>
      </c>
      <c r="C296" s="363">
        <f t="shared" si="110"/>
        <v>27.948805452034126</v>
      </c>
      <c r="D296" s="364">
        <f t="shared" si="111"/>
        <v>1.5350089837805936</v>
      </c>
      <c r="E296" s="364">
        <f t="shared" si="112"/>
        <v>1.0300083960068194</v>
      </c>
      <c r="F296" s="365">
        <f t="shared" si="113"/>
        <v>0.24197811168114697</v>
      </c>
      <c r="G296" s="364">
        <f t="shared" si="114"/>
        <v>1.0956060925147066</v>
      </c>
      <c r="H296" s="365">
        <f t="shared" si="115"/>
        <v>-0.4208627603698088</v>
      </c>
      <c r="I296" s="363">
        <f t="shared" si="116"/>
        <v>82296.277393959637</v>
      </c>
      <c r="J296" s="366">
        <f t="shared" si="117"/>
        <v>1.5707841755769838</v>
      </c>
      <c r="K296" s="374">
        <f t="shared" si="133"/>
        <v>24.866088130458365</v>
      </c>
      <c r="L296" s="375">
        <f t="shared" si="134"/>
        <v>1.5305700661268586</v>
      </c>
      <c r="M296" s="363">
        <f t="shared" si="118"/>
        <v>1.3605255616308276</v>
      </c>
      <c r="N296" s="366">
        <f t="shared" si="119"/>
        <v>0.74511478195962111</v>
      </c>
      <c r="O296" s="367">
        <f t="shared" si="120"/>
        <v>1.0348632710418246</v>
      </c>
      <c r="P296" s="368">
        <f t="shared" si="121"/>
        <v>0.34234597223062346</v>
      </c>
      <c r="Q296" s="369">
        <f t="shared" si="122"/>
        <v>-14.260688763238257</v>
      </c>
      <c r="R296" s="370">
        <f t="shared" si="123"/>
        <v>-162.80988221045541</v>
      </c>
      <c r="S296" s="372">
        <f t="shared" si="124"/>
        <v>17.190117789544587</v>
      </c>
      <c r="U296" s="345">
        <f t="shared" si="130"/>
        <v>19839.25</v>
      </c>
      <c r="V296" s="345">
        <f t="shared" si="131"/>
        <v>393595840.5625</v>
      </c>
      <c r="X296" s="371">
        <f t="shared" si="125"/>
        <v>15.027085774553409</v>
      </c>
      <c r="Y296" s="372">
        <f t="shared" si="126"/>
        <v>-44.996031058881648</v>
      </c>
      <c r="AA296" s="371">
        <f t="shared" si="127"/>
        <v>31.2727999342132</v>
      </c>
      <c r="AB296" s="372">
        <f t="shared" si="128"/>
        <v>-117.81385115157376</v>
      </c>
      <c r="AD296">
        <f t="shared" si="132"/>
        <v>0</v>
      </c>
      <c r="AE296">
        <f t="shared" si="135"/>
        <v>0</v>
      </c>
    </row>
    <row r="297" spans="1:31" x14ac:dyDescent="0.2">
      <c r="A297" s="373">
        <v>19953</v>
      </c>
      <c r="B297" s="390">
        <f t="shared" si="129"/>
        <v>19.952999999999999</v>
      </c>
      <c r="C297" s="363">
        <f t="shared" si="110"/>
        <v>28.108847704900242</v>
      </c>
      <c r="D297" s="364">
        <f t="shared" si="111"/>
        <v>1.5352128310735511</v>
      </c>
      <c r="E297" s="364">
        <f t="shared" si="112"/>
        <v>1.0303484106189711</v>
      </c>
      <c r="F297" s="365">
        <f t="shared" si="113"/>
        <v>0.24331154628667262</v>
      </c>
      <c r="G297" s="364">
        <f t="shared" si="114"/>
        <v>1.0966570906178006</v>
      </c>
      <c r="H297" s="365">
        <f t="shared" si="115"/>
        <v>-0.42299874835928308</v>
      </c>
      <c r="I297" s="363">
        <f t="shared" si="116"/>
        <v>82768.129986783693</v>
      </c>
      <c r="J297" s="366">
        <f t="shared" si="117"/>
        <v>1.5707842448498268</v>
      </c>
      <c r="K297" s="374">
        <f t="shared" si="133"/>
        <v>25.008430005279546</v>
      </c>
      <c r="L297" s="375">
        <f t="shared" si="134"/>
        <v>1.5307991466988153</v>
      </c>
      <c r="M297" s="363">
        <f t="shared" si="118"/>
        <v>1.3641175469057858</v>
      </c>
      <c r="N297" s="366">
        <f t="shared" si="119"/>
        <v>0.74796475418038133</v>
      </c>
      <c r="O297" s="367">
        <f t="shared" si="120"/>
        <v>1.0352609365536889</v>
      </c>
      <c r="P297" s="368">
        <f t="shared" si="121"/>
        <v>0.34425227003078401</v>
      </c>
      <c r="Q297" s="369">
        <f t="shared" si="122"/>
        <v>-14.325408262812099</v>
      </c>
      <c r="R297" s="370">
        <f t="shared" si="123"/>
        <v>-163.12693753962688</v>
      </c>
      <c r="S297" s="372">
        <f t="shared" si="124"/>
        <v>16.87306246037312</v>
      </c>
      <c r="U297" s="345">
        <f t="shared" si="130"/>
        <v>19953</v>
      </c>
      <c r="V297" s="345">
        <f t="shared" si="131"/>
        <v>398122209</v>
      </c>
      <c r="X297" s="371">
        <f t="shared" si="125"/>
        <v>15.004104126040048</v>
      </c>
      <c r="Y297" s="372">
        <f t="shared" si="126"/>
        <v>-45.146201058132313</v>
      </c>
      <c r="AA297" s="371">
        <f t="shared" si="127"/>
        <v>31.231062083152729</v>
      </c>
      <c r="AB297" s="372">
        <f t="shared" si="128"/>
        <v>-117.98073648149455</v>
      </c>
      <c r="AD297">
        <f t="shared" si="132"/>
        <v>0</v>
      </c>
      <c r="AE297">
        <f t="shared" si="135"/>
        <v>0</v>
      </c>
    </row>
    <row r="298" spans="1:31" x14ac:dyDescent="0.2">
      <c r="A298" s="373">
        <v>20069</v>
      </c>
      <c r="B298" s="390">
        <f t="shared" si="129"/>
        <v>20.068999999999999</v>
      </c>
      <c r="C298" s="363">
        <f t="shared" si="110"/>
        <v>28.272056817859998</v>
      </c>
      <c r="D298" s="364">
        <f t="shared" si="111"/>
        <v>1.5354183337006237</v>
      </c>
      <c r="E298" s="364">
        <f t="shared" si="112"/>
        <v>1.030697036259218</v>
      </c>
      <c r="F298" s="365">
        <f t="shared" si="113"/>
        <v>0.24467044800642837</v>
      </c>
      <c r="G298" s="364">
        <f t="shared" si="114"/>
        <v>1.097734020585525</v>
      </c>
      <c r="H298" s="365">
        <f t="shared" si="115"/>
        <v>-0.42517276426327283</v>
      </c>
      <c r="I298" s="363">
        <f t="shared" si="116"/>
        <v>83249.315927598072</v>
      </c>
      <c r="J298" s="366">
        <f t="shared" si="117"/>
        <v>1.5707843146841798</v>
      </c>
      <c r="K298" s="374">
        <f t="shared" si="133"/>
        <v>25.153588769806174</v>
      </c>
      <c r="L298" s="375">
        <f t="shared" si="134"/>
        <v>1.531030088396905</v>
      </c>
      <c r="M298" s="363">
        <f t="shared" si="118"/>
        <v>1.3677919325974721</v>
      </c>
      <c r="N298" s="366">
        <f t="shared" si="119"/>
        <v>0.75085565968217205</v>
      </c>
      <c r="O298" s="367">
        <f t="shared" si="120"/>
        <v>1.0356687349630727</v>
      </c>
      <c r="P298" s="368">
        <f t="shared" si="121"/>
        <v>0.34619531879229704</v>
      </c>
      <c r="Q298" s="369">
        <f t="shared" si="122"/>
        <v>-14.391097285974201</v>
      </c>
      <c r="R298" s="370">
        <f t="shared" si="123"/>
        <v>-163.44915177002912</v>
      </c>
      <c r="S298" s="372">
        <f t="shared" si="124"/>
        <v>16.550848229970882</v>
      </c>
      <c r="U298" s="345">
        <f t="shared" si="130"/>
        <v>20069</v>
      </c>
      <c r="V298" s="345">
        <f t="shared" si="131"/>
        <v>402764761</v>
      </c>
      <c r="X298" s="371">
        <f t="shared" si="125"/>
        <v>14.980659233341996</v>
      </c>
      <c r="Y298" s="372">
        <f t="shared" si="126"/>
        <v>-45.298609759129789</v>
      </c>
      <c r="AA298" s="371">
        <f t="shared" si="127"/>
        <v>31.188817952688677</v>
      </c>
      <c r="AB298" s="372">
        <f t="shared" si="128"/>
        <v>-118.15054201089937</v>
      </c>
      <c r="AD298">
        <f t="shared" si="132"/>
        <v>0</v>
      </c>
      <c r="AE298">
        <f t="shared" si="135"/>
        <v>0</v>
      </c>
    </row>
    <row r="299" spans="1:31" x14ac:dyDescent="0.2">
      <c r="A299" s="373">
        <v>20185</v>
      </c>
      <c r="B299" s="390">
        <f t="shared" si="129"/>
        <v>20.184999999999999</v>
      </c>
      <c r="C299" s="363">
        <f t="shared" si="110"/>
        <v>28.435267111080318</v>
      </c>
      <c r="D299" s="364">
        <f t="shared" si="111"/>
        <v>1.5356214772836909</v>
      </c>
      <c r="E299" s="364">
        <f t="shared" si="112"/>
        <v>1.0310475639097565</v>
      </c>
      <c r="F299" s="365">
        <f t="shared" si="113"/>
        <v>0.24602842825444354</v>
      </c>
      <c r="G299" s="364">
        <f t="shared" si="114"/>
        <v>1.0988161286389662</v>
      </c>
      <c r="H299" s="365">
        <f t="shared" si="115"/>
        <v>-0.42734250848772848</v>
      </c>
      <c r="I299" s="363">
        <f t="shared" si="116"/>
        <v>83730.501868412859</v>
      </c>
      <c r="J299" s="366">
        <f t="shared" si="117"/>
        <v>1.5707843837158788</v>
      </c>
      <c r="K299" s="374">
        <f t="shared" si="133"/>
        <v>25.298748860480998</v>
      </c>
      <c r="L299" s="375">
        <f t="shared" si="134"/>
        <v>1.5312583798955346</v>
      </c>
      <c r="M299" s="363">
        <f t="shared" si="118"/>
        <v>1.3714776880773849</v>
      </c>
      <c r="N299" s="366">
        <f t="shared" si="119"/>
        <v>0.75373105087294612</v>
      </c>
      <c r="O299" s="367">
        <f t="shared" si="120"/>
        <v>1.0360788213465355</v>
      </c>
      <c r="P299" s="368">
        <f t="shared" si="121"/>
        <v>0.3481373977871044</v>
      </c>
      <c r="Q299" s="369">
        <f t="shared" si="122"/>
        <v>-14.456475388980795</v>
      </c>
      <c r="R299" s="370">
        <f t="shared" si="123"/>
        <v>-163.77024621557055</v>
      </c>
      <c r="S299" s="372">
        <f t="shared" si="124"/>
        <v>16.229753784429448</v>
      </c>
      <c r="U299" s="345">
        <f t="shared" si="130"/>
        <v>20185</v>
      </c>
      <c r="V299" s="345">
        <f t="shared" si="131"/>
        <v>407434225</v>
      </c>
      <c r="X299" s="371">
        <f t="shared" si="125"/>
        <v>14.957206389731869</v>
      </c>
      <c r="Y299" s="372">
        <f t="shared" si="126"/>
        <v>-45.450281354838353</v>
      </c>
      <c r="AA299" s="371">
        <f t="shared" si="127"/>
        <v>31.146892693292202</v>
      </c>
      <c r="AB299" s="372">
        <f t="shared" si="128"/>
        <v>-118.31996486073214</v>
      </c>
      <c r="AD299">
        <f t="shared" si="132"/>
        <v>0</v>
      </c>
      <c r="AE299">
        <f t="shared" si="135"/>
        <v>0</v>
      </c>
    </row>
    <row r="300" spans="1:31" x14ac:dyDescent="0.2">
      <c r="A300" s="373">
        <v>20301</v>
      </c>
      <c r="B300" s="390">
        <f t="shared" si="129"/>
        <v>20.300999999999998</v>
      </c>
      <c r="C300" s="363">
        <f t="shared" si="110"/>
        <v>28.598478564354124</v>
      </c>
      <c r="D300" s="364">
        <f t="shared" si="111"/>
        <v>1.5358223021950177</v>
      </c>
      <c r="E300" s="364">
        <f t="shared" si="112"/>
        <v>1.0313999916313572</v>
      </c>
      <c r="F300" s="365">
        <f t="shared" si="113"/>
        <v>0.24738548296425372</v>
      </c>
      <c r="G300" s="364">
        <f t="shared" si="114"/>
        <v>1.0999033994951954</v>
      </c>
      <c r="H300" s="365">
        <f t="shared" si="115"/>
        <v>-0.42950797324116263</v>
      </c>
      <c r="I300" s="363">
        <f t="shared" si="116"/>
        <v>84211.687809228039</v>
      </c>
      <c r="J300" s="366">
        <f t="shared" si="117"/>
        <v>1.5707844519586829</v>
      </c>
      <c r="K300" s="374">
        <f t="shared" si="133"/>
        <v>25.443910254606596</v>
      </c>
      <c r="L300" s="375">
        <f t="shared" si="134"/>
        <v>1.5314840665300797</v>
      </c>
      <c r="M300" s="363">
        <f t="shared" si="118"/>
        <v>1.3751747219253057</v>
      </c>
      <c r="N300" s="366">
        <f t="shared" si="119"/>
        <v>0.75659100514134758</v>
      </c>
      <c r="O300" s="367">
        <f t="shared" si="120"/>
        <v>1.0364911944781776</v>
      </c>
      <c r="P300" s="368">
        <f t="shared" si="121"/>
        <v>0.3500785026292576</v>
      </c>
      <c r="Q300" s="369">
        <f t="shared" si="122"/>
        <v>-14.521545308326669</v>
      </c>
      <c r="R300" s="370">
        <f t="shared" si="123"/>
        <v>-164.09022456199224</v>
      </c>
      <c r="S300" s="372">
        <f t="shared" si="124"/>
        <v>15.909775438007756</v>
      </c>
      <c r="U300" s="345">
        <f t="shared" si="130"/>
        <v>20301</v>
      </c>
      <c r="V300" s="345">
        <f t="shared" si="131"/>
        <v>412130601</v>
      </c>
      <c r="X300" s="371">
        <f t="shared" si="125"/>
        <v>14.933746384923216</v>
      </c>
      <c r="Y300" s="372">
        <f t="shared" si="126"/>
        <v>-45.60121768256338</v>
      </c>
      <c r="AA300" s="371">
        <f t="shared" si="127"/>
        <v>31.10528277875499</v>
      </c>
      <c r="AB300" s="372">
        <f t="shared" si="128"/>
        <v>-118.48900687942884</v>
      </c>
      <c r="AD300">
        <f t="shared" si="132"/>
        <v>0</v>
      </c>
      <c r="AE300">
        <f t="shared" si="135"/>
        <v>0</v>
      </c>
    </row>
    <row r="301" spans="1:31" x14ac:dyDescent="0.2">
      <c r="A301" s="373">
        <v>20417</v>
      </c>
      <c r="B301" s="390">
        <f t="shared" si="129"/>
        <v>20.417000000000002</v>
      </c>
      <c r="C301" s="363">
        <f t="shared" si="110"/>
        <v>28.761691157932844</v>
      </c>
      <c r="D301" s="364">
        <f t="shared" si="111"/>
        <v>1.5360208478912323</v>
      </c>
      <c r="E301" s="364">
        <f t="shared" si="112"/>
        <v>1.0317543174769348</v>
      </c>
      <c r="F301" s="365">
        <f t="shared" si="113"/>
        <v>0.2487416080885716</v>
      </c>
      <c r="G301" s="364">
        <f t="shared" si="114"/>
        <v>1.100995817858883</v>
      </c>
      <c r="H301" s="365">
        <f t="shared" si="115"/>
        <v>-0.43166915092333052</v>
      </c>
      <c r="I301" s="363">
        <f t="shared" si="116"/>
        <v>84692.873750043611</v>
      </c>
      <c r="J301" s="366">
        <f t="shared" si="117"/>
        <v>1.5707845194260384</v>
      </c>
      <c r="K301" s="374">
        <f t="shared" si="133"/>
        <v>25.589072930000356</v>
      </c>
      <c r="L301" s="375">
        <f t="shared" si="134"/>
        <v>1.5317071926082717</v>
      </c>
      <c r="M301" s="363">
        <f t="shared" si="118"/>
        <v>1.3788829434232215</v>
      </c>
      <c r="N301" s="366">
        <f t="shared" si="119"/>
        <v>0.75943560005744559</v>
      </c>
      <c r="O301" s="367">
        <f t="shared" si="120"/>
        <v>1.0369058531274977</v>
      </c>
      <c r="P301" s="368">
        <f t="shared" si="121"/>
        <v>0.3520186289514497</v>
      </c>
      <c r="Q301" s="369">
        <f t="shared" si="122"/>
        <v>-14.586309735606573</v>
      </c>
      <c r="R301" s="370">
        <f t="shared" si="123"/>
        <v>-164.40909052275683</v>
      </c>
      <c r="S301" s="372">
        <f t="shared" si="124"/>
        <v>15.590909477243173</v>
      </c>
      <c r="U301" s="345">
        <f t="shared" si="130"/>
        <v>20417</v>
      </c>
      <c r="V301" s="345">
        <f t="shared" si="131"/>
        <v>416853889</v>
      </c>
      <c r="X301" s="371">
        <f t="shared" si="125"/>
        <v>14.910279997145487</v>
      </c>
      <c r="Y301" s="372">
        <f t="shared" si="126"/>
        <v>-45.751420648866819</v>
      </c>
      <c r="AA301" s="371">
        <f t="shared" si="127"/>
        <v>31.06398473925281</v>
      </c>
      <c r="AB301" s="372">
        <f t="shared" si="128"/>
        <v>-118.65766987389003</v>
      </c>
      <c r="AD301">
        <f t="shared" si="132"/>
        <v>0</v>
      </c>
      <c r="AE301">
        <f t="shared" si="135"/>
        <v>0</v>
      </c>
    </row>
    <row r="302" spans="1:31" x14ac:dyDescent="0.2">
      <c r="A302" s="373">
        <v>20536</v>
      </c>
      <c r="B302" s="390">
        <f t="shared" si="129"/>
        <v>20.536000000000001</v>
      </c>
      <c r="C302" s="363">
        <f t="shared" si="110"/>
        <v>28.929125931556769</v>
      </c>
      <c r="D302" s="364">
        <f t="shared" si="111"/>
        <v>1.5362222004101784</v>
      </c>
      <c r="E302" s="364">
        <f t="shared" si="112"/>
        <v>1.0321197772658959</v>
      </c>
      <c r="F302" s="365">
        <f t="shared" si="113"/>
        <v>0.25013183523487764</v>
      </c>
      <c r="G302" s="364">
        <f t="shared" si="114"/>
        <v>1.1021218212952513</v>
      </c>
      <c r="H302" s="365">
        <f t="shared" si="115"/>
        <v>-0.43388175855297517</v>
      </c>
      <c r="I302" s="363">
        <f t="shared" si="116"/>
        <v>85186.504154846189</v>
      </c>
      <c r="J302" s="366">
        <f t="shared" si="117"/>
        <v>1.5707845878462223</v>
      </c>
      <c r="K302" s="374">
        <f t="shared" si="133"/>
        <v>25.737991121195826</v>
      </c>
      <c r="L302" s="375">
        <f t="shared" si="134"/>
        <v>1.5319334738288417</v>
      </c>
      <c r="M302" s="363">
        <f t="shared" si="118"/>
        <v>1.3826985982546798</v>
      </c>
      <c r="N302" s="366">
        <f t="shared" si="119"/>
        <v>0.76233788322995677</v>
      </c>
      <c r="O302" s="367">
        <f t="shared" si="120"/>
        <v>1.0373336093572496</v>
      </c>
      <c r="P302" s="368">
        <f t="shared" si="121"/>
        <v>0.35400790958976075</v>
      </c>
      <c r="Q302" s="369">
        <f t="shared" si="122"/>
        <v>-14.652434434650308</v>
      </c>
      <c r="R302" s="370">
        <f t="shared" si="123"/>
        <v>-164.73505102635355</v>
      </c>
      <c r="S302" s="372">
        <f t="shared" si="124"/>
        <v>15.264948973646455</v>
      </c>
      <c r="U302" s="345">
        <f t="shared" si="130"/>
        <v>20536</v>
      </c>
      <c r="V302" s="345">
        <f t="shared" si="131"/>
        <v>421727296</v>
      </c>
      <c r="X302" s="371">
        <f t="shared" si="125"/>
        <v>14.886200890937483</v>
      </c>
      <c r="Y302" s="372">
        <f t="shared" si="126"/>
        <v>-45.904748187044795</v>
      </c>
      <c r="AA302" s="371">
        <f t="shared" si="127"/>
        <v>31.021939146417079</v>
      </c>
      <c r="AB302" s="372">
        <f t="shared" si="128"/>
        <v>-118.83030283930879</v>
      </c>
      <c r="AD302">
        <f t="shared" si="132"/>
        <v>0</v>
      </c>
      <c r="AE302">
        <f t="shared" si="135"/>
        <v>0</v>
      </c>
    </row>
    <row r="303" spans="1:31" x14ac:dyDescent="0.2">
      <c r="A303" s="373">
        <v>20655</v>
      </c>
      <c r="B303" s="390">
        <f t="shared" si="129"/>
        <v>20.655000000000001</v>
      </c>
      <c r="C303" s="363">
        <f t="shared" si="110"/>
        <v>29.096561864551063</v>
      </c>
      <c r="D303" s="364">
        <f t="shared" si="111"/>
        <v>1.5364212355741906</v>
      </c>
      <c r="E303" s="364">
        <f t="shared" si="112"/>
        <v>1.0324872304508643</v>
      </c>
      <c r="F303" s="365">
        <f t="shared" si="113"/>
        <v>0.25152107552523245</v>
      </c>
      <c r="G303" s="364">
        <f t="shared" si="114"/>
        <v>1.1032532092859693</v>
      </c>
      <c r="H303" s="365">
        <f t="shared" si="115"/>
        <v>-0.436089838908574</v>
      </c>
      <c r="I303" s="363">
        <f t="shared" si="116"/>
        <v>85680.134559649159</v>
      </c>
      <c r="J303" s="366">
        <f t="shared" si="117"/>
        <v>1.5707846554780254</v>
      </c>
      <c r="K303" s="374">
        <f t="shared" si="133"/>
        <v>25.886910615096077</v>
      </c>
      <c r="L303" s="375">
        <f t="shared" si="134"/>
        <v>1.5321571516071917</v>
      </c>
      <c r="M303" s="363">
        <f t="shared" si="118"/>
        <v>1.3865258357387831</v>
      </c>
      <c r="N303" s="366">
        <f t="shared" si="119"/>
        <v>0.76522416821552308</v>
      </c>
      <c r="O303" s="367">
        <f t="shared" si="120"/>
        <v>1.0377637682116323</v>
      </c>
      <c r="P303" s="368">
        <f t="shared" si="121"/>
        <v>0.35599615118982292</v>
      </c>
      <c r="Q303" s="369">
        <f t="shared" si="122"/>
        <v>-14.71824323446069</v>
      </c>
      <c r="R303" s="370">
        <f t="shared" si="123"/>
        <v>-165.05984886425938</v>
      </c>
      <c r="S303" s="372">
        <f t="shared" si="124"/>
        <v>14.940151135740621</v>
      </c>
      <c r="U303" s="345">
        <f t="shared" si="130"/>
        <v>20655</v>
      </c>
      <c r="V303" s="345">
        <f t="shared" si="131"/>
        <v>426629025</v>
      </c>
      <c r="X303" s="371">
        <f t="shared" si="125"/>
        <v>14.862116689803354</v>
      </c>
      <c r="Y303" s="372">
        <f t="shared" si="126"/>
        <v>-46.057308217710599</v>
      </c>
      <c r="AA303" s="371">
        <f t="shared" si="127"/>
        <v>30.980214547740825</v>
      </c>
      <c r="AB303" s="372">
        <f t="shared" si="128"/>
        <v>-119.00254064654878</v>
      </c>
      <c r="AD303">
        <f t="shared" si="132"/>
        <v>0</v>
      </c>
      <c r="AE303">
        <f t="shared" si="135"/>
        <v>0</v>
      </c>
    </row>
    <row r="304" spans="1:31" x14ac:dyDescent="0.2">
      <c r="A304" s="373">
        <v>20774</v>
      </c>
      <c r="B304" s="390">
        <f t="shared" si="129"/>
        <v>20.774000000000001</v>
      </c>
      <c r="C304" s="363">
        <f t="shared" si="110"/>
        <v>29.263998937015479</v>
      </c>
      <c r="D304" s="364">
        <f t="shared" si="111"/>
        <v>1.5366179931443382</v>
      </c>
      <c r="E304" s="364">
        <f t="shared" si="112"/>
        <v>1.0328566749043051</v>
      </c>
      <c r="F304" s="365">
        <f t="shared" si="113"/>
        <v>0.2529093246533361</v>
      </c>
      <c r="G304" s="364">
        <f t="shared" si="114"/>
        <v>1.1043899652824805</v>
      </c>
      <c r="H304" s="365">
        <f t="shared" si="115"/>
        <v>-0.43829338440560495</v>
      </c>
      <c r="I304" s="363">
        <f t="shared" si="116"/>
        <v>86173.764964452508</v>
      </c>
      <c r="J304" s="366">
        <f t="shared" si="117"/>
        <v>1.570784722334996</v>
      </c>
      <c r="K304" s="374">
        <f t="shared" si="133"/>
        <v>26.035831389347528</v>
      </c>
      <c r="L304" s="375">
        <f t="shared" si="134"/>
        <v>1.5323782705945594</v>
      </c>
      <c r="M304" s="363">
        <f t="shared" si="118"/>
        <v>1.3903645602253067</v>
      </c>
      <c r="N304" s="366">
        <f t="shared" si="119"/>
        <v>0.76809453923686488</v>
      </c>
      <c r="O304" s="367">
        <f t="shared" si="120"/>
        <v>1.0381963283473288</v>
      </c>
      <c r="P304" s="368">
        <f t="shared" si="121"/>
        <v>0.35798334909809182</v>
      </c>
      <c r="Q304" s="369">
        <f t="shared" si="122"/>
        <v>-14.783738901171148</v>
      </c>
      <c r="R304" s="370">
        <f t="shared" si="123"/>
        <v>-165.38348812821417</v>
      </c>
      <c r="S304" s="372">
        <f t="shared" si="124"/>
        <v>14.616511871785832</v>
      </c>
      <c r="U304" s="345">
        <f t="shared" si="130"/>
        <v>20774</v>
      </c>
      <c r="V304" s="345">
        <f t="shared" si="131"/>
        <v>431559076</v>
      </c>
      <c r="X304" s="371">
        <f t="shared" si="125"/>
        <v>14.838028196827187</v>
      </c>
      <c r="Y304" s="372">
        <f t="shared" si="126"/>
        <v>-46.209103008919463</v>
      </c>
      <c r="AA304" s="371">
        <f t="shared" si="127"/>
        <v>30.938807374006533</v>
      </c>
      <c r="AB304" s="372">
        <f t="shared" si="128"/>
        <v>-119.17438511929475</v>
      </c>
      <c r="AD304">
        <f t="shared" si="132"/>
        <v>0</v>
      </c>
      <c r="AE304">
        <f t="shared" si="135"/>
        <v>0</v>
      </c>
    </row>
    <row r="305" spans="1:31" x14ac:dyDescent="0.2">
      <c r="A305" s="373">
        <v>20893</v>
      </c>
      <c r="B305" s="390">
        <f t="shared" si="129"/>
        <v>20.893000000000001</v>
      </c>
      <c r="C305" s="363">
        <f t="shared" si="110"/>
        <v>29.431437129502502</v>
      </c>
      <c r="D305" s="364">
        <f t="shared" si="111"/>
        <v>1.5368125119775877</v>
      </c>
      <c r="E305" s="364">
        <f t="shared" si="112"/>
        <v>1.0332281084902044</v>
      </c>
      <c r="F305" s="365">
        <f t="shared" si="113"/>
        <v>0.25429657833431268</v>
      </c>
      <c r="G305" s="364">
        <f t="shared" si="114"/>
        <v>1.1055320727259357</v>
      </c>
      <c r="H305" s="365">
        <f t="shared" si="115"/>
        <v>-0.44049238766682214</v>
      </c>
      <c r="I305" s="363">
        <f t="shared" si="116"/>
        <v>86667.39536925625</v>
      </c>
      <c r="J305" s="366">
        <f t="shared" si="117"/>
        <v>1.5707847884303736</v>
      </c>
      <c r="K305" s="374">
        <f t="shared" si="133"/>
        <v>26.184753422104908</v>
      </c>
      <c r="L305" s="375">
        <f t="shared" si="134"/>
        <v>1.5325968744274068</v>
      </c>
      <c r="M305" s="363">
        <f t="shared" si="118"/>
        <v>1.3942146768319421</v>
      </c>
      <c r="N305" s="366">
        <f t="shared" si="119"/>
        <v>0.7709490806394691</v>
      </c>
      <c r="O305" s="367">
        <f t="shared" si="120"/>
        <v>1.0386312884160875</v>
      </c>
      <c r="P305" s="368">
        <f t="shared" si="121"/>
        <v>0.35996949868185957</v>
      </c>
      <c r="Q305" s="369">
        <f t="shared" si="122"/>
        <v>-14.848924156169872</v>
      </c>
      <c r="R305" s="370">
        <f t="shared" si="123"/>
        <v>-165.70597293515775</v>
      </c>
      <c r="S305" s="372">
        <f t="shared" si="124"/>
        <v>14.294027064842254</v>
      </c>
      <c r="U305" s="345">
        <f t="shared" si="130"/>
        <v>20893</v>
      </c>
      <c r="V305" s="345">
        <f t="shared" si="131"/>
        <v>436517449</v>
      </c>
      <c r="X305" s="371">
        <f t="shared" si="125"/>
        <v>14.813936202770027</v>
      </c>
      <c r="Y305" s="372">
        <f t="shared" si="126"/>
        <v>-46.36013489388526</v>
      </c>
      <c r="AA305" s="371">
        <f t="shared" si="127"/>
        <v>30.897714113064971</v>
      </c>
      <c r="AB305" s="372">
        <f t="shared" si="128"/>
        <v>-119.34583804127251</v>
      </c>
      <c r="AD305">
        <f t="shared" si="132"/>
        <v>0</v>
      </c>
      <c r="AE305">
        <f t="shared" si="135"/>
        <v>0</v>
      </c>
    </row>
    <row r="306" spans="1:31" x14ac:dyDescent="0.2">
      <c r="A306" s="373">
        <v>21014.75</v>
      </c>
      <c r="B306" s="390">
        <f t="shared" si="129"/>
        <v>21.014749999999999</v>
      </c>
      <c r="C306" s="363">
        <f t="shared" si="110"/>
        <v>29.602745831309448</v>
      </c>
      <c r="D306" s="364">
        <f t="shared" si="111"/>
        <v>1.5370092486586224</v>
      </c>
      <c r="E306" s="364">
        <f t="shared" si="112"/>
        <v>1.0336101820034831</v>
      </c>
      <c r="F306" s="365">
        <f t="shared" si="113"/>
        <v>0.25571485573350683</v>
      </c>
      <c r="G306" s="364">
        <f t="shared" si="114"/>
        <v>1.1067060945071803</v>
      </c>
      <c r="H306" s="365">
        <f t="shared" si="115"/>
        <v>-0.44273749985259064</v>
      </c>
      <c r="I306" s="363">
        <f t="shared" si="116"/>
        <v>87172.43319938147</v>
      </c>
      <c r="J306" s="366">
        <f t="shared" si="117"/>
        <v>1.5707848552784629</v>
      </c>
      <c r="K306" s="374">
        <f t="shared" si="133"/>
        <v>26.337118210611454</v>
      </c>
      <c r="L306" s="375">
        <f t="shared" si="134"/>
        <v>1.5328179714927688</v>
      </c>
      <c r="M306" s="363">
        <f t="shared" si="118"/>
        <v>1.3981654586279544</v>
      </c>
      <c r="N306" s="366">
        <f t="shared" si="119"/>
        <v>0.7738532938470315</v>
      </c>
      <c r="O306" s="367">
        <f t="shared" si="120"/>
        <v>1.0390787824366936</v>
      </c>
      <c r="P306" s="368">
        <f t="shared" si="121"/>
        <v>0.36200045692741395</v>
      </c>
      <c r="Q306" s="369">
        <f t="shared" si="122"/>
        <v>-14.915297330878747</v>
      </c>
      <c r="R306" s="370">
        <f t="shared" si="123"/>
        <v>-166.03471965749992</v>
      </c>
      <c r="S306" s="372">
        <f t="shared" si="124"/>
        <v>13.96528034250008</v>
      </c>
      <c r="U306" s="345">
        <f t="shared" si="130"/>
        <v>21014.75</v>
      </c>
      <c r="V306" s="345">
        <f t="shared" si="131"/>
        <v>441619717.5625</v>
      </c>
      <c r="X306" s="371">
        <f t="shared" si="125"/>
        <v>14.78928464944577</v>
      </c>
      <c r="Y306" s="372">
        <f t="shared" si="126"/>
        <v>-46.513869955065815</v>
      </c>
      <c r="AA306" s="371">
        <f t="shared" si="127"/>
        <v>30.855992491680354</v>
      </c>
      <c r="AB306" s="372">
        <f t="shared" si="128"/>
        <v>-119.52084970243409</v>
      </c>
      <c r="AD306">
        <f t="shared" si="132"/>
        <v>0</v>
      </c>
      <c r="AE306">
        <f t="shared" si="135"/>
        <v>0</v>
      </c>
    </row>
    <row r="307" spans="1:31" x14ac:dyDescent="0.2">
      <c r="A307" s="373">
        <v>21136.5</v>
      </c>
      <c r="B307" s="390">
        <f t="shared" si="129"/>
        <v>21.136500000000002</v>
      </c>
      <c r="C307" s="363">
        <f t="shared" si="110"/>
        <v>29.774055665715355</v>
      </c>
      <c r="D307" s="364">
        <f t="shared" si="111"/>
        <v>1.5372037214346224</v>
      </c>
      <c r="E307" s="364">
        <f t="shared" si="112"/>
        <v>1.0339943330958286</v>
      </c>
      <c r="F307" s="365">
        <f t="shared" si="113"/>
        <v>0.25713208214070421</v>
      </c>
      <c r="G307" s="364">
        <f t="shared" si="114"/>
        <v>1.1078856828331245</v>
      </c>
      <c r="H307" s="365">
        <f t="shared" si="115"/>
        <v>-0.44497784247804784</v>
      </c>
      <c r="I307" s="363">
        <f t="shared" si="116"/>
        <v>87677.471029507084</v>
      </c>
      <c r="J307" s="366">
        <f t="shared" si="117"/>
        <v>1.5707849213564382</v>
      </c>
      <c r="K307" s="374">
        <f t="shared" si="133"/>
        <v>26.489484271768653</v>
      </c>
      <c r="L307" s="375">
        <f t="shared" si="134"/>
        <v>1.5330365250923172</v>
      </c>
      <c r="M307" s="363">
        <f t="shared" si="118"/>
        <v>1.4021279666718423</v>
      </c>
      <c r="N307" s="366">
        <f t="shared" si="119"/>
        <v>0.77674111629320675</v>
      </c>
      <c r="O307" s="367">
        <f t="shared" si="120"/>
        <v>1.0395287857224735</v>
      </c>
      <c r="P307" s="368">
        <f t="shared" si="121"/>
        <v>0.36403030809296666</v>
      </c>
      <c r="Q307" s="369">
        <f t="shared" si="122"/>
        <v>-14.981351205964152</v>
      </c>
      <c r="R307" s="370">
        <f t="shared" si="123"/>
        <v>-166.36226674263668</v>
      </c>
      <c r="S307" s="372">
        <f t="shared" si="124"/>
        <v>13.637733257363323</v>
      </c>
      <c r="U307" s="345">
        <f t="shared" si="130"/>
        <v>21136.5</v>
      </c>
      <c r="V307" s="345">
        <f t="shared" si="131"/>
        <v>446751632.25</v>
      </c>
      <c r="X307" s="371">
        <f t="shared" si="125"/>
        <v>14.764631066903103</v>
      </c>
      <c r="Y307" s="372">
        <f t="shared" si="126"/>
        <v>-46.666811580527146</v>
      </c>
      <c r="AA307" s="371">
        <f t="shared" si="127"/>
        <v>30.814592199137614</v>
      </c>
      <c r="AB307" s="372">
        <f t="shared" si="128"/>
        <v>-119.69545516210951</v>
      </c>
      <c r="AD307">
        <f t="shared" si="132"/>
        <v>0</v>
      </c>
      <c r="AE307">
        <f t="shared" si="135"/>
        <v>0</v>
      </c>
    </row>
    <row r="308" spans="1:31" x14ac:dyDescent="0.2">
      <c r="A308" s="373">
        <v>21258.25</v>
      </c>
      <c r="B308" s="390">
        <f t="shared" si="129"/>
        <v>21.25825</v>
      </c>
      <c r="C308" s="363">
        <f t="shared" si="110"/>
        <v>29.945366613282285</v>
      </c>
      <c r="D308" s="364">
        <f t="shared" si="111"/>
        <v>1.5373959691446788</v>
      </c>
      <c r="E308" s="364">
        <f t="shared" si="112"/>
        <v>1.0343805594525102</v>
      </c>
      <c r="F308" s="365">
        <f t="shared" si="113"/>
        <v>0.25854825303696377</v>
      </c>
      <c r="G308" s="364">
        <f t="shared" si="114"/>
        <v>1.1090708199423294</v>
      </c>
      <c r="H308" s="365">
        <f t="shared" si="115"/>
        <v>-0.44721340830843509</v>
      </c>
      <c r="I308" s="363">
        <f t="shared" si="116"/>
        <v>88182.508859633046</v>
      </c>
      <c r="J308" s="366">
        <f t="shared" si="117"/>
        <v>1.5707849866775314</v>
      </c>
      <c r="K308" s="374">
        <f t="shared" si="133"/>
        <v>26.641851583741449</v>
      </c>
      <c r="L308" s="375">
        <f t="shared" si="134"/>
        <v>1.533252578843969</v>
      </c>
      <c r="M308" s="363">
        <f t="shared" si="118"/>
        <v>1.4061021018270996</v>
      </c>
      <c r="N308" s="366">
        <f t="shared" si="119"/>
        <v>0.77961263858626906</v>
      </c>
      <c r="O308" s="367">
        <f t="shared" si="120"/>
        <v>1.0399812968137672</v>
      </c>
      <c r="P308" s="368">
        <f t="shared" si="121"/>
        <v>0.36605904728516775</v>
      </c>
      <c r="Q308" s="369">
        <f t="shared" si="122"/>
        <v>-15.047088557918686</v>
      </c>
      <c r="R308" s="370">
        <f t="shared" si="123"/>
        <v>-166.68861867301823</v>
      </c>
      <c r="S308" s="372">
        <f t="shared" si="124"/>
        <v>13.311381326981774</v>
      </c>
      <c r="U308" s="345">
        <f t="shared" si="130"/>
        <v>21258.25</v>
      </c>
      <c r="V308" s="345">
        <f t="shared" si="131"/>
        <v>451913193.0625</v>
      </c>
      <c r="X308" s="371">
        <f t="shared" si="125"/>
        <v>14.739976262646678</v>
      </c>
      <c r="Y308" s="372">
        <f t="shared" si="126"/>
        <v>-46.818962463376536</v>
      </c>
      <c r="AA308" s="371">
        <f t="shared" si="127"/>
        <v>30.7735096514395</v>
      </c>
      <c r="AB308" s="372">
        <f t="shared" si="128"/>
        <v>-119.86965620964166</v>
      </c>
      <c r="AD308">
        <f t="shared" si="132"/>
        <v>0</v>
      </c>
      <c r="AE308">
        <f t="shared" si="135"/>
        <v>0</v>
      </c>
    </row>
    <row r="309" spans="1:31" x14ac:dyDescent="0.2">
      <c r="A309" s="373">
        <v>21380</v>
      </c>
      <c r="B309" s="390">
        <f t="shared" si="129"/>
        <v>21.38</v>
      </c>
      <c r="C309" s="363">
        <f t="shared" si="110"/>
        <v>30.116678655014454</v>
      </c>
      <c r="D309" s="364">
        <f t="shared" si="111"/>
        <v>1.53758602974484</v>
      </c>
      <c r="E309" s="364">
        <f t="shared" si="112"/>
        <v>1.0347688587497572</v>
      </c>
      <c r="F309" s="365">
        <f t="shared" si="113"/>
        <v>0.25996336392700775</v>
      </c>
      <c r="G309" s="364">
        <f t="shared" si="114"/>
        <v>1.1102614880658221</v>
      </c>
      <c r="H309" s="365">
        <f t="shared" si="115"/>
        <v>-0.44944419033079619</v>
      </c>
      <c r="I309" s="363">
        <f t="shared" si="116"/>
        <v>88687.546689759416</v>
      </c>
      <c r="J309" s="366">
        <f t="shared" si="117"/>
        <v>1.570785051254673</v>
      </c>
      <c r="K309" s="374">
        <f t="shared" si="133"/>
        <v>26.79422012519127</v>
      </c>
      <c r="L309" s="375">
        <f t="shared" si="134"/>
        <v>1.5334661753744332</v>
      </c>
      <c r="M309" s="363">
        <f t="shared" si="118"/>
        <v>1.4100877657855682</v>
      </c>
      <c r="N309" s="366">
        <f t="shared" si="119"/>
        <v>0.78246795138978742</v>
      </c>
      <c r="O309" s="367">
        <f t="shared" si="120"/>
        <v>1.0404363142456927</v>
      </c>
      <c r="P309" s="368">
        <f t="shared" si="121"/>
        <v>0.36808666963369291</v>
      </c>
      <c r="Q309" s="369">
        <f t="shared" si="122"/>
        <v>-15.112512119115102</v>
      </c>
      <c r="R309" s="370">
        <f t="shared" si="123"/>
        <v>-167.01377995311475</v>
      </c>
      <c r="S309" s="372">
        <f t="shared" si="124"/>
        <v>12.986220046885251</v>
      </c>
      <c r="U309" s="345">
        <f t="shared" si="130"/>
        <v>21380</v>
      </c>
      <c r="V309" s="345">
        <f t="shared" si="131"/>
        <v>457104400</v>
      </c>
      <c r="X309" s="371">
        <f t="shared" si="125"/>
        <v>14.715321031153469</v>
      </c>
      <c r="Y309" s="372">
        <f t="shared" si="126"/>
        <v>-46.970325356664191</v>
      </c>
      <c r="AA309" s="371">
        <f t="shared" si="127"/>
        <v>30.732741321736299</v>
      </c>
      <c r="AB309" s="372">
        <f t="shared" si="128"/>
        <v>-120.04345459645057</v>
      </c>
      <c r="AD309">
        <f t="shared" si="132"/>
        <v>0</v>
      </c>
      <c r="AE309">
        <f t="shared" si="135"/>
        <v>0</v>
      </c>
    </row>
    <row r="310" spans="1:31" x14ac:dyDescent="0.2">
      <c r="A310" s="373">
        <v>21504.5</v>
      </c>
      <c r="B310" s="390">
        <f t="shared" si="129"/>
        <v>21.5045</v>
      </c>
      <c r="C310" s="363">
        <f t="shared" si="110"/>
        <v>30.291861280088767</v>
      </c>
      <c r="D310" s="364">
        <f t="shared" si="111"/>
        <v>1.5377781601740717</v>
      </c>
      <c r="E310" s="364">
        <f t="shared" si="112"/>
        <v>1.0351680699395447</v>
      </c>
      <c r="F310" s="365">
        <f t="shared" si="113"/>
        <v>0.26140933745791084</v>
      </c>
      <c r="G310" s="364">
        <f t="shared" si="114"/>
        <v>1.1114847514306645</v>
      </c>
      <c r="H310" s="365">
        <f t="shared" si="115"/>
        <v>-0.45172040544269165</v>
      </c>
      <c r="I310" s="363">
        <f t="shared" si="116"/>
        <v>89203.991945207265</v>
      </c>
      <c r="J310" s="366">
        <f t="shared" si="117"/>
        <v>1.5707851165342546</v>
      </c>
      <c r="K310" s="374">
        <f t="shared" si="133"/>
        <v>26.950031505591809</v>
      </c>
      <c r="L310" s="375">
        <f t="shared" si="134"/>
        <v>1.5336820987708741</v>
      </c>
      <c r="M310" s="363">
        <f t="shared" si="118"/>
        <v>1.4141752757931012</v>
      </c>
      <c r="N310" s="366">
        <f t="shared" si="119"/>
        <v>0.78537108959765656</v>
      </c>
      <c r="O310" s="367">
        <f t="shared" si="120"/>
        <v>1.0409041996441006</v>
      </c>
      <c r="P310" s="368">
        <f t="shared" si="121"/>
        <v>0.37015893041505255</v>
      </c>
      <c r="Q310" s="369">
        <f t="shared" si="122"/>
        <v>-15.179091719461331</v>
      </c>
      <c r="R310" s="370">
        <f t="shared" si="123"/>
        <v>-167.34505915917822</v>
      </c>
      <c r="S310" s="372">
        <f t="shared" si="124"/>
        <v>12.65494084082178</v>
      </c>
      <c r="U310" s="345">
        <f t="shared" si="130"/>
        <v>21504.5</v>
      </c>
      <c r="V310" s="345">
        <f t="shared" si="131"/>
        <v>462443520.25</v>
      </c>
      <c r="X310" s="371">
        <f t="shared" si="125"/>
        <v>14.690109277756331</v>
      </c>
      <c r="Y310" s="372">
        <f t="shared" si="126"/>
        <v>-47.124295164424524</v>
      </c>
      <c r="AA310" s="371">
        <f t="shared" si="127"/>
        <v>30.691373474787209</v>
      </c>
      <c r="AB310" s="372">
        <f t="shared" si="128"/>
        <v>-120.2207639947537</v>
      </c>
      <c r="AD310">
        <f t="shared" si="132"/>
        <v>0</v>
      </c>
      <c r="AE310">
        <f t="shared" si="135"/>
        <v>0</v>
      </c>
    </row>
    <row r="311" spans="1:31" x14ac:dyDescent="0.2">
      <c r="A311" s="373">
        <v>21629</v>
      </c>
      <c r="B311" s="390">
        <f t="shared" si="129"/>
        <v>21.629000000000001</v>
      </c>
      <c r="C311" s="363">
        <f t="shared" si="110"/>
        <v>30.467045010500858</v>
      </c>
      <c r="D311" s="364">
        <f t="shared" si="111"/>
        <v>1.5379680811327407</v>
      </c>
      <c r="E311" s="364">
        <f t="shared" si="112"/>
        <v>1.0355694438282077</v>
      </c>
      <c r="F311" s="365">
        <f t="shared" si="113"/>
        <v>0.2628541931249706</v>
      </c>
      <c r="G311" s="364">
        <f t="shared" si="114"/>
        <v>1.1127137608913293</v>
      </c>
      <c r="H311" s="365">
        <f t="shared" si="115"/>
        <v>-0.45399160407122141</v>
      </c>
      <c r="I311" s="363">
        <f t="shared" si="116"/>
        <v>89720.437200655506</v>
      </c>
      <c r="J311" s="366">
        <f t="shared" si="117"/>
        <v>1.5707851810623163</v>
      </c>
      <c r="K311" s="374">
        <f t="shared" si="133"/>
        <v>27.105844128036047</v>
      </c>
      <c r="L311" s="375">
        <f t="shared" si="134"/>
        <v>1.5338955397906799</v>
      </c>
      <c r="M311" s="363">
        <f t="shared" si="118"/>
        <v>1.4182746360088399</v>
      </c>
      <c r="N311" s="366">
        <f t="shared" si="119"/>
        <v>0.78825746963941279</v>
      </c>
      <c r="O311" s="367">
        <f t="shared" si="120"/>
        <v>1.0413747027698981</v>
      </c>
      <c r="P311" s="368">
        <f t="shared" si="121"/>
        <v>0.37223001310325315</v>
      </c>
      <c r="Q311" s="369">
        <f t="shared" si="122"/>
        <v>-15.245348836212518</v>
      </c>
      <c r="R311" s="370">
        <f t="shared" si="123"/>
        <v>-167.67510291214643</v>
      </c>
      <c r="S311" s="372">
        <f t="shared" si="124"/>
        <v>12.324897087853572</v>
      </c>
      <c r="U311" s="345">
        <f t="shared" si="130"/>
        <v>21629</v>
      </c>
      <c r="V311" s="345">
        <f t="shared" si="131"/>
        <v>467813641</v>
      </c>
      <c r="X311" s="371">
        <f t="shared" si="125"/>
        <v>14.66489871675391</v>
      </c>
      <c r="Y311" s="372">
        <f t="shared" si="126"/>
        <v>-47.277446986638708</v>
      </c>
      <c r="AA311" s="371">
        <f t="shared" si="127"/>
        <v>30.650326919038445</v>
      </c>
      <c r="AB311" s="372">
        <f t="shared" si="128"/>
        <v>-120.39765592550772</v>
      </c>
      <c r="AD311">
        <f t="shared" si="132"/>
        <v>0</v>
      </c>
      <c r="AE311">
        <f t="shared" si="135"/>
        <v>0</v>
      </c>
    </row>
    <row r="312" spans="1:31" x14ac:dyDescent="0.2">
      <c r="A312" s="373">
        <v>21753.5</v>
      </c>
      <c r="B312" s="390">
        <f t="shared" si="129"/>
        <v>21.753499999999999</v>
      </c>
      <c r="C312" s="363">
        <f t="shared" si="110"/>
        <v>30.642229827292851</v>
      </c>
      <c r="D312" s="364">
        <f t="shared" si="111"/>
        <v>1.5381558305023468</v>
      </c>
      <c r="E312" s="364">
        <f t="shared" si="112"/>
        <v>1.0359729779020199</v>
      </c>
      <c r="F312" s="365">
        <f t="shared" si="113"/>
        <v>0.26429792619842579</v>
      </c>
      <c r="G312" s="364">
        <f t="shared" si="114"/>
        <v>1.1139484974289671</v>
      </c>
      <c r="H312" s="365">
        <f t="shared" si="115"/>
        <v>-0.45625777942790791</v>
      </c>
      <c r="I312" s="363">
        <f t="shared" si="116"/>
        <v>90236.882456104126</v>
      </c>
      <c r="J312" s="366">
        <f t="shared" si="117"/>
        <v>1.5707852448517621</v>
      </c>
      <c r="K312" s="374">
        <f t="shared" si="133"/>
        <v>27.261657971227468</v>
      </c>
      <c r="L312" s="375">
        <f t="shared" si="134"/>
        <v>1.5341065409782613</v>
      </c>
      <c r="M312" s="363">
        <f t="shared" si="118"/>
        <v>1.422385743974776</v>
      </c>
      <c r="N312" s="366">
        <f t="shared" si="119"/>
        <v>0.79112718852097585</v>
      </c>
      <c r="O312" s="367">
        <f t="shared" si="120"/>
        <v>1.0418478220400478</v>
      </c>
      <c r="P312" s="368">
        <f t="shared" si="121"/>
        <v>0.37429991256543849</v>
      </c>
      <c r="Q312" s="369">
        <f t="shared" si="122"/>
        <v>-15.311286255292707</v>
      </c>
      <c r="R312" s="370">
        <f t="shared" si="123"/>
        <v>-168.00391609157663</v>
      </c>
      <c r="S312" s="372">
        <f t="shared" si="124"/>
        <v>11.996083908423373</v>
      </c>
      <c r="U312" s="345">
        <f t="shared" si="130"/>
        <v>21753.5</v>
      </c>
      <c r="V312" s="345">
        <f t="shared" si="131"/>
        <v>473214762.25</v>
      </c>
      <c r="X312" s="371">
        <f t="shared" si="125"/>
        <v>14.639690156235494</v>
      </c>
      <c r="Y312" s="372">
        <f t="shared" si="126"/>
        <v>-47.429783944460709</v>
      </c>
      <c r="AA312" s="371">
        <f t="shared" si="127"/>
        <v>30.609598060476667</v>
      </c>
      <c r="AB312" s="372">
        <f t="shared" si="128"/>
        <v>-120.57413214711592</v>
      </c>
      <c r="AD312">
        <f t="shared" si="132"/>
        <v>0</v>
      </c>
      <c r="AE312">
        <f t="shared" si="135"/>
        <v>0</v>
      </c>
    </row>
    <row r="313" spans="1:31" x14ac:dyDescent="0.2">
      <c r="A313" s="373">
        <v>21878</v>
      </c>
      <c r="B313" s="390">
        <f t="shared" si="129"/>
        <v>21.878</v>
      </c>
      <c r="C313" s="363">
        <f t="shared" si="110"/>
        <v>30.817415711937823</v>
      </c>
      <c r="D313" s="364">
        <f t="shared" si="111"/>
        <v>1.5383414453036393</v>
      </c>
      <c r="E313" s="364">
        <f t="shared" si="112"/>
        <v>1.0363786696376518</v>
      </c>
      <c r="F313" s="365">
        <f t="shared" si="113"/>
        <v>0.26574053197458136</v>
      </c>
      <c r="G313" s="364">
        <f t="shared" si="114"/>
        <v>1.1151889420205294</v>
      </c>
      <c r="H313" s="365">
        <f t="shared" si="115"/>
        <v>-0.45851892496064511</v>
      </c>
      <c r="I313" s="363">
        <f t="shared" si="116"/>
        <v>90753.327711553095</v>
      </c>
      <c r="J313" s="366">
        <f t="shared" si="117"/>
        <v>1.5707853079152012</v>
      </c>
      <c r="K313" s="374">
        <f t="shared" si="133"/>
        <v>27.417473014353511</v>
      </c>
      <c r="L313" s="375">
        <f t="shared" si="134"/>
        <v>1.5343151439117793</v>
      </c>
      <c r="M313" s="363">
        <f t="shared" si="118"/>
        <v>1.4265084981220766</v>
      </c>
      <c r="N313" s="366">
        <f t="shared" si="119"/>
        <v>0.79398034322930844</v>
      </c>
      <c r="O313" s="367">
        <f t="shared" si="120"/>
        <v>1.0423235558660091</v>
      </c>
      <c r="P313" s="368">
        <f t="shared" si="121"/>
        <v>0.37636862369412921</v>
      </c>
      <c r="Q313" s="369">
        <f t="shared" si="122"/>
        <v>-15.3769067191923</v>
      </c>
      <c r="R313" s="370">
        <f t="shared" si="123"/>
        <v>-168.3315035954713</v>
      </c>
      <c r="S313" s="372">
        <f t="shared" si="124"/>
        <v>11.668496404528696</v>
      </c>
      <c r="U313" s="345">
        <f t="shared" si="130"/>
        <v>21878</v>
      </c>
      <c r="V313" s="345">
        <f t="shared" si="131"/>
        <v>478646884</v>
      </c>
      <c r="X313" s="371">
        <f t="shared" si="125"/>
        <v>14.614484390600168</v>
      </c>
      <c r="Y313" s="372">
        <f t="shared" si="126"/>
        <v>-47.581309213303463</v>
      </c>
      <c r="AA313" s="371">
        <f t="shared" si="127"/>
        <v>30.569183362212403</v>
      </c>
      <c r="AB313" s="372">
        <f t="shared" si="128"/>
        <v>-120.75019438216782</v>
      </c>
      <c r="AD313">
        <f t="shared" si="132"/>
        <v>0</v>
      </c>
      <c r="AE313">
        <f t="shared" si="135"/>
        <v>0</v>
      </c>
    </row>
    <row r="314" spans="1:31" x14ac:dyDescent="0.2">
      <c r="A314" s="373">
        <v>22005.25</v>
      </c>
      <c r="B314" s="390">
        <f t="shared" si="129"/>
        <v>22.00525</v>
      </c>
      <c r="C314" s="363">
        <f t="shared" si="110"/>
        <v>30.996472248962121</v>
      </c>
      <c r="D314" s="364">
        <f t="shared" si="111"/>
        <v>1.5385289918801912</v>
      </c>
      <c r="E314" s="364">
        <f t="shared" si="112"/>
        <v>1.0367955494759633</v>
      </c>
      <c r="F314" s="365">
        <f t="shared" si="113"/>
        <v>0.2672138327452992</v>
      </c>
      <c r="G314" s="364">
        <f t="shared" si="114"/>
        <v>1.1164626647532245</v>
      </c>
      <c r="H314" s="365">
        <f t="shared" si="115"/>
        <v>-0.46082481119837515</v>
      </c>
      <c r="I314" s="363">
        <f t="shared" si="116"/>
        <v>91281.180392323586</v>
      </c>
      <c r="J314" s="366">
        <f t="shared" si="117"/>
        <v>1.5707853716341973</v>
      </c>
      <c r="K314" s="374">
        <f t="shared" si="133"/>
        <v>27.576730974030131</v>
      </c>
      <c r="L314" s="375">
        <f t="shared" si="134"/>
        <v>1.5345259185407785</v>
      </c>
      <c r="M314" s="363">
        <f t="shared" si="118"/>
        <v>1.4307342472042957</v>
      </c>
      <c r="N314" s="366">
        <f t="shared" si="119"/>
        <v>0.79687950332268664</v>
      </c>
      <c r="O314" s="367">
        <f t="shared" si="120"/>
        <v>1.0428124980299718</v>
      </c>
      <c r="P314" s="368">
        <f t="shared" si="121"/>
        <v>0.37848179595926351</v>
      </c>
      <c r="Q314" s="369">
        <f t="shared" si="122"/>
        <v>-15.443651907665437</v>
      </c>
      <c r="R314" s="370">
        <f t="shared" si="123"/>
        <v>-168.6650655003138</v>
      </c>
      <c r="S314" s="372">
        <f t="shared" si="124"/>
        <v>11.334934499686199</v>
      </c>
      <c r="U314" s="345">
        <f t="shared" si="130"/>
        <v>22005.25</v>
      </c>
      <c r="V314" s="345">
        <f t="shared" si="131"/>
        <v>484231027.5625</v>
      </c>
      <c r="X314" s="371">
        <f t="shared" si="125"/>
        <v>14.588725572049823</v>
      </c>
      <c r="Y314" s="372">
        <f t="shared" si="126"/>
        <v>-47.73534600512226</v>
      </c>
      <c r="AA314" s="371">
        <f t="shared" si="127"/>
        <v>30.528196992289619</v>
      </c>
      <c r="AB314" s="372">
        <f t="shared" si="128"/>
        <v>-120.92971949519156</v>
      </c>
      <c r="AD314">
        <f t="shared" si="132"/>
        <v>0</v>
      </c>
      <c r="AE314">
        <f t="shared" si="135"/>
        <v>0</v>
      </c>
    </row>
    <row r="315" spans="1:31" x14ac:dyDescent="0.2">
      <c r="A315" s="373">
        <v>22132.5</v>
      </c>
      <c r="B315" s="390">
        <f t="shared" si="129"/>
        <v>22.1325</v>
      </c>
      <c r="C315" s="363">
        <f t="shared" si="110"/>
        <v>31.17552986372376</v>
      </c>
      <c r="D315" s="364">
        <f t="shared" si="111"/>
        <v>1.5387143841041389</v>
      </c>
      <c r="E315" s="364">
        <f t="shared" si="112"/>
        <v>1.0372146779865252</v>
      </c>
      <c r="F315" s="365">
        <f t="shared" si="113"/>
        <v>0.26868594601581958</v>
      </c>
      <c r="G315" s="364">
        <f t="shared" si="114"/>
        <v>1.1177423102942841</v>
      </c>
      <c r="H315" s="365">
        <f t="shared" si="115"/>
        <v>-0.46312542986494171</v>
      </c>
      <c r="I315" s="363">
        <f t="shared" si="116"/>
        <v>91809.033073094455</v>
      </c>
      <c r="J315" s="366">
        <f t="shared" si="117"/>
        <v>1.5707854346204935</v>
      </c>
      <c r="K315" s="374">
        <f t="shared" si="133"/>
        <v>27.735990144759914</v>
      </c>
      <c r="L315" s="375">
        <f t="shared" si="134"/>
        <v>1.534734272656552</v>
      </c>
      <c r="M315" s="363">
        <f t="shared" si="118"/>
        <v>1.4349719509078664</v>
      </c>
      <c r="N315" s="366">
        <f t="shared" si="119"/>
        <v>0.79976156414615096</v>
      </c>
      <c r="O315" s="367">
        <f t="shared" si="120"/>
        <v>1.0433041681548394</v>
      </c>
      <c r="P315" s="368">
        <f t="shared" si="121"/>
        <v>0.3805937161067014</v>
      </c>
      <c r="Q315" s="369">
        <f t="shared" si="122"/>
        <v>-15.510071643482659</v>
      </c>
      <c r="R315" s="370">
        <f t="shared" si="123"/>
        <v>-168.9973573851498</v>
      </c>
      <c r="S315" s="372">
        <f t="shared" si="124"/>
        <v>11.002642614850203</v>
      </c>
      <c r="U315" s="345">
        <f t="shared" si="130"/>
        <v>22132.5</v>
      </c>
      <c r="V315" s="345">
        <f t="shared" si="131"/>
        <v>489847556.25</v>
      </c>
      <c r="X315" s="371">
        <f t="shared" si="125"/>
        <v>14.562971308170237</v>
      </c>
      <c r="Y315" s="372">
        <f t="shared" si="126"/>
        <v>-47.888541724152759</v>
      </c>
      <c r="AA315" s="371">
        <f t="shared" si="127"/>
        <v>30.487531520351972</v>
      </c>
      <c r="AB315" s="372">
        <f t="shared" si="128"/>
        <v>-121.10881566099702</v>
      </c>
      <c r="AD315">
        <f t="shared" si="132"/>
        <v>0</v>
      </c>
      <c r="AE315">
        <f t="shared" si="135"/>
        <v>0</v>
      </c>
    </row>
    <row r="316" spans="1:31" x14ac:dyDescent="0.2">
      <c r="A316" s="373">
        <v>22259.75</v>
      </c>
      <c r="B316" s="390">
        <f t="shared" si="129"/>
        <v>22.25975</v>
      </c>
      <c r="C316" s="363">
        <f t="shared" si="110"/>
        <v>31.354588537758737</v>
      </c>
      <c r="D316" s="364">
        <f t="shared" si="111"/>
        <v>1.5388976588716292</v>
      </c>
      <c r="E316" s="364">
        <f t="shared" si="112"/>
        <v>1.0376360524444437</v>
      </c>
      <c r="F316" s="365">
        <f t="shared" si="113"/>
        <v>0.27015686684852558</v>
      </c>
      <c r="G316" s="364">
        <f t="shared" si="114"/>
        <v>1.1190278583249238</v>
      </c>
      <c r="H316" s="365">
        <f t="shared" si="115"/>
        <v>-0.46542077471946974</v>
      </c>
      <c r="I316" s="363">
        <f t="shared" si="116"/>
        <v>92336.885753865688</v>
      </c>
      <c r="J316" s="366">
        <f t="shared" si="117"/>
        <v>1.570785496886655</v>
      </c>
      <c r="K316" s="374">
        <f t="shared" si="133"/>
        <v>27.895250505800472</v>
      </c>
      <c r="L316" s="375">
        <f t="shared" si="134"/>
        <v>1.5349402476986433</v>
      </c>
      <c r="M316" s="363">
        <f t="shared" si="118"/>
        <v>1.439221503633739</v>
      </c>
      <c r="N316" s="366">
        <f t="shared" si="119"/>
        <v>0.80262662907543192</v>
      </c>
      <c r="O316" s="367">
        <f t="shared" si="120"/>
        <v>1.0437985645269841</v>
      </c>
      <c r="P316" s="368">
        <f t="shared" si="121"/>
        <v>0.38270437876547392</v>
      </c>
      <c r="Q316" s="369">
        <f t="shared" si="122"/>
        <v>-15.576168721397154</v>
      </c>
      <c r="R316" s="370">
        <f t="shared" si="123"/>
        <v>-169.32838453096977</v>
      </c>
      <c r="S316" s="372">
        <f t="shared" si="124"/>
        <v>10.671615469030229</v>
      </c>
      <c r="U316" s="345">
        <f t="shared" si="130"/>
        <v>22259.75</v>
      </c>
      <c r="V316" s="345">
        <f t="shared" si="131"/>
        <v>495496470.0625</v>
      </c>
      <c r="X316" s="371">
        <f t="shared" si="125"/>
        <v>14.537222403774692</v>
      </c>
      <c r="Y316" s="372">
        <f t="shared" si="126"/>
        <v>-48.040899919796999</v>
      </c>
      <c r="AA316" s="371">
        <f t="shared" si="127"/>
        <v>30.447183346833025</v>
      </c>
      <c r="AB316" s="372">
        <f t="shared" si="128"/>
        <v>-121.28748461117279</v>
      </c>
      <c r="AD316">
        <f t="shared" si="132"/>
        <v>0</v>
      </c>
      <c r="AE316">
        <f t="shared" si="135"/>
        <v>0</v>
      </c>
    </row>
    <row r="317" spans="1:31" x14ac:dyDescent="0.2">
      <c r="A317" s="373">
        <v>22387</v>
      </c>
      <c r="B317" s="390">
        <f t="shared" si="129"/>
        <v>22.387</v>
      </c>
      <c r="C317" s="363">
        <f t="shared" si="110"/>
        <v>31.533648253022321</v>
      </c>
      <c r="D317" s="364">
        <f t="shared" si="111"/>
        <v>1.5390788522413466</v>
      </c>
      <c r="E317" s="364">
        <f t="shared" si="112"/>
        <v>1.0380596701146594</v>
      </c>
      <c r="F317" s="365">
        <f t="shared" si="113"/>
        <v>0.27162659033443565</v>
      </c>
      <c r="G317" s="364">
        <f t="shared" si="114"/>
        <v>1.1203192885261133</v>
      </c>
      <c r="H317" s="365">
        <f t="shared" si="115"/>
        <v>-0.46771083977194716</v>
      </c>
      <c r="I317" s="363">
        <f t="shared" si="116"/>
        <v>92864.738434637271</v>
      </c>
      <c r="J317" s="366">
        <f t="shared" si="117"/>
        <v>1.5707855584449624</v>
      </c>
      <c r="K317" s="374">
        <f t="shared" si="133"/>
        <v>28.054512036880276</v>
      </c>
      <c r="L317" s="375">
        <f t="shared" si="134"/>
        <v>1.5351438841664276</v>
      </c>
      <c r="M317" s="363">
        <f t="shared" si="118"/>
        <v>1.4434828007328451</v>
      </c>
      <c r="N317" s="366">
        <f t="shared" si="119"/>
        <v>0.80547480138675387</v>
      </c>
      <c r="O317" s="367">
        <f t="shared" si="120"/>
        <v>1.0442956854270038</v>
      </c>
      <c r="P317" s="368">
        <f t="shared" si="121"/>
        <v>0.38481377859250598</v>
      </c>
      <c r="Q317" s="369">
        <f t="shared" si="122"/>
        <v>-15.641945893459804</v>
      </c>
      <c r="R317" s="370">
        <f t="shared" si="123"/>
        <v>-169.65815223326214</v>
      </c>
      <c r="S317" s="372">
        <f t="shared" si="124"/>
        <v>10.341847766737857</v>
      </c>
      <c r="U317" s="345">
        <f t="shared" si="130"/>
        <v>22387</v>
      </c>
      <c r="V317" s="345">
        <f t="shared" si="131"/>
        <v>501177769</v>
      </c>
      <c r="X317" s="371">
        <f t="shared" si="125"/>
        <v>14.51147964937282</v>
      </c>
      <c r="Y317" s="372">
        <f t="shared" si="126"/>
        <v>-48.192424189607124</v>
      </c>
      <c r="AA317" s="371">
        <f t="shared" si="127"/>
        <v>30.407148929172244</v>
      </c>
      <c r="AB317" s="372">
        <f t="shared" si="128"/>
        <v>-121.46572804365502</v>
      </c>
      <c r="AD317">
        <f t="shared" si="132"/>
        <v>0</v>
      </c>
      <c r="AE317">
        <f t="shared" si="135"/>
        <v>0</v>
      </c>
    </row>
    <row r="318" spans="1:31" x14ac:dyDescent="0.2">
      <c r="A318" s="373">
        <v>22517.5</v>
      </c>
      <c r="B318" s="390">
        <f t="shared" si="129"/>
        <v>22.517499999999998</v>
      </c>
      <c r="C318" s="363">
        <f t="shared" si="110"/>
        <v>31.717282265650027</v>
      </c>
      <c r="D318" s="364">
        <f t="shared" si="111"/>
        <v>1.5392625484366356</v>
      </c>
      <c r="E318" s="364">
        <f t="shared" si="112"/>
        <v>1.0384964341034559</v>
      </c>
      <c r="F318" s="365">
        <f t="shared" si="113"/>
        <v>0.27313260224243674</v>
      </c>
      <c r="G318" s="364">
        <f t="shared" si="114"/>
        <v>1.1216497903643829</v>
      </c>
      <c r="H318" s="365">
        <f t="shared" si="115"/>
        <v>-0.47005390390838392</v>
      </c>
      <c r="I318" s="363">
        <f t="shared" si="116"/>
        <v>93406.072618061546</v>
      </c>
      <c r="J318" s="366">
        <f t="shared" si="117"/>
        <v>1.5707856208528526</v>
      </c>
      <c r="K318" s="374">
        <f t="shared" si="133"/>
        <v>28.217842345762428</v>
      </c>
      <c r="L318" s="375">
        <f t="shared" si="134"/>
        <v>1.5353503340960457</v>
      </c>
      <c r="M318" s="363">
        <f t="shared" si="118"/>
        <v>1.4478650220454163</v>
      </c>
      <c r="N318" s="366">
        <f t="shared" si="119"/>
        <v>0.8083782795668375</v>
      </c>
      <c r="O318" s="367">
        <f t="shared" si="120"/>
        <v>1.0448083309187548</v>
      </c>
      <c r="P318" s="368">
        <f t="shared" si="121"/>
        <v>0.38697573588078388</v>
      </c>
      <c r="Q318" s="369">
        <f t="shared" si="122"/>
        <v>-15.70907360553022</v>
      </c>
      <c r="R318" s="370">
        <f t="shared" si="123"/>
        <v>-169.99503975006499</v>
      </c>
      <c r="S318" s="372">
        <f t="shared" si="124"/>
        <v>10.00496024993501</v>
      </c>
      <c r="U318" s="345">
        <f t="shared" si="130"/>
        <v>22517.5</v>
      </c>
      <c r="V318" s="345">
        <f t="shared" si="131"/>
        <v>507037806.25</v>
      </c>
      <c r="X318" s="371">
        <f t="shared" si="125"/>
        <v>14.485086618687433</v>
      </c>
      <c r="Y318" s="372">
        <f t="shared" si="126"/>
        <v>-48.34695610147164</v>
      </c>
      <c r="AA318" s="371">
        <f t="shared" si="127"/>
        <v>30.366414247787219</v>
      </c>
      <c r="AB318" s="372">
        <f t="shared" si="128"/>
        <v>-121.64808364859331</v>
      </c>
      <c r="AD318">
        <f t="shared" si="132"/>
        <v>0</v>
      </c>
      <c r="AE318">
        <f t="shared" si="135"/>
        <v>0</v>
      </c>
    </row>
    <row r="319" spans="1:31" x14ac:dyDescent="0.2">
      <c r="A319" s="373">
        <v>22648</v>
      </c>
      <c r="B319" s="390">
        <f t="shared" si="129"/>
        <v>22.648</v>
      </c>
      <c r="C319" s="363">
        <f t="shared" si="110"/>
        <v>31.900917336233093</v>
      </c>
      <c r="D319" s="364">
        <f t="shared" si="111"/>
        <v>1.5394441297731805</v>
      </c>
      <c r="E319" s="364">
        <f t="shared" si="112"/>
        <v>1.0389355514932972</v>
      </c>
      <c r="F319" s="365">
        <f t="shared" si="113"/>
        <v>0.2746373444963382</v>
      </c>
      <c r="G319" s="364">
        <f t="shared" si="114"/>
        <v>1.1229864353923307</v>
      </c>
      <c r="H319" s="365">
        <f t="shared" si="115"/>
        <v>-0.472391403144509</v>
      </c>
      <c r="I319" s="363">
        <f t="shared" si="116"/>
        <v>93947.406801486155</v>
      </c>
      <c r="J319" s="366">
        <f t="shared" si="117"/>
        <v>1.5707856825415418</v>
      </c>
      <c r="K319" s="374">
        <f t="shared" si="133"/>
        <v>28.381173843490721</v>
      </c>
      <c r="L319" s="375">
        <f t="shared" si="134"/>
        <v>1.5355544078269805</v>
      </c>
      <c r="M319" s="363">
        <f t="shared" si="118"/>
        <v>1.4522593754066415</v>
      </c>
      <c r="N319" s="366">
        <f t="shared" si="119"/>
        <v>0.81126421083728972</v>
      </c>
      <c r="O319" s="367">
        <f t="shared" si="120"/>
        <v>1.0453238382047183</v>
      </c>
      <c r="P319" s="368">
        <f t="shared" si="121"/>
        <v>0.38913635371515332</v>
      </c>
      <c r="Q319" s="369">
        <f t="shared" si="122"/>
        <v>-15.775870591760391</v>
      </c>
      <c r="R319" s="370">
        <f t="shared" si="123"/>
        <v>-170.33061399093356</v>
      </c>
      <c r="S319" s="372">
        <f t="shared" si="124"/>
        <v>9.669386009066443</v>
      </c>
      <c r="U319" s="345">
        <f t="shared" si="130"/>
        <v>22648</v>
      </c>
      <c r="V319" s="345">
        <f t="shared" si="131"/>
        <v>512931904</v>
      </c>
      <c r="X319" s="371">
        <f t="shared" si="125"/>
        <v>14.458701694741841</v>
      </c>
      <c r="Y319" s="372">
        <f t="shared" si="126"/>
        <v>-48.500618754418461</v>
      </c>
      <c r="AA319" s="371">
        <f t="shared" si="127"/>
        <v>30.326002185502645</v>
      </c>
      <c r="AB319" s="372">
        <f t="shared" si="128"/>
        <v>-121.82999523651507</v>
      </c>
      <c r="AD319">
        <f t="shared" si="132"/>
        <v>0</v>
      </c>
      <c r="AE319">
        <f t="shared" si="135"/>
        <v>0</v>
      </c>
    </row>
    <row r="320" spans="1:31" x14ac:dyDescent="0.2">
      <c r="A320" s="373">
        <v>22778.5</v>
      </c>
      <c r="B320" s="390">
        <f t="shared" si="129"/>
        <v>22.778500000000001</v>
      </c>
      <c r="C320" s="363">
        <f t="shared" si="110"/>
        <v>32.08455344660598</v>
      </c>
      <c r="D320" s="364">
        <f t="shared" si="111"/>
        <v>1.5396236325521182</v>
      </c>
      <c r="E320" s="364">
        <f t="shared" si="112"/>
        <v>1.0393770193013789</v>
      </c>
      <c r="F320" s="365">
        <f t="shared" si="113"/>
        <v>0.27614081189546635</v>
      </c>
      <c r="G320" s="364">
        <f t="shared" si="114"/>
        <v>1.1243292017001887</v>
      </c>
      <c r="H320" s="365">
        <f t="shared" si="115"/>
        <v>-0.47472333182949344</v>
      </c>
      <c r="I320" s="363">
        <f t="shared" si="116"/>
        <v>94488.740984911143</v>
      </c>
      <c r="J320" s="366">
        <f t="shared" si="117"/>
        <v>1.5707857435233916</v>
      </c>
      <c r="K320" s="374">
        <f t="shared" si="133"/>
        <v>28.544506509657449</v>
      </c>
      <c r="L320" s="375">
        <f t="shared" si="134"/>
        <v>1.5357561461321627</v>
      </c>
      <c r="M320" s="363">
        <f t="shared" si="118"/>
        <v>1.4566657510195269</v>
      </c>
      <c r="N320" s="366">
        <f t="shared" si="119"/>
        <v>0.81413270614564526</v>
      </c>
      <c r="O320" s="367">
        <f t="shared" si="120"/>
        <v>1.0458422054118217</v>
      </c>
      <c r="P320" s="368">
        <f t="shared" si="121"/>
        <v>0.39129562642431953</v>
      </c>
      <c r="Q320" s="369">
        <f t="shared" si="122"/>
        <v>-15.842339687628739</v>
      </c>
      <c r="R320" s="370">
        <f t="shared" si="123"/>
        <v>-170.66488070645343</v>
      </c>
      <c r="S320" s="372">
        <f t="shared" si="124"/>
        <v>9.335119293546569</v>
      </c>
      <c r="U320" s="345">
        <f t="shared" si="130"/>
        <v>22778.5</v>
      </c>
      <c r="V320" s="345">
        <f t="shared" si="131"/>
        <v>518860062.25</v>
      </c>
      <c r="X320" s="371">
        <f t="shared" si="125"/>
        <v>14.432325684380416</v>
      </c>
      <c r="Y320" s="372">
        <f t="shared" si="126"/>
        <v>-48.653416169864464</v>
      </c>
      <c r="AA320" s="371">
        <f t="shared" si="127"/>
        <v>30.285909099995717</v>
      </c>
      <c r="AB320" s="372">
        <f t="shared" si="128"/>
        <v>-122.01146453658899</v>
      </c>
      <c r="AD320">
        <f t="shared" si="132"/>
        <v>0</v>
      </c>
      <c r="AE320">
        <f t="shared" si="135"/>
        <v>0</v>
      </c>
    </row>
    <row r="321" spans="1:31" x14ac:dyDescent="0.2">
      <c r="A321" s="373">
        <v>22909</v>
      </c>
      <c r="B321" s="390">
        <f t="shared" si="129"/>
        <v>22.908999999999999</v>
      </c>
      <c r="C321" s="363">
        <f t="shared" si="110"/>
        <v>32.268190579016569</v>
      </c>
      <c r="D321" s="364">
        <f t="shared" si="111"/>
        <v>1.5398010922487753</v>
      </c>
      <c r="E321" s="364">
        <f t="shared" si="112"/>
        <v>1.0398208345340103</v>
      </c>
      <c r="F321" s="365">
        <f t="shared" si="113"/>
        <v>0.27764299927100961</v>
      </c>
      <c r="G321" s="364">
        <f t="shared" si="114"/>
        <v>1.1256780673826312</v>
      </c>
      <c r="H321" s="365">
        <f t="shared" si="115"/>
        <v>-0.47704968458174363</v>
      </c>
      <c r="I321" s="363">
        <f t="shared" si="116"/>
        <v>95030.075168336451</v>
      </c>
      <c r="J321" s="366">
        <f t="shared" si="117"/>
        <v>1.5707858038104809</v>
      </c>
      <c r="K321" s="374">
        <f t="shared" si="133"/>
        <v>28.707840324319193</v>
      </c>
      <c r="L321" s="375">
        <f t="shared" si="134"/>
        <v>1.5359555888573799</v>
      </c>
      <c r="M321" s="363">
        <f t="shared" si="118"/>
        <v>1.4610840401130099</v>
      </c>
      <c r="N321" s="366">
        <f t="shared" si="119"/>
        <v>0.81698387625064894</v>
      </c>
      <c r="O321" s="367">
        <f t="shared" si="120"/>
        <v>1.0463634306608671</v>
      </c>
      <c r="P321" s="368">
        <f t="shared" si="121"/>
        <v>0.39345354836804297</v>
      </c>
      <c r="Q321" s="369">
        <f t="shared" si="122"/>
        <v>-15.908483686032183</v>
      </c>
      <c r="R321" s="370">
        <f t="shared" si="123"/>
        <v>-170.99784565756298</v>
      </c>
      <c r="S321" s="372">
        <f t="shared" si="124"/>
        <v>9.0021543424370236</v>
      </c>
      <c r="U321" s="345">
        <f t="shared" si="130"/>
        <v>22909</v>
      </c>
      <c r="V321" s="345">
        <f t="shared" si="131"/>
        <v>524822281</v>
      </c>
      <c r="X321" s="371">
        <f t="shared" si="125"/>
        <v>14.405959379357366</v>
      </c>
      <c r="Y321" s="372">
        <f t="shared" si="126"/>
        <v>-48.805352411514882</v>
      </c>
      <c r="AA321" s="371">
        <f t="shared" si="127"/>
        <v>30.246131406615323</v>
      </c>
      <c r="AB321" s="372">
        <f t="shared" si="128"/>
        <v>-122.1924932460481</v>
      </c>
      <c r="AD321">
        <f t="shared" si="132"/>
        <v>0</v>
      </c>
      <c r="AE321">
        <f t="shared" si="135"/>
        <v>0</v>
      </c>
    </row>
    <row r="322" spans="1:31" x14ac:dyDescent="0.2">
      <c r="A322" s="373">
        <v>23042.25</v>
      </c>
      <c r="B322" s="390">
        <f t="shared" si="129"/>
        <v>23.042249999999999</v>
      </c>
      <c r="C322" s="363">
        <f t="shared" si="110"/>
        <v>32.455698495972278</v>
      </c>
      <c r="D322" s="364">
        <f t="shared" si="111"/>
        <v>1.5399802194250363</v>
      </c>
      <c r="E322" s="364">
        <f t="shared" si="112"/>
        <v>1.0402764212189111</v>
      </c>
      <c r="F322" s="365">
        <f t="shared" si="113"/>
        <v>0.27917551583029243</v>
      </c>
      <c r="G322" s="364">
        <f t="shared" si="114"/>
        <v>1.1270616282073436</v>
      </c>
      <c r="H322" s="365">
        <f t="shared" si="115"/>
        <v>-0.47941930135873229</v>
      </c>
      <c r="I322" s="363">
        <f t="shared" si="116"/>
        <v>95582.816777083353</v>
      </c>
      <c r="J322" s="366">
        <f t="shared" si="117"/>
        <v>1.5707858646633783</v>
      </c>
      <c r="K322" s="374">
        <f t="shared" si="133"/>
        <v>28.87461720409134</v>
      </c>
      <c r="L322" s="375">
        <f t="shared" si="134"/>
        <v>1.5361569062095017</v>
      </c>
      <c r="M322" s="363">
        <f t="shared" si="118"/>
        <v>1.4656076156597022</v>
      </c>
      <c r="N322" s="366">
        <f t="shared" si="119"/>
        <v>0.8198773666691358</v>
      </c>
      <c r="O322" s="367">
        <f t="shared" si="120"/>
        <v>1.0468985866417033</v>
      </c>
      <c r="P322" s="368">
        <f t="shared" si="121"/>
        <v>0.39565554417255627</v>
      </c>
      <c r="Q322" s="369">
        <f t="shared" si="122"/>
        <v>-15.975688936463847</v>
      </c>
      <c r="R322" s="370">
        <f t="shared" si="123"/>
        <v>-171.33648990578965</v>
      </c>
      <c r="S322" s="372">
        <f t="shared" si="124"/>
        <v>8.663510094210352</v>
      </c>
      <c r="U322" s="345">
        <f t="shared" si="130"/>
        <v>23042.25</v>
      </c>
      <c r="V322" s="345">
        <f t="shared" si="131"/>
        <v>530945285.0625</v>
      </c>
      <c r="X322" s="371">
        <f t="shared" si="125"/>
        <v>14.379048283941538</v>
      </c>
      <c r="Y322" s="372">
        <f t="shared" si="126"/>
        <v>-48.959606052726855</v>
      </c>
      <c r="AA322" s="371">
        <f t="shared" si="127"/>
        <v>30.205837251599483</v>
      </c>
      <c r="AB322" s="372">
        <f t="shared" si="128"/>
        <v>-122.37688385306279</v>
      </c>
      <c r="AD322">
        <f t="shared" si="132"/>
        <v>0</v>
      </c>
      <c r="AE322">
        <f t="shared" si="135"/>
        <v>0</v>
      </c>
    </row>
    <row r="323" spans="1:31" x14ac:dyDescent="0.2">
      <c r="A323" s="373">
        <v>23175.5</v>
      </c>
      <c r="B323" s="390">
        <f t="shared" si="129"/>
        <v>23.1755</v>
      </c>
      <c r="C323" s="363">
        <f t="shared" si="110"/>
        <v>32.643207442355354</v>
      </c>
      <c r="D323" s="364">
        <f t="shared" si="111"/>
        <v>1.5401572887240924</v>
      </c>
      <c r="E323" s="364">
        <f t="shared" si="112"/>
        <v>1.040734448961909</v>
      </c>
      <c r="F323" s="365">
        <f t="shared" si="113"/>
        <v>0.28070668706048035</v>
      </c>
      <c r="G323" s="364">
        <f t="shared" si="114"/>
        <v>1.1284515020382175</v>
      </c>
      <c r="H323" s="365">
        <f t="shared" si="115"/>
        <v>-0.48178309423497445</v>
      </c>
      <c r="I323" s="363">
        <f t="shared" si="116"/>
        <v>96135.558385830605</v>
      </c>
      <c r="J323" s="366">
        <f t="shared" si="117"/>
        <v>1.5707859248165152</v>
      </c>
      <c r="K323" s="374">
        <f t="shared" si="133"/>
        <v>29.041395240672621</v>
      </c>
      <c r="L323" s="375">
        <f t="shared" si="134"/>
        <v>1.5363559113313439</v>
      </c>
      <c r="M323" s="363">
        <f t="shared" si="118"/>
        <v>1.4701433861223281</v>
      </c>
      <c r="N323" s="366">
        <f t="shared" si="119"/>
        <v>0.82275302671569894</v>
      </c>
      <c r="O323" s="367">
        <f t="shared" si="120"/>
        <v>1.047436718408522</v>
      </c>
      <c r="P323" s="368">
        <f t="shared" si="121"/>
        <v>0.39785611989732056</v>
      </c>
      <c r="Q323" s="369">
        <f t="shared" si="122"/>
        <v>-16.042560997592247</v>
      </c>
      <c r="R323" s="370">
        <f t="shared" si="123"/>
        <v>-171.6737891143907</v>
      </c>
      <c r="S323" s="372">
        <f t="shared" si="124"/>
        <v>8.3262108856092993</v>
      </c>
      <c r="U323" s="345">
        <f t="shared" si="130"/>
        <v>23175.5</v>
      </c>
      <c r="V323" s="345">
        <f t="shared" si="131"/>
        <v>537103800.25</v>
      </c>
      <c r="X323" s="371">
        <f t="shared" si="125"/>
        <v>14.352148928263937</v>
      </c>
      <c r="Y323" s="372">
        <f t="shared" si="126"/>
        <v>-49.112970529822398</v>
      </c>
      <c r="AA323" s="371">
        <f t="shared" si="127"/>
        <v>30.165864546148683</v>
      </c>
      <c r="AB323" s="372">
        <f t="shared" si="128"/>
        <v>-122.56081858456831</v>
      </c>
      <c r="AD323">
        <f t="shared" si="132"/>
        <v>0</v>
      </c>
      <c r="AE323">
        <f t="shared" si="135"/>
        <v>0</v>
      </c>
    </row>
    <row r="324" spans="1:31" x14ac:dyDescent="0.2">
      <c r="A324" s="373">
        <v>23308.75</v>
      </c>
      <c r="B324" s="390">
        <f t="shared" si="129"/>
        <v>23.30875</v>
      </c>
      <c r="C324" s="363">
        <f t="shared" si="110"/>
        <v>32.83071740052744</v>
      </c>
      <c r="D324" s="364">
        <f t="shared" si="111"/>
        <v>1.5403323353949363</v>
      </c>
      <c r="E324" s="364">
        <f t="shared" si="112"/>
        <v>1.0411949145414976</v>
      </c>
      <c r="F324" s="365">
        <f t="shared" si="113"/>
        <v>0.28223650756216528</v>
      </c>
      <c r="G324" s="364">
        <f t="shared" si="114"/>
        <v>1.1298476655775578</v>
      </c>
      <c r="H324" s="365">
        <f t="shared" si="115"/>
        <v>-0.48414105833649784</v>
      </c>
      <c r="I324" s="363">
        <f t="shared" si="116"/>
        <v>96688.299994578192</v>
      </c>
      <c r="J324" s="366">
        <f t="shared" si="117"/>
        <v>1.5707859842818928</v>
      </c>
      <c r="K324" s="374">
        <f t="shared" si="133"/>
        <v>29.208174414246955</v>
      </c>
      <c r="L324" s="375">
        <f t="shared" si="134"/>
        <v>1.5365526438156301</v>
      </c>
      <c r="M324" s="363">
        <f t="shared" si="118"/>
        <v>1.4746912389756297</v>
      </c>
      <c r="N324" s="366">
        <f t="shared" si="119"/>
        <v>0.82561097357369995</v>
      </c>
      <c r="O324" s="367">
        <f t="shared" si="120"/>
        <v>1.0479778239414712</v>
      </c>
      <c r="P324" s="368">
        <f t="shared" si="121"/>
        <v>0.40005526963848381</v>
      </c>
      <c r="Q324" s="369">
        <f t="shared" si="122"/>
        <v>-16.109102712090458</v>
      </c>
      <c r="R324" s="370">
        <f t="shared" si="123"/>
        <v>-172.00974944112781</v>
      </c>
      <c r="S324" s="372">
        <f t="shared" si="124"/>
        <v>7.9902505588721908</v>
      </c>
      <c r="U324" s="345">
        <f t="shared" si="130"/>
        <v>23308.75</v>
      </c>
      <c r="V324" s="345">
        <f t="shared" si="131"/>
        <v>543297826.5625</v>
      </c>
      <c r="X324" s="371">
        <f t="shared" si="125"/>
        <v>14.325262107703555</v>
      </c>
      <c r="Y324" s="372">
        <f t="shared" si="126"/>
        <v>-49.265450289105203</v>
      </c>
      <c r="AA324" s="371">
        <f t="shared" si="127"/>
        <v>30.126209652210857</v>
      </c>
      <c r="AB324" s="372">
        <f t="shared" si="128"/>
        <v>-122.74429915202261</v>
      </c>
      <c r="AD324">
        <f t="shared" si="132"/>
        <v>0</v>
      </c>
      <c r="AE324">
        <f t="shared" si="135"/>
        <v>0</v>
      </c>
    </row>
    <row r="325" spans="1:31" x14ac:dyDescent="0.2">
      <c r="A325" s="373">
        <v>23442</v>
      </c>
      <c r="B325" s="390">
        <f t="shared" si="129"/>
        <v>23.442</v>
      </c>
      <c r="C325" s="363">
        <f t="shared" si="110"/>
        <v>33.018228353250727</v>
      </c>
      <c r="D325" s="364">
        <f t="shared" si="111"/>
        <v>1.5405053938863447</v>
      </c>
      <c r="E325" s="364">
        <f t="shared" si="112"/>
        <v>1.041657814724734</v>
      </c>
      <c r="F325" s="365">
        <f t="shared" si="113"/>
        <v>0.28376497197075023</v>
      </c>
      <c r="G325" s="364">
        <f t="shared" si="114"/>
        <v>1.1312500955375131</v>
      </c>
      <c r="H325" s="365">
        <f t="shared" si="115"/>
        <v>-0.48649318907259942</v>
      </c>
      <c r="I325" s="363">
        <f t="shared" si="116"/>
        <v>97241.041603326128</v>
      </c>
      <c r="J325" s="366">
        <f t="shared" si="117"/>
        <v>1.570786043071239</v>
      </c>
      <c r="K325" s="374">
        <f t="shared" si="133"/>
        <v>29.374954705448189</v>
      </c>
      <c r="L325" s="375">
        <f t="shared" si="134"/>
        <v>1.5367471423566252</v>
      </c>
      <c r="M325" s="363">
        <f t="shared" si="118"/>
        <v>1.4792510627802424</v>
      </c>
      <c r="N325" s="366">
        <f t="shared" si="119"/>
        <v>0.82845132414479739</v>
      </c>
      <c r="O325" s="367">
        <f t="shared" si="120"/>
        <v>1.0485219012143323</v>
      </c>
      <c r="P325" s="368">
        <f t="shared" si="121"/>
        <v>0.40225298752614475</v>
      </c>
      <c r="Q325" s="369">
        <f t="shared" si="122"/>
        <v>-16.175316880868248</v>
      </c>
      <c r="R325" s="370">
        <f t="shared" si="123"/>
        <v>-172.34437704941624</v>
      </c>
      <c r="S325" s="372">
        <f t="shared" si="124"/>
        <v>7.6556229505837621</v>
      </c>
      <c r="U325" s="345">
        <f t="shared" si="130"/>
        <v>23442</v>
      </c>
      <c r="V325" s="345">
        <f t="shared" si="131"/>
        <v>549527364</v>
      </c>
      <c r="X325" s="371">
        <f t="shared" si="125"/>
        <v>14.298388602052709</v>
      </c>
      <c r="Y325" s="372">
        <f t="shared" si="126"/>
        <v>-49.41704981220083</v>
      </c>
      <c r="AA325" s="371">
        <f t="shared" si="127"/>
        <v>30.086868989083911</v>
      </c>
      <c r="AB325" s="372">
        <f t="shared" si="128"/>
        <v>-122.92732723721547</v>
      </c>
      <c r="AD325">
        <f t="shared" si="132"/>
        <v>0</v>
      </c>
      <c r="AE325">
        <f t="shared" si="135"/>
        <v>0</v>
      </c>
    </row>
    <row r="326" spans="1:31" x14ac:dyDescent="0.2">
      <c r="A326" s="373">
        <v>23578.5</v>
      </c>
      <c r="B326" s="390">
        <f t="shared" si="129"/>
        <v>23.578499999999998</v>
      </c>
      <c r="C326" s="363">
        <f t="shared" si="110"/>
        <v>33.210313757468803</v>
      </c>
      <c r="D326" s="364">
        <f t="shared" si="111"/>
        <v>1.540680646999514</v>
      </c>
      <c r="E326" s="364">
        <f t="shared" si="112"/>
        <v>1.0421345261636537</v>
      </c>
      <c r="F326" s="365">
        <f t="shared" si="113"/>
        <v>0.28532930431840686</v>
      </c>
      <c r="G326" s="364">
        <f t="shared" si="114"/>
        <v>1.1326932043186129</v>
      </c>
      <c r="H326" s="365">
        <f t="shared" si="115"/>
        <v>-0.48889663583138038</v>
      </c>
      <c r="I326" s="363">
        <f t="shared" si="116"/>
        <v>97807.2647147268</v>
      </c>
      <c r="J326" s="366">
        <f t="shared" si="117"/>
        <v>1.5707861026054877</v>
      </c>
      <c r="K326" s="374">
        <f t="shared" si="133"/>
        <v>29.545803947694093</v>
      </c>
      <c r="L326" s="375">
        <f t="shared" si="134"/>
        <v>1.5369441079565593</v>
      </c>
      <c r="M326" s="363">
        <f t="shared" si="118"/>
        <v>1.4839343989181999</v>
      </c>
      <c r="N326" s="366">
        <f t="shared" si="119"/>
        <v>0.83134282815558957</v>
      </c>
      <c r="O326" s="367">
        <f t="shared" si="120"/>
        <v>1.0490823278859558</v>
      </c>
      <c r="P326" s="368">
        <f t="shared" si="121"/>
        <v>0.40450281752470418</v>
      </c>
      <c r="Q326" s="369">
        <f t="shared" si="122"/>
        <v>-16.24280928785954</v>
      </c>
      <c r="R326" s="370">
        <f t="shared" si="123"/>
        <v>-172.68579088110221</v>
      </c>
      <c r="S326" s="372">
        <f t="shared" si="124"/>
        <v>7.3142091188977929</v>
      </c>
      <c r="U326" s="345">
        <f t="shared" si="130"/>
        <v>23578.5</v>
      </c>
      <c r="V326" s="345">
        <f t="shared" si="131"/>
        <v>555945662.25</v>
      </c>
      <c r="X326" s="371">
        <f t="shared" si="125"/>
        <v>14.270874249997107</v>
      </c>
      <c r="Y326" s="372">
        <f t="shared" si="126"/>
        <v>-49.571438902116491</v>
      </c>
      <c r="AA326" s="371">
        <f t="shared" si="127"/>
        <v>30.046890934148223</v>
      </c>
      <c r="AB326" s="372">
        <f t="shared" si="128"/>
        <v>-123.11435197898572</v>
      </c>
      <c r="AD326">
        <f t="shared" si="132"/>
        <v>0</v>
      </c>
      <c r="AE326">
        <f t="shared" si="135"/>
        <v>0</v>
      </c>
    </row>
    <row r="327" spans="1:31" x14ac:dyDescent="0.2">
      <c r="A327" s="373">
        <v>23715</v>
      </c>
      <c r="B327" s="390">
        <f t="shared" si="129"/>
        <v>23.715</v>
      </c>
      <c r="C327" s="363">
        <f t="shared" si="110"/>
        <v>33.40240016996551</v>
      </c>
      <c r="D327" s="364">
        <f t="shared" si="111"/>
        <v>1.5408538844698789</v>
      </c>
      <c r="E327" s="364">
        <f t="shared" si="112"/>
        <v>1.042613785511449</v>
      </c>
      <c r="F327" s="365">
        <f t="shared" si="113"/>
        <v>0.28689220233125612</v>
      </c>
      <c r="G327" s="364">
        <f t="shared" si="114"/>
        <v>1.1341428394926996</v>
      </c>
      <c r="H327" s="365">
        <f t="shared" si="115"/>
        <v>-0.49129395234873396</v>
      </c>
      <c r="I327" s="363">
        <f t="shared" si="116"/>
        <v>98373.487826127806</v>
      </c>
      <c r="J327" s="366">
        <f t="shared" si="117"/>
        <v>1.5707861614543956</v>
      </c>
      <c r="K327" s="374">
        <f t="shared" si="133"/>
        <v>29.716654323002523</v>
      </c>
      <c r="L327" s="375">
        <f t="shared" si="134"/>
        <v>1.5371388087298312</v>
      </c>
      <c r="M327" s="363">
        <f t="shared" si="118"/>
        <v>1.4886300638020251</v>
      </c>
      <c r="N327" s="366">
        <f t="shared" si="119"/>
        <v>0.83421611441396715</v>
      </c>
      <c r="O327" s="367">
        <f t="shared" si="120"/>
        <v>1.04964586870371</v>
      </c>
      <c r="P327" s="368">
        <f t="shared" si="121"/>
        <v>0.40675113261116491</v>
      </c>
      <c r="Q327" s="369">
        <f t="shared" si="122"/>
        <v>-16.309963796692632</v>
      </c>
      <c r="R327" s="370">
        <f t="shared" si="123"/>
        <v>-173.0258192966773</v>
      </c>
      <c r="S327" s="372">
        <f t="shared" si="124"/>
        <v>6.9741807033227019</v>
      </c>
      <c r="U327" s="345">
        <f t="shared" si="130"/>
        <v>23715</v>
      </c>
      <c r="V327" s="345">
        <f t="shared" si="131"/>
        <v>562401225</v>
      </c>
      <c r="X327" s="371">
        <f t="shared" si="125"/>
        <v>14.243375477577489</v>
      </c>
      <c r="Y327" s="372">
        <f t="shared" si="126"/>
        <v>-49.724913917447473</v>
      </c>
      <c r="AA327" s="371">
        <f t="shared" si="127"/>
        <v>30.007235197734747</v>
      </c>
      <c r="AB327" s="372">
        <f t="shared" si="128"/>
        <v>-123.30090537922982</v>
      </c>
      <c r="AD327">
        <f t="shared" si="132"/>
        <v>0</v>
      </c>
      <c r="AE327">
        <f t="shared" si="135"/>
        <v>0</v>
      </c>
    </row>
    <row r="328" spans="1:31" x14ac:dyDescent="0.2">
      <c r="A328" s="373">
        <v>23851.5</v>
      </c>
      <c r="B328" s="390">
        <f t="shared" si="129"/>
        <v>23.851500000000001</v>
      </c>
      <c r="C328" s="363">
        <f t="shared" si="110"/>
        <v>33.594487573445427</v>
      </c>
      <c r="D328" s="364">
        <f t="shared" si="111"/>
        <v>1.5410251408622302</v>
      </c>
      <c r="E328" s="364">
        <f t="shared" si="112"/>
        <v>1.0430955892561433</v>
      </c>
      <c r="F328" s="365">
        <f t="shared" si="113"/>
        <v>0.28845366035640502</v>
      </c>
      <c r="G328" s="364">
        <f t="shared" si="114"/>
        <v>1.1355989760662091</v>
      </c>
      <c r="H328" s="365">
        <f t="shared" si="115"/>
        <v>-0.49368513459858049</v>
      </c>
      <c r="I328" s="363">
        <f t="shared" si="116"/>
        <v>98939.710937529133</v>
      </c>
      <c r="J328" s="366">
        <f t="shared" si="117"/>
        <v>1.5707862196297298</v>
      </c>
      <c r="K328" s="374">
        <f t="shared" si="133"/>
        <v>29.887505811942209</v>
      </c>
      <c r="L328" s="375">
        <f t="shared" si="134"/>
        <v>1.5373312835020965</v>
      </c>
      <c r="M328" s="363">
        <f t="shared" si="118"/>
        <v>1.4933379411318739</v>
      </c>
      <c r="N328" s="366">
        <f t="shared" si="119"/>
        <v>0.83707130755254089</v>
      </c>
      <c r="O328" s="367">
        <f t="shared" si="120"/>
        <v>1.0502125214691795</v>
      </c>
      <c r="P328" s="368">
        <f t="shared" si="121"/>
        <v>0.40899792658666634</v>
      </c>
      <c r="Q328" s="369">
        <f t="shared" si="122"/>
        <v>-16.37678328870026</v>
      </c>
      <c r="R328" s="370">
        <f t="shared" si="123"/>
        <v>-173.36446893164978</v>
      </c>
      <c r="S328" s="372">
        <f t="shared" si="124"/>
        <v>6.6355310683502182</v>
      </c>
      <c r="U328" s="345">
        <f t="shared" si="130"/>
        <v>23851.5</v>
      </c>
      <c r="V328" s="345">
        <f t="shared" si="131"/>
        <v>568894052.25</v>
      </c>
      <c r="X328" s="371">
        <f t="shared" si="125"/>
        <v>14.21589307352199</v>
      </c>
      <c r="Y328" s="372">
        <f t="shared" si="126"/>
        <v>-49.87747977524436</v>
      </c>
      <c r="AA328" s="371">
        <f t="shared" si="127"/>
        <v>29.96789810978262</v>
      </c>
      <c r="AB328" s="372">
        <f t="shared" si="128"/>
        <v>-123.48698915640539</v>
      </c>
      <c r="AD328">
        <f t="shared" si="132"/>
        <v>0</v>
      </c>
      <c r="AE328">
        <f t="shared" si="135"/>
        <v>0</v>
      </c>
    </row>
    <row r="329" spans="1:31" x14ac:dyDescent="0.2">
      <c r="A329" s="373">
        <v>23988</v>
      </c>
      <c r="B329" s="390">
        <f t="shared" si="129"/>
        <v>23.988</v>
      </c>
      <c r="C329" s="363">
        <f t="shared" si="110"/>
        <v>33.786575951006427</v>
      </c>
      <c r="D329" s="364">
        <f t="shared" si="111"/>
        <v>1.5411944499557781</v>
      </c>
      <c r="E329" s="364">
        <f t="shared" si="112"/>
        <v>1.0435799338736174</v>
      </c>
      <c r="F329" s="365">
        <f t="shared" si="113"/>
        <v>0.29001367277945966</v>
      </c>
      <c r="G329" s="364">
        <f t="shared" si="114"/>
        <v>1.1370615890617992</v>
      </c>
      <c r="H329" s="365">
        <f t="shared" si="115"/>
        <v>-0.49607017885600929</v>
      </c>
      <c r="I329" s="363">
        <f t="shared" si="116"/>
        <v>99505.934048930809</v>
      </c>
      <c r="J329" s="366">
        <f t="shared" si="117"/>
        <v>1.5707862771429881</v>
      </c>
      <c r="K329" s="374">
        <f t="shared" si="133"/>
        <v>30.058358395523527</v>
      </c>
      <c r="L329" s="375">
        <f t="shared" si="134"/>
        <v>1.5375215702169343</v>
      </c>
      <c r="M329" s="363">
        <f t="shared" si="118"/>
        <v>1.4980579157692826</v>
      </c>
      <c r="N329" s="366">
        <f t="shared" si="119"/>
        <v>0.83990853181926839</v>
      </c>
      <c r="O329" s="367">
        <f t="shared" si="120"/>
        <v>1.0507822839772682</v>
      </c>
      <c r="P329" s="368">
        <f t="shared" si="121"/>
        <v>0.4112431932899191</v>
      </c>
      <c r="Q329" s="369">
        <f t="shared" si="122"/>
        <v>-16.44327060367263</v>
      </c>
      <c r="R329" s="370">
        <f t="shared" si="123"/>
        <v>-173.70174642220479</v>
      </c>
      <c r="S329" s="372">
        <f t="shared" si="124"/>
        <v>6.298253577795208</v>
      </c>
      <c r="U329" s="345">
        <f t="shared" si="130"/>
        <v>23988</v>
      </c>
      <c r="V329" s="345">
        <f t="shared" si="131"/>
        <v>575424144</v>
      </c>
      <c r="X329" s="371">
        <f t="shared" si="125"/>
        <v>14.188427810307703</v>
      </c>
      <c r="Y329" s="372">
        <f t="shared" si="126"/>
        <v>-50.02914142104261</v>
      </c>
      <c r="AA329" s="371">
        <f t="shared" si="127"/>
        <v>29.928876058024542</v>
      </c>
      <c r="AB329" s="372">
        <f t="shared" si="128"/>
        <v>-123.67260500116221</v>
      </c>
      <c r="AD329">
        <f t="shared" si="132"/>
        <v>0</v>
      </c>
      <c r="AE329">
        <f t="shared" si="135"/>
        <v>0</v>
      </c>
    </row>
    <row r="330" spans="1:31" x14ac:dyDescent="0.2">
      <c r="A330" s="373">
        <v>24127.75</v>
      </c>
      <c r="B330" s="390">
        <f t="shared" si="129"/>
        <v>24.127749999999999</v>
      </c>
      <c r="C330" s="363">
        <f t="shared" si="110"/>
        <v>33.983238853264034</v>
      </c>
      <c r="D330" s="364">
        <f t="shared" si="111"/>
        <v>1.541365807292211</v>
      </c>
      <c r="E330" s="364">
        <f t="shared" si="112"/>
        <v>1.0440784391516418</v>
      </c>
      <c r="F330" s="365">
        <f t="shared" si="113"/>
        <v>0.29160932489276931</v>
      </c>
      <c r="G330" s="364">
        <f t="shared" si="114"/>
        <v>1.1385657096715169</v>
      </c>
      <c r="H330" s="365">
        <f t="shared" si="115"/>
        <v>-0.4985056473590781</v>
      </c>
      <c r="I330" s="363">
        <f t="shared" si="116"/>
        <v>100085.63866298523</v>
      </c>
      <c r="J330" s="366">
        <f t="shared" si="117"/>
        <v>1.5707863353514351</v>
      </c>
      <c r="K330" s="374">
        <f t="shared" si="133"/>
        <v>30.233280012429237</v>
      </c>
      <c r="L330" s="375">
        <f t="shared" si="134"/>
        <v>1.5377141594664605</v>
      </c>
      <c r="M330" s="363">
        <f t="shared" si="118"/>
        <v>1.5029026845191071</v>
      </c>
      <c r="N330" s="366">
        <f t="shared" si="119"/>
        <v>0.84279482265435046</v>
      </c>
      <c r="O330" s="367">
        <f t="shared" si="120"/>
        <v>1.0513688316361272</v>
      </c>
      <c r="P330" s="368">
        <f t="shared" si="121"/>
        <v>0.41354033007938368</v>
      </c>
      <c r="Q330" s="369">
        <f t="shared" si="122"/>
        <v>-16.510999738116233</v>
      </c>
      <c r="R330" s="370">
        <f t="shared" si="123"/>
        <v>-174.04563971968201</v>
      </c>
      <c r="S330" s="372">
        <f t="shared" si="124"/>
        <v>5.9543602803179851</v>
      </c>
      <c r="U330" s="345">
        <f t="shared" si="130"/>
        <v>24127.75</v>
      </c>
      <c r="V330" s="345">
        <f t="shared" si="131"/>
        <v>582148320.0625</v>
      </c>
      <c r="X330" s="371">
        <f t="shared" si="125"/>
        <v>14.160327159934614</v>
      </c>
      <c r="Y330" s="372">
        <f t="shared" si="126"/>
        <v>-50.183482488437349</v>
      </c>
      <c r="AA330" s="371">
        <f t="shared" si="127"/>
        <v>29.889247573954027</v>
      </c>
      <c r="AB330" s="372">
        <f t="shared" si="128"/>
        <v>-123.86215723124467</v>
      </c>
      <c r="AD330">
        <f t="shared" si="132"/>
        <v>0</v>
      </c>
      <c r="AE330">
        <f t="shared" si="135"/>
        <v>0</v>
      </c>
    </row>
    <row r="331" spans="1:31" x14ac:dyDescent="0.2">
      <c r="A331" s="373">
        <v>24267.5</v>
      </c>
      <c r="B331" s="390">
        <f t="shared" si="129"/>
        <v>24.267499999999998</v>
      </c>
      <c r="C331" s="363">
        <f t="shared" si="110"/>
        <v>34.179902741900001</v>
      </c>
      <c r="D331" s="364">
        <f t="shared" si="111"/>
        <v>1.5415351927262544</v>
      </c>
      <c r="E331" s="364">
        <f t="shared" si="112"/>
        <v>1.0445796002224743</v>
      </c>
      <c r="F331" s="365">
        <f t="shared" si="113"/>
        <v>0.29320344996010406</v>
      </c>
      <c r="G331" s="364">
        <f t="shared" si="114"/>
        <v>1.1400765658484286</v>
      </c>
      <c r="H331" s="365">
        <f t="shared" si="115"/>
        <v>-0.50093467515835388</v>
      </c>
      <c r="I331" s="363">
        <f t="shared" si="116"/>
        <v>100665.34327704001</v>
      </c>
      <c r="J331" s="366">
        <f t="shared" si="117"/>
        <v>1.5707863928894683</v>
      </c>
      <c r="K331" s="374">
        <f t="shared" si="133"/>
        <v>30.408202737804739</v>
      </c>
      <c r="L331" s="375">
        <f t="shared" si="134"/>
        <v>1.5379045329895025</v>
      </c>
      <c r="M331" s="363">
        <f t="shared" si="118"/>
        <v>1.5077598929414657</v>
      </c>
      <c r="N331" s="366">
        <f t="shared" si="119"/>
        <v>0.84566254103307703</v>
      </c>
      <c r="O331" s="367">
        <f t="shared" si="120"/>
        <v>1.0519586341846516</v>
      </c>
      <c r="P331" s="368">
        <f t="shared" si="121"/>
        <v>0.4158358530542639</v>
      </c>
      <c r="Q331" s="369">
        <f t="shared" si="122"/>
        <v>-16.57838658439541</v>
      </c>
      <c r="R331" s="370">
        <f t="shared" si="123"/>
        <v>-174.3881088288534</v>
      </c>
      <c r="S331" s="372">
        <f t="shared" si="124"/>
        <v>5.6118911711465955</v>
      </c>
      <c r="U331" s="345">
        <f t="shared" si="130"/>
        <v>24267.5</v>
      </c>
      <c r="V331" s="345">
        <f t="shared" si="131"/>
        <v>588911556.25</v>
      </c>
      <c r="X331" s="371">
        <f t="shared" si="125"/>
        <v>14.132246063825512</v>
      </c>
      <c r="Y331" s="372">
        <f t="shared" si="126"/>
        <v>-50.336886345830898</v>
      </c>
      <c r="AA331" s="371">
        <f t="shared" si="127"/>
        <v>29.849941823783951</v>
      </c>
      <c r="AB331" s="372">
        <f t="shared" si="128"/>
        <v>-124.05122248302249</v>
      </c>
      <c r="AD331">
        <f t="shared" si="132"/>
        <v>0</v>
      </c>
      <c r="AE331">
        <f t="shared" si="135"/>
        <v>0</v>
      </c>
    </row>
    <row r="332" spans="1:31" x14ac:dyDescent="0.2">
      <c r="A332" s="373">
        <v>24407.25</v>
      </c>
      <c r="B332" s="390">
        <f t="shared" si="129"/>
        <v>24.407250000000001</v>
      </c>
      <c r="C332" s="363">
        <f t="shared" si="110"/>
        <v>34.376567599985513</v>
      </c>
      <c r="D332" s="364">
        <f t="shared" si="111"/>
        <v>1.5417026400912655</v>
      </c>
      <c r="E332" s="364">
        <f t="shared" si="112"/>
        <v>1.0450834132654245</v>
      </c>
      <c r="F332" s="365">
        <f t="shared" si="113"/>
        <v>0.29479604208206656</v>
      </c>
      <c r="G332" s="364">
        <f t="shared" si="114"/>
        <v>1.1415941308497384</v>
      </c>
      <c r="H332" s="365">
        <f t="shared" si="115"/>
        <v>-0.50335725921949115</v>
      </c>
      <c r="I332" s="363">
        <f t="shared" si="116"/>
        <v>101245.04789109511</v>
      </c>
      <c r="J332" s="366">
        <f t="shared" si="117"/>
        <v>1.5707864497686039</v>
      </c>
      <c r="K332" s="374">
        <f t="shared" si="133"/>
        <v>30.58312655263007</v>
      </c>
      <c r="L332" s="375">
        <f t="shared" si="134"/>
        <v>1.5380927287914712</v>
      </c>
      <c r="M332" s="363">
        <f t="shared" si="118"/>
        <v>1.5126294212011651</v>
      </c>
      <c r="N332" s="366">
        <f t="shared" si="119"/>
        <v>0.84851181892870498</v>
      </c>
      <c r="O332" s="367">
        <f t="shared" si="120"/>
        <v>1.0525516892352438</v>
      </c>
      <c r="P332" s="368">
        <f t="shared" si="121"/>
        <v>0.4181297557252785</v>
      </c>
      <c r="Q332" s="369">
        <f t="shared" si="122"/>
        <v>-16.645434061317712</v>
      </c>
      <c r="R332" s="370">
        <f t="shared" si="123"/>
        <v>-174.72916086519527</v>
      </c>
      <c r="S332" s="372">
        <f t="shared" si="124"/>
        <v>5.2708391348047314</v>
      </c>
      <c r="U332" s="345">
        <f t="shared" si="130"/>
        <v>24407.25</v>
      </c>
      <c r="V332" s="345">
        <f t="shared" si="131"/>
        <v>595713852.5625</v>
      </c>
      <c r="X332" s="371">
        <f t="shared" si="125"/>
        <v>14.104185299518834</v>
      </c>
      <c r="Y332" s="372">
        <f t="shared" si="126"/>
        <v>-50.489358377844034</v>
      </c>
      <c r="AA332" s="371">
        <f t="shared" si="127"/>
        <v>29.810955111168326</v>
      </c>
      <c r="AB332" s="372">
        <f t="shared" si="128"/>
        <v>-124.23980248735121</v>
      </c>
      <c r="AD332">
        <f t="shared" si="132"/>
        <v>0</v>
      </c>
      <c r="AE332">
        <f t="shared" si="135"/>
        <v>0</v>
      </c>
    </row>
    <row r="333" spans="1:31" x14ac:dyDescent="0.2">
      <c r="A333" s="373">
        <v>24547</v>
      </c>
      <c r="B333" s="390">
        <f t="shared" si="129"/>
        <v>24.547000000000001</v>
      </c>
      <c r="C333" s="363">
        <f t="shared" ref="C333:C396" si="136">SQRT(1+(A333/pole1)^2)</f>
        <v>34.573233410976833</v>
      </c>
      <c r="D333" s="364">
        <f t="shared" ref="D333:D396" si="137">ATAN(A333/pole1)</f>
        <v>1.5418681824512126</v>
      </c>
      <c r="E333" s="364">
        <f t="shared" ref="E333:E396" si="138">SQRT(1+(A333/Zero1)^2)</f>
        <v>1.0455898744469683</v>
      </c>
      <c r="F333" s="365">
        <f t="shared" ref="F333:F396" si="139">ATAN(A333/Zero1)</f>
        <v>0.2963870954017046</v>
      </c>
      <c r="G333" s="364">
        <f t="shared" ref="G333:G396" si="140">IF(VIN_nom&gt;Vout, 1, SQRT(1+(A333/z_RHP)^2))</f>
        <v>1.143118377956226</v>
      </c>
      <c r="H333" s="365">
        <f t="shared" ref="H333:H396" si="141">IF(VIN_nom&gt;Vout, 0, -ATAN(A333/z_RHP))</f>
        <v>-0.50577339682676137</v>
      </c>
      <c r="I333" s="363">
        <f t="shared" ref="I333:I396" si="142">SQRT(1+(A333/Pole2)^2)</f>
        <v>101824.75250515054</v>
      </c>
      <c r="J333" s="366">
        <f t="shared" ref="J333:J396" si="143">ATAN(A333/Pole2)</f>
        <v>1.5707865060000956</v>
      </c>
      <c r="K333" s="374">
        <f t="shared" si="133"/>
        <v>30.758051438317842</v>
      </c>
      <c r="L333" s="375">
        <f t="shared" si="134"/>
        <v>1.5382787840138374</v>
      </c>
      <c r="M333" s="363">
        <f t="shared" ref="M333:M396" si="144">SQRT(1+(A333/pole4)^2)</f>
        <v>1.5175111506991543</v>
      </c>
      <c r="N333" s="366">
        <f t="shared" ref="N333:N396" si="145">ATAN(A333/pole4)</f>
        <v>0.85134278782038586</v>
      </c>
      <c r="O333" s="367">
        <f t="shared" ref="O333:O396" si="146">SQRT((1-(V333/pterm2))^2+(A333/pterm1)^2)</f>
        <v>1.0531479943933355</v>
      </c>
      <c r="P333" s="368">
        <f t="shared" ref="P333:P396" si="147">IF((ATAN((A333/pterm1)/(1-A333^2/pterm2))&gt;0),ATAN((A333/pterm1)/(1-A333^2/pterm2)),PI()+ATAN((A333/pterm1)/(1-A333^2/pterm2)))</f>
        <v>0.42042203164459607</v>
      </c>
      <c r="Q333" s="369">
        <f t="shared" ref="Q333:Q396" si="148">20*LOG10(((E333*K333*G333)/(C333*I333*O333*M333))*Adc)</f>
        <v>-16.712145046412729</v>
      </c>
      <c r="R333" s="370">
        <f t="shared" ref="R333:R396" si="149">((F333+L333+H333)-(D333+J333+P333+N333))*radconv</f>
        <v>-175.06880293947458</v>
      </c>
      <c r="S333" s="372">
        <f t="shared" ref="S333:S396" si="150">IF(R333&gt;0,R333,R333+180)</f>
        <v>4.9311970605254203</v>
      </c>
      <c r="U333" s="345">
        <f t="shared" si="130"/>
        <v>24547</v>
      </c>
      <c r="V333" s="345">
        <f t="shared" si="131"/>
        <v>602555209</v>
      </c>
      <c r="X333" s="371">
        <f t="shared" ref="X333:X396" si="151">20*LOG10((K333/(I333*M333))*AEA)</f>
        <v>14.076145627709105</v>
      </c>
      <c r="Y333" s="372">
        <f t="shared" ref="Y333:Y396" si="152">(L333-(J333+N333))*radconv</f>
        <v>-50.640903990272562</v>
      </c>
      <c r="AA333" s="371">
        <f t="shared" ref="AA333:AA396" si="153">20*LOG10((E333*G333/(C333*O333))*Acs*Am)</f>
        <v>29.772283797883038</v>
      </c>
      <c r="AB333" s="372">
        <f t="shared" ref="AB333:AB396" si="154">(F333+H333-(D333+P333))*radconv</f>
        <v>-124.42789894920202</v>
      </c>
      <c r="AD333">
        <f t="shared" si="132"/>
        <v>0</v>
      </c>
      <c r="AE333">
        <f t="shared" si="135"/>
        <v>0</v>
      </c>
    </row>
    <row r="334" spans="1:31" x14ac:dyDescent="0.2">
      <c r="A334" s="373">
        <v>24690</v>
      </c>
      <c r="B334" s="390">
        <f t="shared" ref="B334:B397" si="155">A334/1000</f>
        <v>24.69</v>
      </c>
      <c r="C334" s="363">
        <f t="shared" si="136"/>
        <v>34.77447381501851</v>
      </c>
      <c r="D334" s="364">
        <f t="shared" si="137"/>
        <v>1.5420356363668739</v>
      </c>
      <c r="E334" s="364">
        <f t="shared" si="138"/>
        <v>1.0461108510147639</v>
      </c>
      <c r="F334" s="365">
        <f t="shared" si="139"/>
        <v>0.29801355099846177</v>
      </c>
      <c r="G334" s="364">
        <f t="shared" si="140"/>
        <v>1.1446849618319659</v>
      </c>
      <c r="H334" s="365">
        <f t="shared" si="141"/>
        <v>-0.50823904810534393</v>
      </c>
      <c r="I334" s="363">
        <f t="shared" si="142"/>
        <v>102417.93862185873</v>
      </c>
      <c r="J334" s="366">
        <f t="shared" si="143"/>
        <v>1.570786562880357</v>
      </c>
      <c r="K334" s="374">
        <f t="shared" si="133"/>
        <v>30.937045434161679</v>
      </c>
      <c r="L334" s="375">
        <f t="shared" si="134"/>
        <v>1.5384669881364292</v>
      </c>
      <c r="M334" s="363">
        <f t="shared" si="144"/>
        <v>1.5225189165186721</v>
      </c>
      <c r="N334" s="366">
        <f t="shared" si="145"/>
        <v>0.85422077717739875</v>
      </c>
      <c r="O334" s="367">
        <f t="shared" si="146"/>
        <v>1.0537615289702915</v>
      </c>
      <c r="P334" s="368">
        <f t="shared" si="147"/>
        <v>0.42276592568476457</v>
      </c>
      <c r="Q334" s="369">
        <f t="shared" si="148"/>
        <v>-16.780062088392825</v>
      </c>
      <c r="R334" s="370">
        <f t="shared" si="149"/>
        <v>-175.4148915501099</v>
      </c>
      <c r="S334" s="372">
        <f t="shared" si="150"/>
        <v>4.5851084498901002</v>
      </c>
      <c r="U334" s="345">
        <f t="shared" ref="U334:U397" si="156">IF(Q334&lt;0,A334,1000000000)</f>
        <v>24690</v>
      </c>
      <c r="V334" s="345">
        <f t="shared" ref="V334:V397" si="157">A334^2</f>
        <v>609596100</v>
      </c>
      <c r="X334" s="371">
        <f t="shared" si="151"/>
        <v>14.047476480626699</v>
      </c>
      <c r="Y334" s="372">
        <f t="shared" si="152"/>
        <v>-50.795020591176495</v>
      </c>
      <c r="AA334" s="371">
        <f t="shared" si="153"/>
        <v>29.733035902985346</v>
      </c>
      <c r="AB334" s="372">
        <f t="shared" si="154"/>
        <v>-124.61987095893342</v>
      </c>
      <c r="AD334">
        <f t="shared" ref="AD334:AD397" si="158">SUM((Q335&lt;0)*(Q334&gt;0))*A334</f>
        <v>0</v>
      </c>
      <c r="AE334">
        <f t="shared" si="135"/>
        <v>0</v>
      </c>
    </row>
    <row r="335" spans="1:31" x14ac:dyDescent="0.2">
      <c r="A335" s="373">
        <v>24833</v>
      </c>
      <c r="B335" s="390">
        <f t="shared" si="155"/>
        <v>24.832999999999998</v>
      </c>
      <c r="C335" s="363">
        <f t="shared" si="136"/>
        <v>34.975715182943766</v>
      </c>
      <c r="D335" s="364">
        <f t="shared" si="137"/>
        <v>1.5422011633126658</v>
      </c>
      <c r="E335" s="364">
        <f t="shared" si="138"/>
        <v>1.0466345921608398</v>
      </c>
      <c r="F335" s="365">
        <f t="shared" si="139"/>
        <v>0.29963838311699492</v>
      </c>
      <c r="G335" s="364">
        <f t="shared" si="140"/>
        <v>1.1462584857005458</v>
      </c>
      <c r="H335" s="365">
        <f t="shared" si="141"/>
        <v>-0.51069794486354858</v>
      </c>
      <c r="I335" s="363">
        <f t="shared" si="142"/>
        <v>103011.12473856726</v>
      </c>
      <c r="J335" s="366">
        <f t="shared" si="143"/>
        <v>1.5707866191055324</v>
      </c>
      <c r="K335" s="374">
        <f t="shared" si="133"/>
        <v>31.116040513212859</v>
      </c>
      <c r="L335" s="375">
        <f t="shared" si="134"/>
        <v>1.5386530269764396</v>
      </c>
      <c r="M335" s="363">
        <f t="shared" si="144"/>
        <v>1.5275392103475594</v>
      </c>
      <c r="N335" s="366">
        <f t="shared" si="145"/>
        <v>0.85707987292589149</v>
      </c>
      <c r="O335" s="367">
        <f t="shared" si="146"/>
        <v>1.0543784614855725</v>
      </c>
      <c r="P335" s="368">
        <f t="shared" si="147"/>
        <v>0.42510810290418943</v>
      </c>
      <c r="Q335" s="369">
        <f t="shared" si="148"/>
        <v>-16.847632773664454</v>
      </c>
      <c r="R335" s="370">
        <f t="shared" si="149"/>
        <v>-175.75951889985188</v>
      </c>
      <c r="S335" s="372">
        <f t="shared" si="150"/>
        <v>4.2404811001481164</v>
      </c>
      <c r="U335" s="345">
        <f t="shared" si="156"/>
        <v>24833</v>
      </c>
      <c r="V335" s="345">
        <f t="shared" si="157"/>
        <v>616677889</v>
      </c>
      <c r="X335" s="371">
        <f t="shared" si="151"/>
        <v>14.018830977068221</v>
      </c>
      <c r="Y335" s="372">
        <f t="shared" si="152"/>
        <v>-50.948178692071096</v>
      </c>
      <c r="AA335" s="371">
        <f t="shared" si="153"/>
        <v>29.694110721272196</v>
      </c>
      <c r="AB335" s="372">
        <f t="shared" si="154"/>
        <v>-124.81134020778077</v>
      </c>
      <c r="AD335">
        <f t="shared" si="158"/>
        <v>0</v>
      </c>
      <c r="AE335">
        <f t="shared" si="135"/>
        <v>0</v>
      </c>
    </row>
    <row r="336" spans="1:31" x14ac:dyDescent="0.2">
      <c r="A336" s="373">
        <v>24976</v>
      </c>
      <c r="B336" s="390">
        <f t="shared" si="155"/>
        <v>24.975999999999999</v>
      </c>
      <c r="C336" s="363">
        <f t="shared" si="136"/>
        <v>35.176957498209966</v>
      </c>
      <c r="D336" s="364">
        <f t="shared" si="137"/>
        <v>1.5423647963511913</v>
      </c>
      <c r="E336" s="364">
        <f t="shared" si="138"/>
        <v>1.047161093737057</v>
      </c>
      <c r="F336" s="365">
        <f t="shared" si="139"/>
        <v>0.3012615856203551</v>
      </c>
      <c r="G336" s="364">
        <f t="shared" si="140"/>
        <v>1.1478389210207378</v>
      </c>
      <c r="H336" s="365">
        <f t="shared" si="141"/>
        <v>-0.51315008520720029</v>
      </c>
      <c r="I336" s="363">
        <f t="shared" si="142"/>
        <v>103604.31085527611</v>
      </c>
      <c r="J336" s="366">
        <f t="shared" si="143"/>
        <v>1.5707866746868737</v>
      </c>
      <c r="K336" s="374">
        <f t="shared" si="133"/>
        <v>31.29503665688485</v>
      </c>
      <c r="L336" s="375">
        <f t="shared" si="134"/>
        <v>1.5388369376747486</v>
      </c>
      <c r="M336" s="363">
        <f t="shared" si="144"/>
        <v>1.532571909070642</v>
      </c>
      <c r="N336" s="366">
        <f t="shared" si="145"/>
        <v>0.85992021422270493</v>
      </c>
      <c r="O336" s="367">
        <f t="shared" si="146"/>
        <v>1.0549987893515831</v>
      </c>
      <c r="P336" s="368">
        <f t="shared" si="147"/>
        <v>0.42744855652966013</v>
      </c>
      <c r="Q336" s="369">
        <f t="shared" si="148"/>
        <v>-16.91486005750194</v>
      </c>
      <c r="R336" s="370">
        <f t="shared" si="149"/>
        <v>-176.10269258379333</v>
      </c>
      <c r="S336" s="372">
        <f t="shared" si="150"/>
        <v>3.8973074162066723</v>
      </c>
      <c r="U336" s="345">
        <f t="shared" si="156"/>
        <v>24976</v>
      </c>
      <c r="V336" s="345">
        <f t="shared" si="157"/>
        <v>623800576</v>
      </c>
      <c r="X336" s="371">
        <f t="shared" si="151"/>
        <v>13.990209878923451</v>
      </c>
      <c r="Y336" s="372">
        <f t="shared" si="152"/>
        <v>-51.100384138685001</v>
      </c>
      <c r="AA336" s="371">
        <f t="shared" si="153"/>
        <v>29.655504535579475</v>
      </c>
      <c r="AB336" s="372">
        <f t="shared" si="154"/>
        <v>-125.00230844510837</v>
      </c>
      <c r="AD336">
        <f t="shared" si="158"/>
        <v>0</v>
      </c>
      <c r="AE336">
        <f t="shared" si="135"/>
        <v>0</v>
      </c>
    </row>
    <row r="337" spans="1:31" x14ac:dyDescent="0.2">
      <c r="A337" s="373">
        <v>25119</v>
      </c>
      <c r="B337" s="390">
        <f t="shared" si="155"/>
        <v>25.119</v>
      </c>
      <c r="C337" s="363">
        <f t="shared" si="136"/>
        <v>35.378200744650776</v>
      </c>
      <c r="D337" s="364">
        <f t="shared" si="137"/>
        <v>1.5425265677931796</v>
      </c>
      <c r="E337" s="364">
        <f t="shared" si="138"/>
        <v>1.0476903515817728</v>
      </c>
      <c r="F337" s="365">
        <f t="shared" si="139"/>
        <v>0.30288315241824632</v>
      </c>
      <c r="G337" s="364">
        <f t="shared" si="140"/>
        <v>1.1494262392832686</v>
      </c>
      <c r="H337" s="365">
        <f t="shared" si="141"/>
        <v>-0.51559546757752717</v>
      </c>
      <c r="I337" s="363">
        <f t="shared" si="142"/>
        <v>104197.49697198528</v>
      </c>
      <c r="J337" s="366">
        <f t="shared" si="143"/>
        <v>1.5707867296353768</v>
      </c>
      <c r="K337" s="374">
        <f t="shared" si="133"/>
        <v>31.474033847013821</v>
      </c>
      <c r="L337" s="375">
        <f t="shared" si="134"/>
        <v>1.5390187565279174</v>
      </c>
      <c r="M337" s="363">
        <f t="shared" si="144"/>
        <v>1.5376168908823657</v>
      </c>
      <c r="N337" s="366">
        <f t="shared" si="145"/>
        <v>0.86274193961552459</v>
      </c>
      <c r="O337" s="367">
        <f t="shared" si="146"/>
        <v>1.0556225099735008</v>
      </c>
      <c r="P337" s="368">
        <f t="shared" si="147"/>
        <v>0.42978727983355813</v>
      </c>
      <c r="Q337" s="369">
        <f t="shared" si="148"/>
        <v>-16.981746854195151</v>
      </c>
      <c r="R337" s="370">
        <f t="shared" si="149"/>
        <v>-176.44442018656378</v>
      </c>
      <c r="S337" s="372">
        <f t="shared" si="150"/>
        <v>3.5555798134362249</v>
      </c>
      <c r="U337" s="345">
        <f t="shared" si="156"/>
        <v>25119</v>
      </c>
      <c r="V337" s="345">
        <f t="shared" si="157"/>
        <v>630964161</v>
      </c>
      <c r="X337" s="371">
        <f t="shared" si="151"/>
        <v>13.961613930723718</v>
      </c>
      <c r="Y337" s="372">
        <f t="shared" si="152"/>
        <v>-51.251642790206134</v>
      </c>
      <c r="AA337" s="371">
        <f t="shared" si="153"/>
        <v>29.617213687086004</v>
      </c>
      <c r="AB337" s="372">
        <f t="shared" si="154"/>
        <v>-125.19277739635764</v>
      </c>
      <c r="AD337">
        <f t="shared" si="158"/>
        <v>0</v>
      </c>
      <c r="AE337">
        <f t="shared" si="135"/>
        <v>0</v>
      </c>
    </row>
    <row r="338" spans="1:31" x14ac:dyDescent="0.2">
      <c r="A338" s="373">
        <v>25265.25</v>
      </c>
      <c r="B338" s="390">
        <f t="shared" si="155"/>
        <v>25.265250000000002</v>
      </c>
      <c r="C338" s="363">
        <f t="shared" si="136"/>
        <v>35.584018647932609</v>
      </c>
      <c r="D338" s="364">
        <f t="shared" si="137"/>
        <v>1.5426901232260941</v>
      </c>
      <c r="E338" s="364">
        <f t="shared" si="138"/>
        <v>1.0482344846067093</v>
      </c>
      <c r="F338" s="365">
        <f t="shared" si="139"/>
        <v>0.30453987481810474</v>
      </c>
      <c r="G338" s="364">
        <f t="shared" si="140"/>
        <v>1.1510567226496966</v>
      </c>
      <c r="H338" s="365">
        <f t="shared" si="141"/>
        <v>-0.51808943543907671</v>
      </c>
      <c r="I338" s="363">
        <f t="shared" si="142"/>
        <v>104804.16459134725</v>
      </c>
      <c r="J338" s="366">
        <f t="shared" si="143"/>
        <v>1.5707867851893325</v>
      </c>
      <c r="K338" s="374">
        <f t="shared" si="133"/>
        <v>31.657100219002569</v>
      </c>
      <c r="L338" s="375">
        <f t="shared" si="134"/>
        <v>1.5392025808973664</v>
      </c>
      <c r="M338" s="363">
        <f t="shared" si="144"/>
        <v>1.5427891107906639</v>
      </c>
      <c r="N338" s="366">
        <f t="shared" si="145"/>
        <v>0.8656086835239104</v>
      </c>
      <c r="O338" s="367">
        <f t="shared" si="146"/>
        <v>1.0562639126466176</v>
      </c>
      <c r="P338" s="368">
        <f t="shared" si="147"/>
        <v>0.43217735921952244</v>
      </c>
      <c r="Q338" s="369">
        <f t="shared" si="148"/>
        <v>-17.049804618078241</v>
      </c>
      <c r="R338" s="370">
        <f t="shared" si="149"/>
        <v>-176.79242646523372</v>
      </c>
      <c r="S338" s="372">
        <f t="shared" si="150"/>
        <v>3.2075735347662828</v>
      </c>
      <c r="U338" s="345">
        <f t="shared" si="156"/>
        <v>25265.25</v>
      </c>
      <c r="V338" s="345">
        <f t="shared" si="157"/>
        <v>638332857.5625</v>
      </c>
      <c r="X338" s="371">
        <f t="shared" si="151"/>
        <v>13.932394846470848</v>
      </c>
      <c r="Y338" s="372">
        <f t="shared" si="152"/>
        <v>-51.405365939743255</v>
      </c>
      <c r="AA338" s="371">
        <f t="shared" si="153"/>
        <v>29.578375007455779</v>
      </c>
      <c r="AB338" s="372">
        <f t="shared" si="154"/>
        <v>-125.38706052549043</v>
      </c>
      <c r="AD338">
        <f t="shared" si="158"/>
        <v>0</v>
      </c>
      <c r="AE338">
        <f t="shared" si="135"/>
        <v>0</v>
      </c>
    </row>
    <row r="339" spans="1:31" x14ac:dyDescent="0.2">
      <c r="A339" s="373">
        <v>25411.5</v>
      </c>
      <c r="B339" s="390">
        <f t="shared" si="155"/>
        <v>25.4115</v>
      </c>
      <c r="C339" s="363">
        <f t="shared" si="136"/>
        <v>35.789837492152337</v>
      </c>
      <c r="D339" s="364">
        <f t="shared" si="137"/>
        <v>1.5428517975264928</v>
      </c>
      <c r="E339" s="364">
        <f t="shared" si="138"/>
        <v>1.0487814917613087</v>
      </c>
      <c r="F339" s="365">
        <f t="shared" si="139"/>
        <v>0.30619487358149322</v>
      </c>
      <c r="G339" s="364">
        <f t="shared" si="140"/>
        <v>1.1526943451659308</v>
      </c>
      <c r="H339" s="365">
        <f t="shared" si="141"/>
        <v>-0.52057633241674417</v>
      </c>
      <c r="I339" s="363">
        <f t="shared" si="142"/>
        <v>105410.83221070953</v>
      </c>
      <c r="J339" s="366">
        <f t="shared" si="143"/>
        <v>1.5707868401038323</v>
      </c>
      <c r="K339" s="374">
        <f t="shared" si="133"/>
        <v>31.840167648427986</v>
      </c>
      <c r="L339" s="375">
        <f t="shared" si="134"/>
        <v>1.5393842914489273</v>
      </c>
      <c r="M339" s="363">
        <f t="shared" si="144"/>
        <v>1.5479739248915774</v>
      </c>
      <c r="N339" s="366">
        <f t="shared" si="145"/>
        <v>0.86845624684779221</v>
      </c>
      <c r="O339" s="367">
        <f t="shared" si="146"/>
        <v>1.0569088585316864</v>
      </c>
      <c r="P339" s="368">
        <f t="shared" si="147"/>
        <v>0.43456561465155258</v>
      </c>
      <c r="Q339" s="369">
        <f t="shared" si="148"/>
        <v>-17.117512281065515</v>
      </c>
      <c r="R339" s="370">
        <f t="shared" si="149"/>
        <v>-177.13893619304173</v>
      </c>
      <c r="S339" s="372">
        <f t="shared" si="150"/>
        <v>2.8610638069582706</v>
      </c>
      <c r="U339" s="345">
        <f t="shared" si="156"/>
        <v>25411.5</v>
      </c>
      <c r="V339" s="345">
        <f t="shared" si="157"/>
        <v>645744332.25</v>
      </c>
      <c r="X339" s="371">
        <f t="shared" si="151"/>
        <v>13.903203589153783</v>
      </c>
      <c r="Y339" s="372">
        <f t="shared" si="152"/>
        <v>-51.558111198944097</v>
      </c>
      <c r="AA339" s="371">
        <f t="shared" si="153"/>
        <v>29.539858601785571</v>
      </c>
      <c r="AB339" s="372">
        <f t="shared" si="154"/>
        <v>-125.5808249940976</v>
      </c>
      <c r="AD339">
        <f t="shared" si="158"/>
        <v>0</v>
      </c>
      <c r="AE339">
        <f t="shared" si="135"/>
        <v>0</v>
      </c>
    </row>
    <row r="340" spans="1:31" x14ac:dyDescent="0.2">
      <c r="A340" s="373">
        <v>25557.75</v>
      </c>
      <c r="B340" s="390">
        <f t="shared" si="155"/>
        <v>25.557749999999999</v>
      </c>
      <c r="C340" s="363">
        <f t="shared" si="136"/>
        <v>35.995657261169463</v>
      </c>
      <c r="D340" s="364">
        <f t="shared" si="137"/>
        <v>1.5430116229542652</v>
      </c>
      <c r="E340" s="364">
        <f t="shared" si="138"/>
        <v>1.0493313685507959</v>
      </c>
      <c r="F340" s="365">
        <f t="shared" si="139"/>
        <v>0.30784814234492147</v>
      </c>
      <c r="G340" s="364">
        <f t="shared" si="140"/>
        <v>1.154339076447747</v>
      </c>
      <c r="H340" s="365">
        <f t="shared" si="141"/>
        <v>-0.52305615790851723</v>
      </c>
      <c r="I340" s="363">
        <f t="shared" si="142"/>
        <v>106017.49983007213</v>
      </c>
      <c r="J340" s="366">
        <f t="shared" si="143"/>
        <v>1.570786894389854</v>
      </c>
      <c r="K340" s="374">
        <f t="shared" si="133"/>
        <v>32.023236117154916</v>
      </c>
      <c r="L340" s="375">
        <f t="shared" si="134"/>
        <v>1.5395639244229296</v>
      </c>
      <c r="M340" s="363">
        <f t="shared" si="144"/>
        <v>1.5531712070588723</v>
      </c>
      <c r="N340" s="366">
        <f t="shared" si="145"/>
        <v>0.87128477572425989</v>
      </c>
      <c r="O340" s="367">
        <f t="shared" si="146"/>
        <v>1.0575573448301427</v>
      </c>
      <c r="P340" s="368">
        <f t="shared" si="147"/>
        <v>0.43695203908099378</v>
      </c>
      <c r="Q340" s="369">
        <f t="shared" si="148"/>
        <v>-17.184872834016538</v>
      </c>
      <c r="R340" s="370">
        <f t="shared" si="149"/>
        <v>-177.48395744184307</v>
      </c>
      <c r="S340" s="372">
        <f t="shared" si="150"/>
        <v>2.5160425581569257</v>
      </c>
      <c r="U340" s="345">
        <f t="shared" si="156"/>
        <v>25557.75</v>
      </c>
      <c r="V340" s="345">
        <f t="shared" si="157"/>
        <v>653198585.0625</v>
      </c>
      <c r="X340" s="371">
        <f t="shared" si="151"/>
        <v>13.874040900682216</v>
      </c>
      <c r="Y340" s="372">
        <f t="shared" si="152"/>
        <v>-51.709884865058221</v>
      </c>
      <c r="AA340" s="371">
        <f t="shared" si="153"/>
        <v>29.501660737306118</v>
      </c>
      <c r="AB340" s="372">
        <f t="shared" si="154"/>
        <v>-125.77407257678483</v>
      </c>
      <c r="AD340">
        <f t="shared" si="158"/>
        <v>0</v>
      </c>
      <c r="AE340">
        <f t="shared" si="135"/>
        <v>0</v>
      </c>
    </row>
    <row r="341" spans="1:31" x14ac:dyDescent="0.2">
      <c r="A341" s="373">
        <v>25704</v>
      </c>
      <c r="B341" s="390">
        <f t="shared" si="155"/>
        <v>25.704000000000001</v>
      </c>
      <c r="C341" s="363">
        <f t="shared" si="136"/>
        <v>36.201477939210456</v>
      </c>
      <c r="D341" s="364">
        <f t="shared" si="137"/>
        <v>1.5431696310360385</v>
      </c>
      <c r="E341" s="364">
        <f t="shared" si="138"/>
        <v>1.0498841104662571</v>
      </c>
      <c r="F341" s="365">
        <f t="shared" si="139"/>
        <v>0.30949967479602447</v>
      </c>
      <c r="G341" s="364">
        <f t="shared" si="140"/>
        <v>1.1559908861523225</v>
      </c>
      <c r="H341" s="365">
        <f t="shared" si="141"/>
        <v>-0.52552891166369065</v>
      </c>
      <c r="I341" s="363">
        <f t="shared" si="142"/>
        <v>106624.16744943506</v>
      </c>
      <c r="J341" s="366">
        <f t="shared" si="143"/>
        <v>1.5707869480581249</v>
      </c>
      <c r="K341" s="374">
        <f t="shared" si="133"/>
        <v>32.206305607460429</v>
      </c>
      <c r="L341" s="375">
        <f t="shared" si="134"/>
        <v>1.5397415152362453</v>
      </c>
      <c r="M341" s="363">
        <f t="shared" si="144"/>
        <v>1.5583808325475794</v>
      </c>
      <c r="N341" s="366">
        <f t="shared" si="145"/>
        <v>0.87409441556158951</v>
      </c>
      <c r="O341" s="367">
        <f t="shared" si="146"/>
        <v>1.0582093687359784</v>
      </c>
      <c r="P341" s="368">
        <f t="shared" si="147"/>
        <v>0.43933662550919117</v>
      </c>
      <c r="Q341" s="369">
        <f t="shared" si="148"/>
        <v>-17.251889227114717</v>
      </c>
      <c r="R341" s="370">
        <f t="shared" si="149"/>
        <v>-177.82749826695252</v>
      </c>
      <c r="S341" s="372">
        <f t="shared" si="150"/>
        <v>2.1725017330474827</v>
      </c>
      <c r="U341" s="345">
        <f t="shared" si="156"/>
        <v>25704</v>
      </c>
      <c r="V341" s="345">
        <f t="shared" si="157"/>
        <v>660695616</v>
      </c>
      <c r="X341" s="371">
        <f t="shared" si="151"/>
        <v>13.844907505176966</v>
      </c>
      <c r="Y341" s="372">
        <f t="shared" si="152"/>
        <v>-51.860693240743494</v>
      </c>
      <c r="AA341" s="371">
        <f t="shared" si="153"/>
        <v>29.463777739713191</v>
      </c>
      <c r="AB341" s="372">
        <f t="shared" si="154"/>
        <v>-125.96680502620899</v>
      </c>
      <c r="AD341">
        <f t="shared" si="158"/>
        <v>0</v>
      </c>
      <c r="AE341">
        <f t="shared" si="135"/>
        <v>0</v>
      </c>
    </row>
    <row r="342" spans="1:31" x14ac:dyDescent="0.2">
      <c r="A342" s="373">
        <v>25853.75</v>
      </c>
      <c r="B342" s="390">
        <f t="shared" si="155"/>
        <v>25.853750000000002</v>
      </c>
      <c r="C342" s="363">
        <f t="shared" si="136"/>
        <v>36.412225166131492</v>
      </c>
      <c r="D342" s="364">
        <f t="shared" si="137"/>
        <v>1.5433295695827252</v>
      </c>
      <c r="E342" s="364">
        <f t="shared" si="138"/>
        <v>1.0504530444664619</v>
      </c>
      <c r="F342" s="365">
        <f t="shared" si="139"/>
        <v>0.31118892542274379</v>
      </c>
      <c r="G342" s="364">
        <f t="shared" si="140"/>
        <v>1.1576895292461282</v>
      </c>
      <c r="H342" s="365">
        <f t="shared" si="141"/>
        <v>-0.52805351491601449</v>
      </c>
      <c r="I342" s="363">
        <f t="shared" si="142"/>
        <v>107245.35361011638</v>
      </c>
      <c r="J342" s="366">
        <f t="shared" si="143"/>
        <v>1.5707870023816111</v>
      </c>
      <c r="K342" s="374">
        <f t="shared" si="133"/>
        <v>32.393757288414605</v>
      </c>
      <c r="L342" s="375">
        <f t="shared" si="134"/>
        <v>1.5399212761827805</v>
      </c>
      <c r="M342" s="363">
        <f t="shared" si="144"/>
        <v>1.5637277939316241</v>
      </c>
      <c r="N342" s="366">
        <f t="shared" si="145"/>
        <v>0.87695187321784807</v>
      </c>
      <c r="O342" s="367">
        <f t="shared" si="146"/>
        <v>1.058880659305738</v>
      </c>
      <c r="P342" s="368">
        <f t="shared" si="147"/>
        <v>0.44177636719872809</v>
      </c>
      <c r="Q342" s="369">
        <f t="shared" si="148"/>
        <v>-17.320155858065061</v>
      </c>
      <c r="R342" s="370">
        <f t="shared" si="149"/>
        <v>-178.17773498561391</v>
      </c>
      <c r="S342" s="372">
        <f t="shared" si="150"/>
        <v>1.8222650143860903</v>
      </c>
      <c r="U342" s="345">
        <f t="shared" si="156"/>
        <v>25853.75</v>
      </c>
      <c r="V342" s="345">
        <f t="shared" si="157"/>
        <v>668416389.0625</v>
      </c>
      <c r="X342" s="371">
        <f t="shared" si="151"/>
        <v>13.815107991034436</v>
      </c>
      <c r="Y342" s="372">
        <f t="shared" si="152"/>
        <v>-52.014117073708483</v>
      </c>
      <c r="AA342" s="371">
        <f t="shared" si="153"/>
        <v>29.425310622905375</v>
      </c>
      <c r="AB342" s="372">
        <f t="shared" si="154"/>
        <v>-126.16361791190538</v>
      </c>
      <c r="AD342">
        <f t="shared" si="158"/>
        <v>0</v>
      </c>
      <c r="AE342">
        <f t="shared" si="135"/>
        <v>0</v>
      </c>
    </row>
    <row r="343" spans="1:31" x14ac:dyDescent="0.2">
      <c r="A343" s="373">
        <v>26003.5</v>
      </c>
      <c r="B343" s="390">
        <f t="shared" si="155"/>
        <v>26.003499999999999</v>
      </c>
      <c r="C343" s="363">
        <f t="shared" si="136"/>
        <v>36.622973313769641</v>
      </c>
      <c r="D343" s="364">
        <f t="shared" si="137"/>
        <v>1.5434876673897857</v>
      </c>
      <c r="E343" s="364">
        <f t="shared" si="138"/>
        <v>1.0510249727553207</v>
      </c>
      <c r="F343" s="365">
        <f t="shared" si="139"/>
        <v>0.31287634240686002</v>
      </c>
      <c r="G343" s="364">
        <f t="shared" si="140"/>
        <v>1.15939552936636</v>
      </c>
      <c r="H343" s="365">
        <f t="shared" si="141"/>
        <v>-0.53057070448483312</v>
      </c>
      <c r="I343" s="363">
        <f t="shared" si="142"/>
        <v>107866.53977079799</v>
      </c>
      <c r="J343" s="366">
        <f t="shared" si="143"/>
        <v>1.5707870560794168</v>
      </c>
      <c r="K343" s="374">
        <f t="shared" ref="K343:K406" si="159">SQRT(1+(A343/Zero2)^2)</f>
        <v>32.581210004095638</v>
      </c>
      <c r="L343" s="375">
        <f t="shared" ref="L343:L406" si="160">ATAN(A343/Zero2)</f>
        <v>1.5400989686619413</v>
      </c>
      <c r="M343" s="363">
        <f t="shared" si="144"/>
        <v>1.5690874361747007</v>
      </c>
      <c r="N343" s="366">
        <f t="shared" si="145"/>
        <v>0.8797898330767131</v>
      </c>
      <c r="O343" s="367">
        <f t="shared" si="146"/>
        <v>1.0595556528526675</v>
      </c>
      <c r="P343" s="368">
        <f t="shared" si="147"/>
        <v>0.44421416717148415</v>
      </c>
      <c r="Q343" s="369">
        <f t="shared" si="148"/>
        <v>-17.38806779307982</v>
      </c>
      <c r="R343" s="370">
        <f t="shared" si="149"/>
        <v>-178.52643660979336</v>
      </c>
      <c r="S343" s="372">
        <f t="shared" si="150"/>
        <v>1.4735633902066354</v>
      </c>
      <c r="U343" s="345">
        <f t="shared" si="156"/>
        <v>26003.5</v>
      </c>
      <c r="V343" s="345">
        <f t="shared" si="157"/>
        <v>676182012.25</v>
      </c>
      <c r="X343" s="371">
        <f t="shared" si="151"/>
        <v>13.785340669380444</v>
      </c>
      <c r="Y343" s="372">
        <f t="shared" si="152"/>
        <v>-52.166542243773691</v>
      </c>
      <c r="AA343" s="371">
        <f t="shared" si="153"/>
        <v>29.387166009544607</v>
      </c>
      <c r="AB343" s="372">
        <f t="shared" si="154"/>
        <v>-126.35989436601963</v>
      </c>
      <c r="AD343">
        <f t="shared" si="158"/>
        <v>0</v>
      </c>
      <c r="AE343">
        <f t="shared" si="135"/>
        <v>0</v>
      </c>
    </row>
    <row r="344" spans="1:31" x14ac:dyDescent="0.2">
      <c r="A344" s="373">
        <v>26153.25</v>
      </c>
      <c r="B344" s="390">
        <f t="shared" si="155"/>
        <v>26.15325</v>
      </c>
      <c r="C344" s="363">
        <f t="shared" si="136"/>
        <v>36.833722366320949</v>
      </c>
      <c r="D344" s="364">
        <f t="shared" si="137"/>
        <v>1.5436439560453594</v>
      </c>
      <c r="E344" s="364">
        <f t="shared" si="138"/>
        <v>1.0515998904473676</v>
      </c>
      <c r="F344" s="365">
        <f t="shared" si="139"/>
        <v>0.31456191913857823</v>
      </c>
      <c r="G344" s="364">
        <f t="shared" si="140"/>
        <v>1.1611088540843073</v>
      </c>
      <c r="H344" s="365">
        <f t="shared" si="141"/>
        <v>-0.53308048121989071</v>
      </c>
      <c r="I344" s="363">
        <f t="shared" si="142"/>
        <v>108487.72593147992</v>
      </c>
      <c r="J344" s="366">
        <f t="shared" si="143"/>
        <v>1.5707871091622896</v>
      </c>
      <c r="K344" s="374">
        <f t="shared" si="159"/>
        <v>32.768663736746106</v>
      </c>
      <c r="L344" s="375">
        <f t="shared" si="160"/>
        <v>1.5402746281605242</v>
      </c>
      <c r="M344" s="363">
        <f t="shared" si="144"/>
        <v>1.5744596297754925</v>
      </c>
      <c r="N344" s="366">
        <f t="shared" si="145"/>
        <v>0.88260844877476707</v>
      </c>
      <c r="O344" s="367">
        <f t="shared" si="146"/>
        <v>1.060234346340948</v>
      </c>
      <c r="P344" s="368">
        <f t="shared" si="147"/>
        <v>0.44665001807730687</v>
      </c>
      <c r="Q344" s="369">
        <f t="shared" si="148"/>
        <v>-17.455628072900549</v>
      </c>
      <c r="R344" s="370">
        <f t="shared" si="149"/>
        <v>-178.87361172572514</v>
      </c>
      <c r="S344" s="372">
        <f t="shared" si="150"/>
        <v>1.1263882742748592</v>
      </c>
      <c r="U344" s="345">
        <f t="shared" si="156"/>
        <v>26153.25</v>
      </c>
      <c r="V344" s="345">
        <f t="shared" si="157"/>
        <v>683992485.5625</v>
      </c>
      <c r="X344" s="371">
        <f t="shared" si="151"/>
        <v>13.755606261545605</v>
      </c>
      <c r="Y344" s="372">
        <f t="shared" si="152"/>
        <v>-52.317975521038925</v>
      </c>
      <c r="AA344" s="371">
        <f t="shared" si="153"/>
        <v>29.349340137558716</v>
      </c>
      <c r="AB344" s="372">
        <f t="shared" si="154"/>
        <v>-126.55563620468624</v>
      </c>
      <c r="AD344">
        <f t="shared" si="158"/>
        <v>0</v>
      </c>
      <c r="AE344">
        <f t="shared" si="135"/>
        <v>0</v>
      </c>
    </row>
    <row r="345" spans="1:31" x14ac:dyDescent="0.2">
      <c r="A345" s="373">
        <v>26303</v>
      </c>
      <c r="B345" s="390">
        <f t="shared" si="155"/>
        <v>26.303000000000001</v>
      </c>
      <c r="C345" s="363">
        <f t="shared" si="136"/>
        <v>37.044472308341049</v>
      </c>
      <c r="D345" s="364">
        <f t="shared" si="137"/>
        <v>1.5437984664191113</v>
      </c>
      <c r="E345" s="364">
        <f t="shared" si="138"/>
        <v>1.052177792642307</v>
      </c>
      <c r="F345" s="365">
        <f t="shared" si="139"/>
        <v>0.31624564906434011</v>
      </c>
      <c r="G345" s="364">
        <f t="shared" si="140"/>
        <v>1.1628294710235607</v>
      </c>
      <c r="H345" s="365">
        <f t="shared" si="141"/>
        <v>-0.53558284633947839</v>
      </c>
      <c r="I345" s="363">
        <f t="shared" si="142"/>
        <v>109108.91209216218</v>
      </c>
      <c r="J345" s="366">
        <f t="shared" si="143"/>
        <v>1.5707871616407325</v>
      </c>
      <c r="K345" s="374">
        <f t="shared" si="159"/>
        <v>32.956118469012502</v>
      </c>
      <c r="L345" s="375">
        <f t="shared" si="160"/>
        <v>1.5404482893584366</v>
      </c>
      <c r="M345" s="363">
        <f t="shared" si="144"/>
        <v>1.5798442466929201</v>
      </c>
      <c r="N345" s="366">
        <f t="shared" si="145"/>
        <v>0.88540787309080693</v>
      </c>
      <c r="O345" s="367">
        <f t="shared" si="146"/>
        <v>1.0609167367270946</v>
      </c>
      <c r="P345" s="368">
        <f t="shared" si="147"/>
        <v>0.44908391262108543</v>
      </c>
      <c r="Q345" s="369">
        <f t="shared" si="148"/>
        <v>-17.522839697635803</v>
      </c>
      <c r="R345" s="370">
        <f t="shared" si="149"/>
        <v>-179.21926889659571</v>
      </c>
      <c r="S345" s="372">
        <f t="shared" si="150"/>
        <v>0.78073110340429253</v>
      </c>
      <c r="U345" s="345">
        <f t="shared" si="156"/>
        <v>26303</v>
      </c>
      <c r="V345" s="345">
        <f t="shared" si="157"/>
        <v>691847809</v>
      </c>
      <c r="X345" s="371">
        <f t="shared" si="151"/>
        <v>13.725905470609263</v>
      </c>
      <c r="Y345" s="372">
        <f t="shared" si="152"/>
        <v>-52.468423672673957</v>
      </c>
      <c r="AA345" s="371">
        <f t="shared" si="153"/>
        <v>29.311829303759808</v>
      </c>
      <c r="AB345" s="372">
        <f t="shared" si="154"/>
        <v>-126.75084522392179</v>
      </c>
      <c r="AD345">
        <f t="shared" si="158"/>
        <v>0</v>
      </c>
      <c r="AE345">
        <f t="shared" si="135"/>
        <v>0</v>
      </c>
    </row>
    <row r="346" spans="1:31" x14ac:dyDescent="0.2">
      <c r="A346" s="373">
        <v>26456</v>
      </c>
      <c r="B346" s="390">
        <f t="shared" si="155"/>
        <v>26.456</v>
      </c>
      <c r="C346" s="363">
        <f t="shared" si="136"/>
        <v>37.259797025158171</v>
      </c>
      <c r="D346" s="364">
        <f t="shared" si="137"/>
        <v>1.5439545248976085</v>
      </c>
      <c r="E346" s="364">
        <f t="shared" si="138"/>
        <v>1.052771314206127</v>
      </c>
      <c r="F346" s="365">
        <f t="shared" si="139"/>
        <v>0.31796400658714213</v>
      </c>
      <c r="G346" s="364">
        <f t="shared" si="140"/>
        <v>1.1645949279416452</v>
      </c>
      <c r="H346" s="365">
        <f t="shared" si="141"/>
        <v>-0.53813186689157211</v>
      </c>
      <c r="I346" s="363">
        <f t="shared" si="142"/>
        <v>109743.57975549724</v>
      </c>
      <c r="J346" s="366">
        <f t="shared" si="143"/>
        <v>1.5707872146445345</v>
      </c>
      <c r="K346" s="374">
        <f t="shared" si="159"/>
        <v>33.147642515728897</v>
      </c>
      <c r="L346" s="375">
        <f t="shared" si="160"/>
        <v>1.5406236909289073</v>
      </c>
      <c r="M346" s="363">
        <f t="shared" si="144"/>
        <v>1.5853584240692939</v>
      </c>
      <c r="N346" s="366">
        <f t="shared" si="145"/>
        <v>0.88824839021627433</v>
      </c>
      <c r="O346" s="367">
        <f t="shared" si="146"/>
        <v>1.0616177518656638</v>
      </c>
      <c r="P346" s="368">
        <f t="shared" si="147"/>
        <v>0.45156860154207756</v>
      </c>
      <c r="Q346" s="369">
        <f t="shared" si="148"/>
        <v>-17.591152997367367</v>
      </c>
      <c r="R346" s="370">
        <f t="shared" si="149"/>
        <v>-179.57086897363445</v>
      </c>
      <c r="S346" s="372">
        <f t="shared" si="150"/>
        <v>0.42913102636555323</v>
      </c>
      <c r="U346" s="345">
        <f t="shared" si="156"/>
        <v>26456</v>
      </c>
      <c r="V346" s="345">
        <f t="shared" si="157"/>
        <v>699919936</v>
      </c>
      <c r="X346" s="371">
        <f t="shared" si="151"/>
        <v>13.695595520039772</v>
      </c>
      <c r="Y346" s="372">
        <f t="shared" si="152"/>
        <v>-52.62112658295856</v>
      </c>
      <c r="AA346" s="371">
        <f t="shared" si="153"/>
        <v>29.273825954597733</v>
      </c>
      <c r="AB346" s="372">
        <f t="shared" si="154"/>
        <v>-126.94974239067591</v>
      </c>
      <c r="AD346">
        <f t="shared" si="158"/>
        <v>0</v>
      </c>
      <c r="AE346">
        <f t="shared" ref="AE346:AE409" si="161">IF(AD346&gt;0,S346,0)</f>
        <v>0</v>
      </c>
    </row>
    <row r="347" spans="1:31" x14ac:dyDescent="0.2">
      <c r="A347" s="373">
        <v>26609</v>
      </c>
      <c r="B347" s="390">
        <f t="shared" si="155"/>
        <v>26.609000000000002</v>
      </c>
      <c r="C347" s="363">
        <f t="shared" si="136"/>
        <v>37.475122638981759</v>
      </c>
      <c r="D347" s="364">
        <f t="shared" si="137"/>
        <v>1.5441087900094357</v>
      </c>
      <c r="E347" s="364">
        <f t="shared" si="138"/>
        <v>1.0533679408347467</v>
      </c>
      <c r="F347" s="365">
        <f t="shared" si="139"/>
        <v>0.31968042262109692</v>
      </c>
      <c r="G347" s="364">
        <f t="shared" si="140"/>
        <v>1.1663679288861104</v>
      </c>
      <c r="H347" s="365">
        <f t="shared" si="141"/>
        <v>-0.54067315435958718</v>
      </c>
      <c r="I347" s="363">
        <f t="shared" si="142"/>
        <v>110378.24741883263</v>
      </c>
      <c r="J347" s="366">
        <f t="shared" si="143"/>
        <v>1.5707872670387997</v>
      </c>
      <c r="K347" s="374">
        <f t="shared" si="159"/>
        <v>33.339167570539011</v>
      </c>
      <c r="L347" s="375">
        <f t="shared" si="160"/>
        <v>1.5407970772296653</v>
      </c>
      <c r="M347" s="363">
        <f t="shared" si="144"/>
        <v>1.5908853042361026</v>
      </c>
      <c r="N347" s="366">
        <f t="shared" si="145"/>
        <v>0.89106919354061187</v>
      </c>
      <c r="O347" s="367">
        <f t="shared" si="146"/>
        <v>1.0623226196628339</v>
      </c>
      <c r="P347" s="368">
        <f t="shared" si="147"/>
        <v>0.45405123304243056</v>
      </c>
      <c r="Q347" s="369">
        <f t="shared" si="148"/>
        <v>-17.659108549942534</v>
      </c>
      <c r="R347" s="370">
        <f t="shared" si="149"/>
        <v>-179.92090249676971</v>
      </c>
      <c r="S347" s="372">
        <f t="shared" si="150"/>
        <v>7.9097503230286748E-2</v>
      </c>
      <c r="U347" s="345">
        <f t="shared" si="156"/>
        <v>26609</v>
      </c>
      <c r="V347" s="345">
        <f t="shared" si="157"/>
        <v>708038881</v>
      </c>
      <c r="X347" s="371">
        <f t="shared" si="151"/>
        <v>13.665322088259174</v>
      </c>
      <c r="Y347" s="372">
        <f t="shared" si="152"/>
        <v>-52.772815407164359</v>
      </c>
      <c r="AA347" s="371">
        <f t="shared" si="153"/>
        <v>29.236143833803165</v>
      </c>
      <c r="AB347" s="372">
        <f t="shared" si="154"/>
        <v>-127.14808708960535</v>
      </c>
      <c r="AD347">
        <f t="shared" si="158"/>
        <v>0</v>
      </c>
      <c r="AE347">
        <f t="shared" si="161"/>
        <v>0</v>
      </c>
    </row>
    <row r="348" spans="1:31" x14ac:dyDescent="0.2">
      <c r="A348" s="373">
        <v>26762</v>
      </c>
      <c r="B348" s="390">
        <f t="shared" si="155"/>
        <v>26.762</v>
      </c>
      <c r="C348" s="363">
        <f t="shared" si="136"/>
        <v>37.690449134438012</v>
      </c>
      <c r="D348" s="364">
        <f t="shared" si="137"/>
        <v>1.544261292483835</v>
      </c>
      <c r="E348" s="364">
        <f t="shared" si="138"/>
        <v>1.0539676672550511</v>
      </c>
      <c r="F348" s="365">
        <f t="shared" si="139"/>
        <v>0.32139489035850299</v>
      </c>
      <c r="G348" s="364">
        <f t="shared" si="140"/>
        <v>1.1681484395062733</v>
      </c>
      <c r="H348" s="365">
        <f t="shared" si="141"/>
        <v>-0.54320671120583131</v>
      </c>
      <c r="I348" s="363">
        <f t="shared" si="142"/>
        <v>111012.91508216831</v>
      </c>
      <c r="J348" s="366">
        <f t="shared" si="143"/>
        <v>1.5707873188339825</v>
      </c>
      <c r="K348" s="374">
        <f t="shared" si="159"/>
        <v>33.530693616168364</v>
      </c>
      <c r="L348" s="375">
        <f t="shared" si="160"/>
        <v>1.540968482783627</v>
      </c>
      <c r="M348" s="363">
        <f t="shared" si="144"/>
        <v>1.5964247552607937</v>
      </c>
      <c r="N348" s="366">
        <f t="shared" si="145"/>
        <v>0.89387044315554576</v>
      </c>
      <c r="O348" s="367">
        <f t="shared" si="146"/>
        <v>1.063031336848693</v>
      </c>
      <c r="P348" s="368">
        <f t="shared" si="147"/>
        <v>0.45653179951976214</v>
      </c>
      <c r="Q348" s="369">
        <f t="shared" si="148"/>
        <v>-17.726709429686988</v>
      </c>
      <c r="R348" s="370">
        <f t="shared" si="149"/>
        <v>-180.26937851736724</v>
      </c>
      <c r="S348" s="372">
        <f t="shared" si="150"/>
        <v>-0.26937851736724383</v>
      </c>
      <c r="U348" s="345">
        <f t="shared" si="156"/>
        <v>26762</v>
      </c>
      <c r="V348" s="345">
        <f t="shared" si="157"/>
        <v>716204644</v>
      </c>
      <c r="X348" s="371">
        <f t="shared" si="151"/>
        <v>13.635085868172542</v>
      </c>
      <c r="Y348" s="372">
        <f t="shared" si="152"/>
        <v>-52.923497340453167</v>
      </c>
      <c r="AA348" s="371">
        <f t="shared" si="153"/>
        <v>29.198779174145344</v>
      </c>
      <c r="AB348" s="372">
        <f t="shared" si="154"/>
        <v>-127.34588117691403</v>
      </c>
      <c r="AD348">
        <f t="shared" si="158"/>
        <v>0</v>
      </c>
      <c r="AE348">
        <f t="shared" si="161"/>
        <v>0</v>
      </c>
    </row>
    <row r="349" spans="1:31" x14ac:dyDescent="0.2">
      <c r="A349" s="373">
        <v>26915</v>
      </c>
      <c r="B349" s="390">
        <f t="shared" si="155"/>
        <v>26.914999999999999</v>
      </c>
      <c r="C349" s="363">
        <f t="shared" si="136"/>
        <v>37.905776496502412</v>
      </c>
      <c r="D349" s="364">
        <f t="shared" si="137"/>
        <v>1.5444120623521398</v>
      </c>
      <c r="E349" s="364">
        <f t="shared" si="138"/>
        <v>1.0545704881785543</v>
      </c>
      <c r="F349" s="365">
        <f t="shared" si="139"/>
        <v>0.32310740305291913</v>
      </c>
      <c r="G349" s="364">
        <f t="shared" si="140"/>
        <v>1.1699364255155087</v>
      </c>
      <c r="H349" s="365">
        <f t="shared" si="141"/>
        <v>-0.5457325402746297</v>
      </c>
      <c r="I349" s="363">
        <f t="shared" si="142"/>
        <v>111647.58274550429</v>
      </c>
      <c r="J349" s="366">
        <f t="shared" si="143"/>
        <v>1.5707873700402994</v>
      </c>
      <c r="K349" s="374">
        <f t="shared" si="159"/>
        <v>33.722220635734807</v>
      </c>
      <c r="L349" s="375">
        <f t="shared" si="160"/>
        <v>1.5411379413298818</v>
      </c>
      <c r="M349" s="363">
        <f t="shared" si="144"/>
        <v>1.60197664673763</v>
      </c>
      <c r="N349" s="366">
        <f t="shared" si="145"/>
        <v>0.89665229816856673</v>
      </c>
      <c r="O349" s="367">
        <f t="shared" si="146"/>
        <v>1.0637439001455502</v>
      </c>
      <c r="P349" s="368">
        <f t="shared" si="147"/>
        <v>0.45901029343169769</v>
      </c>
      <c r="Q349" s="369">
        <f t="shared" si="148"/>
        <v>-17.793958670608919</v>
      </c>
      <c r="R349" s="370">
        <f t="shared" si="149"/>
        <v>-180.61630605712543</v>
      </c>
      <c r="S349" s="372">
        <f t="shared" si="150"/>
        <v>-0.61630605712542774</v>
      </c>
      <c r="U349" s="345">
        <f t="shared" si="156"/>
        <v>26915</v>
      </c>
      <c r="V349" s="345">
        <f t="shared" si="157"/>
        <v>724417225</v>
      </c>
      <c r="X349" s="371">
        <f t="shared" si="151"/>
        <v>13.604887534186801</v>
      </c>
      <c r="Y349" s="372">
        <f t="shared" si="152"/>
        <v>-53.073179566490637</v>
      </c>
      <c r="AA349" s="371">
        <f t="shared" si="153"/>
        <v>29.161728267209153</v>
      </c>
      <c r="AB349" s="372">
        <f t="shared" si="154"/>
        <v>-127.54312649063482</v>
      </c>
      <c r="AD349">
        <f t="shared" si="158"/>
        <v>0</v>
      </c>
      <c r="AE349">
        <f t="shared" si="161"/>
        <v>0</v>
      </c>
    </row>
    <row r="350" spans="1:31" x14ac:dyDescent="0.2">
      <c r="A350" s="373">
        <v>27071.75</v>
      </c>
      <c r="B350" s="390">
        <f t="shared" si="155"/>
        <v>27.071750000000002</v>
      </c>
      <c r="C350" s="363">
        <f t="shared" si="136"/>
        <v>38.12638237336725</v>
      </c>
      <c r="D350" s="364">
        <f t="shared" si="137"/>
        <v>1.5445647614206426</v>
      </c>
      <c r="E350" s="364">
        <f t="shared" si="138"/>
        <v>1.0551912877806022</v>
      </c>
      <c r="F350" s="365">
        <f t="shared" si="139"/>
        <v>0.3248598546016585</v>
      </c>
      <c r="G350" s="364">
        <f t="shared" si="140"/>
        <v>1.1717759513973711</v>
      </c>
      <c r="H350" s="365">
        <f t="shared" si="141"/>
        <v>-0.54831226608107597</v>
      </c>
      <c r="I350" s="363">
        <f t="shared" si="142"/>
        <v>112297.8059888243</v>
      </c>
      <c r="J350" s="366">
        <f t="shared" si="143"/>
        <v>1.5707874219014197</v>
      </c>
      <c r="K350" s="374">
        <f t="shared" si="159"/>
        <v>33.918442937782778</v>
      </c>
      <c r="L350" s="375">
        <f t="shared" si="160"/>
        <v>1.5413095685725176</v>
      </c>
      <c r="M350" s="363">
        <f t="shared" si="144"/>
        <v>1.6076773807892548</v>
      </c>
      <c r="N350" s="366">
        <f t="shared" si="145"/>
        <v>0.89948238774468825</v>
      </c>
      <c r="O350" s="367">
        <f t="shared" si="146"/>
        <v>1.0644779134614908</v>
      </c>
      <c r="P350" s="368">
        <f t="shared" si="147"/>
        <v>0.46154737753554148</v>
      </c>
      <c r="Q350" s="369">
        <f t="shared" si="148"/>
        <v>-17.862494635627364</v>
      </c>
      <c r="R350" s="370">
        <f t="shared" si="149"/>
        <v>-180.97014024770345</v>
      </c>
      <c r="S350" s="372">
        <f t="shared" si="150"/>
        <v>-0.97014024770345486</v>
      </c>
      <c r="U350" s="345">
        <f t="shared" si="156"/>
        <v>27071.75</v>
      </c>
      <c r="V350" s="345">
        <f t="shared" si="157"/>
        <v>732879648.0625</v>
      </c>
      <c r="X350" s="371">
        <f t="shared" si="151"/>
        <v>13.573989021327428</v>
      </c>
      <c r="Y350" s="372">
        <f t="shared" si="152"/>
        <v>-53.22550120979124</v>
      </c>
      <c r="AA350" s="371">
        <f t="shared" si="153"/>
        <v>29.124090815050078</v>
      </c>
      <c r="AB350" s="372">
        <f t="shared" si="154"/>
        <v>-127.74463903791228</v>
      </c>
      <c r="AD350">
        <f t="shared" si="158"/>
        <v>0</v>
      </c>
      <c r="AE350">
        <f t="shared" si="161"/>
        <v>0</v>
      </c>
    </row>
    <row r="351" spans="1:31" x14ac:dyDescent="0.2">
      <c r="A351" s="373">
        <v>27228.5</v>
      </c>
      <c r="B351" s="390">
        <f t="shared" si="155"/>
        <v>27.2285</v>
      </c>
      <c r="C351" s="363">
        <f t="shared" si="136"/>
        <v>38.34698912899659</v>
      </c>
      <c r="D351" s="364">
        <f t="shared" si="137"/>
        <v>1.5447157035648071</v>
      </c>
      <c r="E351" s="364">
        <f t="shared" si="138"/>
        <v>1.0558153241496895</v>
      </c>
      <c r="F351" s="365">
        <f t="shared" si="139"/>
        <v>0.3266102399586075</v>
      </c>
      <c r="G351" s="364">
        <f t="shared" si="140"/>
        <v>1.1736232509551749</v>
      </c>
      <c r="H351" s="365">
        <f t="shared" si="141"/>
        <v>-0.55088388790720133</v>
      </c>
      <c r="I351" s="363">
        <f t="shared" si="142"/>
        <v>112948.0292321446</v>
      </c>
      <c r="J351" s="366">
        <f t="shared" si="143"/>
        <v>1.5707874731654281</v>
      </c>
      <c r="K351" s="374">
        <f t="shared" si="159"/>
        <v>34.114666227436032</v>
      </c>
      <c r="L351" s="375">
        <f t="shared" si="160"/>
        <v>1.5414792214632722</v>
      </c>
      <c r="M351" s="363">
        <f t="shared" si="144"/>
        <v>1.6133909003278368</v>
      </c>
      <c r="N351" s="366">
        <f t="shared" si="145"/>
        <v>0.90229245523848045</v>
      </c>
      <c r="O351" s="367">
        <f t="shared" si="146"/>
        <v>1.0652159567443682</v>
      </c>
      <c r="P351" s="368">
        <f t="shared" si="147"/>
        <v>0.46408227039838312</v>
      </c>
      <c r="Q351" s="369">
        <f t="shared" si="148"/>
        <v>-17.930667834749471</v>
      </c>
      <c r="R351" s="370">
        <f t="shared" si="149"/>
        <v>-181.32236819227205</v>
      </c>
      <c r="S351" s="372">
        <f t="shared" si="150"/>
        <v>-1.3223681922720516</v>
      </c>
      <c r="U351" s="345">
        <f t="shared" si="156"/>
        <v>27228.5</v>
      </c>
      <c r="V351" s="345">
        <f t="shared" si="157"/>
        <v>741391212.25</v>
      </c>
      <c r="X351" s="371">
        <f t="shared" si="151"/>
        <v>13.543131649527423</v>
      </c>
      <c r="Y351" s="372">
        <f t="shared" si="152"/>
        <v>-53.376788760094193</v>
      </c>
      <c r="AA351" s="371">
        <f t="shared" si="153"/>
        <v>29.086774987727981</v>
      </c>
      <c r="AB351" s="372">
        <f t="shared" si="154"/>
        <v>-127.94557943217784</v>
      </c>
      <c r="AD351">
        <f t="shared" si="158"/>
        <v>0</v>
      </c>
      <c r="AE351">
        <f t="shared" si="161"/>
        <v>0</v>
      </c>
    </row>
    <row r="352" spans="1:31" x14ac:dyDescent="0.2">
      <c r="A352" s="373">
        <v>27385.25</v>
      </c>
      <c r="B352" s="390">
        <f t="shared" si="155"/>
        <v>27.385249999999999</v>
      </c>
      <c r="C352" s="363">
        <f t="shared" si="136"/>
        <v>38.567596748310827</v>
      </c>
      <c r="D352" s="364">
        <f t="shared" si="137"/>
        <v>1.5448649189266492</v>
      </c>
      <c r="E352" s="364">
        <f t="shared" si="138"/>
        <v>1.0564425915499807</v>
      </c>
      <c r="F352" s="365">
        <f t="shared" si="139"/>
        <v>0.3283585520689406</v>
      </c>
      <c r="G352" s="364">
        <f t="shared" si="140"/>
        <v>1.1754782875392229</v>
      </c>
      <c r="H352" s="365">
        <f t="shared" si="141"/>
        <v>-0.55344741002666253</v>
      </c>
      <c r="I352" s="363">
        <f t="shared" si="142"/>
        <v>113598.2524754652</v>
      </c>
      <c r="J352" s="366">
        <f t="shared" si="143"/>
        <v>1.5707875238425781</v>
      </c>
      <c r="K352" s="374">
        <f t="shared" si="159"/>
        <v>34.310890487750271</v>
      </c>
      <c r="L352" s="375">
        <f t="shared" si="160"/>
        <v>1.5416469338662981</v>
      </c>
      <c r="M352" s="363">
        <f t="shared" si="144"/>
        <v>1.6191170700015944</v>
      </c>
      <c r="N352" s="366">
        <f t="shared" si="145"/>
        <v>0.90508266846533281</v>
      </c>
      <c r="O352" s="367">
        <f t="shared" si="146"/>
        <v>1.0659580264450794</v>
      </c>
      <c r="P352" s="368">
        <f t="shared" si="147"/>
        <v>0.4666149641054908</v>
      </c>
      <c r="Q352" s="369">
        <f t="shared" si="148"/>
        <v>-17.998481404840227</v>
      </c>
      <c r="R352" s="370">
        <f t="shared" si="149"/>
        <v>-181.6729994888629</v>
      </c>
      <c r="S352" s="372">
        <f t="shared" si="150"/>
        <v>-1.6729994888628994</v>
      </c>
      <c r="U352" s="345">
        <f t="shared" si="156"/>
        <v>27385.25</v>
      </c>
      <c r="V352" s="345">
        <f t="shared" si="157"/>
        <v>749951917.5625</v>
      </c>
      <c r="X352" s="371">
        <f t="shared" si="151"/>
        <v>13.512316085830282</v>
      </c>
      <c r="Y352" s="372">
        <f t="shared" si="152"/>
        <v>-53.527049892827542</v>
      </c>
      <c r="AA352" s="371">
        <f t="shared" si="153"/>
        <v>29.049776981334361</v>
      </c>
      <c r="AB352" s="372">
        <f t="shared" si="154"/>
        <v>-128.14594959603531</v>
      </c>
      <c r="AD352">
        <f t="shared" si="158"/>
        <v>0</v>
      </c>
      <c r="AE352">
        <f t="shared" si="161"/>
        <v>0</v>
      </c>
    </row>
    <row r="353" spans="1:31" x14ac:dyDescent="0.2">
      <c r="A353" s="373">
        <v>27542</v>
      </c>
      <c r="B353" s="390">
        <f t="shared" si="155"/>
        <v>27.542000000000002</v>
      </c>
      <c r="C353" s="363">
        <f t="shared" si="136"/>
        <v>38.78820521657336</v>
      </c>
      <c r="D353" s="364">
        <f t="shared" si="137"/>
        <v>1.5450124369627636</v>
      </c>
      <c r="E353" s="364">
        <f t="shared" si="138"/>
        <v>1.0570730842295919</v>
      </c>
      <c r="F353" s="365">
        <f t="shared" si="139"/>
        <v>0.33010478394523041</v>
      </c>
      <c r="G353" s="364">
        <f t="shared" si="140"/>
        <v>1.177341024577784</v>
      </c>
      <c r="H353" s="365">
        <f t="shared" si="141"/>
        <v>-0.55600283711206289</v>
      </c>
      <c r="I353" s="363">
        <f t="shared" si="142"/>
        <v>114248.47571878608</v>
      </c>
      <c r="J353" s="366">
        <f t="shared" si="143"/>
        <v>1.5707875739428894</v>
      </c>
      <c r="K353" s="374">
        <f t="shared" si="159"/>
        <v>34.507115702166551</v>
      </c>
      <c r="L353" s="375">
        <f t="shared" si="160"/>
        <v>1.5418127388759144</v>
      </c>
      <c r="M353" s="363">
        <f t="shared" si="144"/>
        <v>1.6248557560691472</v>
      </c>
      <c r="N353" s="366">
        <f t="shared" si="145"/>
        <v>0.907853194114286</v>
      </c>
      <c r="O353" s="367">
        <f t="shared" si="146"/>
        <v>1.066704119006594</v>
      </c>
      <c r="P353" s="368">
        <f t="shared" si="147"/>
        <v>0.46914545080821091</v>
      </c>
      <c r="Q353" s="369">
        <f t="shared" si="148"/>
        <v>-18.065938442234184</v>
      </c>
      <c r="R353" s="370">
        <f t="shared" si="149"/>
        <v>-182.02204369857822</v>
      </c>
      <c r="S353" s="372">
        <f t="shared" si="150"/>
        <v>-2.0220436985782158</v>
      </c>
      <c r="U353" s="345">
        <f t="shared" si="156"/>
        <v>27542</v>
      </c>
      <c r="V353" s="345">
        <f t="shared" si="157"/>
        <v>758561764</v>
      </c>
      <c r="X353" s="371">
        <f t="shared" si="151"/>
        <v>13.481542978391268</v>
      </c>
      <c r="Y353" s="372">
        <f t="shared" si="152"/>
        <v>-53.676292262979096</v>
      </c>
      <c r="AA353" s="371">
        <f t="shared" si="153"/>
        <v>29.013093051379421</v>
      </c>
      <c r="AB353" s="372">
        <f t="shared" si="154"/>
        <v>-128.34575143559914</v>
      </c>
      <c r="AD353">
        <f t="shared" si="158"/>
        <v>0</v>
      </c>
      <c r="AE353">
        <f t="shared" si="161"/>
        <v>0</v>
      </c>
    </row>
    <row r="354" spans="1:31" x14ac:dyDescent="0.2">
      <c r="A354" s="373">
        <v>27702.5</v>
      </c>
      <c r="B354" s="390">
        <f t="shared" si="155"/>
        <v>27.702500000000001</v>
      </c>
      <c r="C354" s="363">
        <f t="shared" si="136"/>
        <v>39.014092264002258</v>
      </c>
      <c r="D354" s="364">
        <f t="shared" si="137"/>
        <v>1.5451617554839994</v>
      </c>
      <c r="E354" s="364">
        <f t="shared" si="138"/>
        <v>1.0577219963840134</v>
      </c>
      <c r="F354" s="365">
        <f t="shared" si="139"/>
        <v>0.33189062899771599</v>
      </c>
      <c r="G354" s="364">
        <f t="shared" si="140"/>
        <v>1.179256265580638</v>
      </c>
      <c r="H354" s="365">
        <f t="shared" si="141"/>
        <v>-0.55861101626806875</v>
      </c>
      <c r="I354" s="363">
        <f t="shared" si="142"/>
        <v>114914.254542091</v>
      </c>
      <c r="J354" s="366">
        <f t="shared" si="143"/>
        <v>1.5707876246542962</v>
      </c>
      <c r="K354" s="374">
        <f t="shared" si="159"/>
        <v>34.708036271414649</v>
      </c>
      <c r="L354" s="375">
        <f t="shared" si="160"/>
        <v>1.5419805679051284</v>
      </c>
      <c r="M354" s="363">
        <f t="shared" si="144"/>
        <v>1.6307445623944981</v>
      </c>
      <c r="N354" s="366">
        <f t="shared" si="145"/>
        <v>0.91066977348052081</v>
      </c>
      <c r="O354" s="367">
        <f t="shared" si="146"/>
        <v>1.0674722253222493</v>
      </c>
      <c r="P354" s="368">
        <f t="shared" si="147"/>
        <v>0.47173418050765253</v>
      </c>
      <c r="Q354" s="369">
        <f t="shared" si="148"/>
        <v>-18.13464304767637</v>
      </c>
      <c r="R354" s="370">
        <f t="shared" si="149"/>
        <v>-182.37780370045897</v>
      </c>
      <c r="S354" s="372">
        <f t="shared" si="150"/>
        <v>-2.3778037004589692</v>
      </c>
      <c r="U354" s="345">
        <f t="shared" si="156"/>
        <v>27702.5</v>
      </c>
      <c r="V354" s="345">
        <f t="shared" si="157"/>
        <v>767428506.25</v>
      </c>
      <c r="X354" s="371">
        <f t="shared" si="151"/>
        <v>13.450078321662524</v>
      </c>
      <c r="Y354" s="372">
        <f t="shared" si="152"/>
        <v>-53.828057383997226</v>
      </c>
      <c r="AA354" s="371">
        <f t="shared" si="153"/>
        <v>28.975853102665976</v>
      </c>
      <c r="AB354" s="372">
        <f t="shared" si="154"/>
        <v>-128.54974631646175</v>
      </c>
      <c r="AD354">
        <f t="shared" si="158"/>
        <v>0</v>
      </c>
      <c r="AE354">
        <f t="shared" si="161"/>
        <v>0</v>
      </c>
    </row>
    <row r="355" spans="1:31" x14ac:dyDescent="0.2">
      <c r="A355" s="373">
        <v>27863</v>
      </c>
      <c r="B355" s="390">
        <f t="shared" si="155"/>
        <v>27.863</v>
      </c>
      <c r="C355" s="363">
        <f t="shared" si="136"/>
        <v>39.23998017127537</v>
      </c>
      <c r="D355" s="364">
        <f t="shared" si="137"/>
        <v>1.5453093548818215</v>
      </c>
      <c r="E355" s="364">
        <f t="shared" si="138"/>
        <v>1.0583742777276366</v>
      </c>
      <c r="F355" s="365">
        <f t="shared" si="139"/>
        <v>0.33367427848244691</v>
      </c>
      <c r="G355" s="364">
        <f t="shared" si="140"/>
        <v>1.1811795025438296</v>
      </c>
      <c r="H355" s="365">
        <f t="shared" si="141"/>
        <v>-0.5612107196074938</v>
      </c>
      <c r="I355" s="363">
        <f t="shared" si="142"/>
        <v>115580.03336539623</v>
      </c>
      <c r="J355" s="366">
        <f t="shared" si="143"/>
        <v>1.5707876747814744</v>
      </c>
      <c r="K355" s="374">
        <f t="shared" si="159"/>
        <v>34.908957807016165</v>
      </c>
      <c r="L355" s="375">
        <f t="shared" si="160"/>
        <v>1.5421464650298911</v>
      </c>
      <c r="M355" s="363">
        <f t="shared" si="144"/>
        <v>1.6366462124551429</v>
      </c>
      <c r="N355" s="366">
        <f t="shared" si="145"/>
        <v>0.91346606205770631</v>
      </c>
      <c r="O355" s="367">
        <f t="shared" si="146"/>
        <v>1.0682445417099899</v>
      </c>
      <c r="P355" s="368">
        <f t="shared" si="147"/>
        <v>0.47432057989924603</v>
      </c>
      <c r="Q355" s="369">
        <f t="shared" si="148"/>
        <v>-18.202980301217391</v>
      </c>
      <c r="R355" s="370">
        <f t="shared" si="149"/>
        <v>-182.73191993518722</v>
      </c>
      <c r="S355" s="372">
        <f t="shared" si="150"/>
        <v>-2.7319199351872214</v>
      </c>
      <c r="U355" s="345">
        <f t="shared" si="156"/>
        <v>27863</v>
      </c>
      <c r="V355" s="345">
        <f t="shared" si="157"/>
        <v>776346769</v>
      </c>
      <c r="X355" s="371">
        <f t="shared" si="151"/>
        <v>13.41865949311565</v>
      </c>
      <c r="Y355" s="372">
        <f t="shared" si="152"/>
        <v>-53.978770584936306</v>
      </c>
      <c r="AA355" s="371">
        <f t="shared" si="153"/>
        <v>28.938934677671831</v>
      </c>
      <c r="AB355" s="372">
        <f t="shared" si="154"/>
        <v>-128.75314935025094</v>
      </c>
      <c r="AD355">
        <f t="shared" si="158"/>
        <v>0</v>
      </c>
      <c r="AE355">
        <f t="shared" si="161"/>
        <v>0</v>
      </c>
    </row>
    <row r="356" spans="1:31" x14ac:dyDescent="0.2">
      <c r="A356" s="373">
        <v>28023.5</v>
      </c>
      <c r="B356" s="390">
        <f t="shared" si="155"/>
        <v>28.023499999999999</v>
      </c>
      <c r="C356" s="363">
        <f t="shared" si="136"/>
        <v>39.46586892362842</v>
      </c>
      <c r="D356" s="364">
        <f t="shared" si="137"/>
        <v>1.5454552646687163</v>
      </c>
      <c r="E356" s="364">
        <f t="shared" si="138"/>
        <v>1.0590299220349737</v>
      </c>
      <c r="F356" s="365">
        <f t="shared" si="139"/>
        <v>0.33545572511782079</v>
      </c>
      <c r="G356" s="364">
        <f t="shared" si="140"/>
        <v>1.1831106964732239</v>
      </c>
      <c r="H356" s="365">
        <f t="shared" si="141"/>
        <v>-0.56380195341033479</v>
      </c>
      <c r="I356" s="363">
        <f t="shared" si="142"/>
        <v>116245.81218870173</v>
      </c>
      <c r="J356" s="366">
        <f t="shared" si="143"/>
        <v>1.5707877243344623</v>
      </c>
      <c r="K356" s="374">
        <f t="shared" si="159"/>
        <v>35.109880292380808</v>
      </c>
      <c r="L356" s="375">
        <f t="shared" si="160"/>
        <v>1.5423104634079838</v>
      </c>
      <c r="M356" s="363">
        <f t="shared" si="144"/>
        <v>1.6425605678101087</v>
      </c>
      <c r="N356" s="366">
        <f t="shared" si="145"/>
        <v>0.91624223506240665</v>
      </c>
      <c r="O356" s="367">
        <f t="shared" si="146"/>
        <v>1.0690210643265667</v>
      </c>
      <c r="P356" s="368">
        <f t="shared" si="147"/>
        <v>0.47690464077266215</v>
      </c>
      <c r="Q356" s="369">
        <f t="shared" si="148"/>
        <v>-18.270953400490054</v>
      </c>
      <c r="R356" s="370">
        <f t="shared" si="149"/>
        <v>-183.08440254025294</v>
      </c>
      <c r="S356" s="372">
        <f t="shared" si="150"/>
        <v>-3.0844025402529383</v>
      </c>
      <c r="U356" s="345">
        <f t="shared" si="156"/>
        <v>28023.5</v>
      </c>
      <c r="V356" s="345">
        <f t="shared" si="157"/>
        <v>785316552.25</v>
      </c>
      <c r="X356" s="371">
        <f t="shared" si="151"/>
        <v>13.387287129368326</v>
      </c>
      <c r="Y356" s="372">
        <f t="shared" si="152"/>
        <v>-54.128440005740195</v>
      </c>
      <c r="AA356" s="371">
        <f t="shared" si="153"/>
        <v>28.902333942146491</v>
      </c>
      <c r="AB356" s="372">
        <f t="shared" si="154"/>
        <v>-128.95596253451274</v>
      </c>
      <c r="AD356">
        <f t="shared" si="158"/>
        <v>0</v>
      </c>
      <c r="AE356">
        <f t="shared" si="161"/>
        <v>0</v>
      </c>
    </row>
    <row r="357" spans="1:31" x14ac:dyDescent="0.2">
      <c r="A357" s="373">
        <v>28184</v>
      </c>
      <c r="B357" s="390">
        <f t="shared" si="155"/>
        <v>28.184000000000001</v>
      </c>
      <c r="C357" s="363">
        <f t="shared" si="136"/>
        <v>39.691758506633171</v>
      </c>
      <c r="D357" s="364">
        <f t="shared" si="137"/>
        <v>1.5455995136856284</v>
      </c>
      <c r="E357" s="364">
        <f t="shared" si="138"/>
        <v>1.0596889230638873</v>
      </c>
      <c r="F357" s="365">
        <f t="shared" si="139"/>
        <v>0.33723496169613659</v>
      </c>
      <c r="G357" s="364">
        <f t="shared" si="140"/>
        <v>1.1850498084680641</v>
      </c>
      <c r="H357" s="365">
        <f t="shared" si="141"/>
        <v>-0.56638472437068321</v>
      </c>
      <c r="I357" s="363">
        <f t="shared" si="142"/>
        <v>116911.59101200753</v>
      </c>
      <c r="J357" s="366">
        <f t="shared" si="143"/>
        <v>1.5707877733230693</v>
      </c>
      <c r="K357" s="374">
        <f t="shared" si="159"/>
        <v>35.310803711295783</v>
      </c>
      <c r="L357" s="375">
        <f t="shared" si="160"/>
        <v>1.5424725954429128</v>
      </c>
      <c r="M357" s="363">
        <f t="shared" si="144"/>
        <v>1.648487491709272</v>
      </c>
      <c r="N357" s="366">
        <f t="shared" si="145"/>
        <v>0.91899846643969541</v>
      </c>
      <c r="O357" s="367">
        <f t="shared" si="146"/>
        <v>1.0698017893207337</v>
      </c>
      <c r="P357" s="368">
        <f t="shared" si="147"/>
        <v>0.47948635499009096</v>
      </c>
      <c r="Q357" s="369">
        <f t="shared" si="148"/>
        <v>-18.33856550239037</v>
      </c>
      <c r="R357" s="370">
        <f t="shared" si="149"/>
        <v>-183.43526160866878</v>
      </c>
      <c r="S357" s="372">
        <f t="shared" si="150"/>
        <v>-3.4352616086687817</v>
      </c>
      <c r="U357" s="345">
        <f t="shared" si="156"/>
        <v>28184</v>
      </c>
      <c r="V357" s="345">
        <f t="shared" si="157"/>
        <v>794337856</v>
      </c>
      <c r="X357" s="371">
        <f t="shared" si="151"/>
        <v>13.355961847865899</v>
      </c>
      <c r="Y357" s="372">
        <f t="shared" si="152"/>
        <v>-54.277073756705327</v>
      </c>
      <c r="AA357" s="371">
        <f t="shared" si="153"/>
        <v>28.866047121748601</v>
      </c>
      <c r="AB357" s="372">
        <f t="shared" si="154"/>
        <v>-129.15818785196353</v>
      </c>
      <c r="AD357">
        <f t="shared" si="158"/>
        <v>0</v>
      </c>
      <c r="AE357">
        <f t="shared" si="161"/>
        <v>0</v>
      </c>
    </row>
    <row r="358" spans="1:31" x14ac:dyDescent="0.2">
      <c r="A358" s="373">
        <v>28348</v>
      </c>
      <c r="B358" s="390">
        <f t="shared" si="155"/>
        <v>28.347999999999999</v>
      </c>
      <c r="C358" s="363">
        <f t="shared" si="136"/>
        <v>39.922574874049992</v>
      </c>
      <c r="D358" s="364">
        <f t="shared" si="137"/>
        <v>1.5457452221557941</v>
      </c>
      <c r="E358" s="364">
        <f t="shared" si="138"/>
        <v>1.0603657556389265</v>
      </c>
      <c r="F358" s="365">
        <f t="shared" si="139"/>
        <v>0.33905070752982563</v>
      </c>
      <c r="G358" s="364">
        <f t="shared" si="140"/>
        <v>1.1870393449695937</v>
      </c>
      <c r="H358" s="365">
        <f t="shared" si="141"/>
        <v>-0.56901508315422566</v>
      </c>
      <c r="I358" s="363">
        <f t="shared" si="142"/>
        <v>117591.8883766318</v>
      </c>
      <c r="J358" s="366">
        <f t="shared" si="143"/>
        <v>1.5707878228069616</v>
      </c>
      <c r="K358" s="374">
        <f t="shared" si="159"/>
        <v>35.516109585612384</v>
      </c>
      <c r="L358" s="375">
        <f t="shared" si="160"/>
        <v>1.542636368179624</v>
      </c>
      <c r="M358" s="363">
        <f t="shared" si="144"/>
        <v>1.654556505288832</v>
      </c>
      <c r="N358" s="366">
        <f t="shared" si="145"/>
        <v>0.92179438353127663</v>
      </c>
      <c r="O358" s="367">
        <f t="shared" si="146"/>
        <v>1.0706038762930423</v>
      </c>
      <c r="P358" s="368">
        <f t="shared" si="147"/>
        <v>0.48212193590651226</v>
      </c>
      <c r="Q358" s="369">
        <f t="shared" si="148"/>
        <v>-18.407282362892282</v>
      </c>
      <c r="R358" s="370">
        <f t="shared" si="149"/>
        <v>-183.79210523431726</v>
      </c>
      <c r="S358" s="372">
        <f t="shared" si="150"/>
        <v>-3.7921052343172619</v>
      </c>
      <c r="U358" s="345">
        <f t="shared" si="156"/>
        <v>28348</v>
      </c>
      <c r="V358" s="345">
        <f t="shared" si="157"/>
        <v>803609104</v>
      </c>
      <c r="X358" s="371">
        <f t="shared" si="151"/>
        <v>13.324002716824834</v>
      </c>
      <c r="Y358" s="372">
        <f t="shared" si="152"/>
        <v>-54.42788735469906</v>
      </c>
      <c r="AA358" s="371">
        <f t="shared" si="153"/>
        <v>28.829289392287755</v>
      </c>
      <c r="AB358" s="372">
        <f t="shared" si="154"/>
        <v>-129.3642178796182</v>
      </c>
      <c r="AD358">
        <f t="shared" si="158"/>
        <v>0</v>
      </c>
      <c r="AE358">
        <f t="shared" si="161"/>
        <v>0</v>
      </c>
    </row>
    <row r="359" spans="1:31" x14ac:dyDescent="0.2">
      <c r="A359" s="373">
        <v>28512</v>
      </c>
      <c r="B359" s="390">
        <f t="shared" si="155"/>
        <v>28.512</v>
      </c>
      <c r="C359" s="363">
        <f t="shared" si="136"/>
        <v>40.15339207931676</v>
      </c>
      <c r="D359" s="364">
        <f t="shared" si="137"/>
        <v>1.5458892554518677</v>
      </c>
      <c r="E359" s="364">
        <f t="shared" si="138"/>
        <v>1.0610460797019461</v>
      </c>
      <c r="F359" s="365">
        <f t="shared" si="139"/>
        <v>0.34086413088736467</v>
      </c>
      <c r="G359" s="364">
        <f t="shared" si="140"/>
        <v>1.1890370668267152</v>
      </c>
      <c r="H359" s="365">
        <f t="shared" si="141"/>
        <v>-0.57163662140188665</v>
      </c>
      <c r="I359" s="363">
        <f t="shared" si="142"/>
        <v>118272.18574125637</v>
      </c>
      <c r="J359" s="366">
        <f t="shared" si="143"/>
        <v>1.5707878717215948</v>
      </c>
      <c r="K359" s="374">
        <f t="shared" si="159"/>
        <v>35.721416401574686</v>
      </c>
      <c r="L359" s="375">
        <f t="shared" si="160"/>
        <v>1.542798258371594</v>
      </c>
      <c r="M359" s="363">
        <f t="shared" si="144"/>
        <v>1.6606383581926849</v>
      </c>
      <c r="N359" s="366">
        <f t="shared" si="145"/>
        <v>0.92456984288582833</v>
      </c>
      <c r="O359" s="367">
        <f t="shared" si="146"/>
        <v>1.0714103427680604</v>
      </c>
      <c r="P359" s="368">
        <f t="shared" si="147"/>
        <v>0.4847550497575695</v>
      </c>
      <c r="Q359" s="369">
        <f t="shared" si="148"/>
        <v>-18.475628847637338</v>
      </c>
      <c r="R359" s="370">
        <f t="shared" si="149"/>
        <v>-184.14727490298966</v>
      </c>
      <c r="S359" s="372">
        <f t="shared" si="150"/>
        <v>-4.1472749029896647</v>
      </c>
      <c r="U359" s="345">
        <f t="shared" si="156"/>
        <v>28512</v>
      </c>
      <c r="V359" s="345">
        <f t="shared" si="157"/>
        <v>812934144</v>
      </c>
      <c r="X359" s="371">
        <f t="shared" si="151"/>
        <v>13.292093987676237</v>
      </c>
      <c r="Y359" s="372">
        <f t="shared" si="152"/>
        <v>-54.577636639953703</v>
      </c>
      <c r="AA359" s="371">
        <f t="shared" si="153"/>
        <v>28.792851636691296</v>
      </c>
      <c r="AB359" s="372">
        <f t="shared" si="154"/>
        <v>-129.56963826303598</v>
      </c>
      <c r="AD359">
        <f t="shared" si="158"/>
        <v>0</v>
      </c>
      <c r="AE359">
        <f t="shared" si="161"/>
        <v>0</v>
      </c>
    </row>
    <row r="360" spans="1:31" x14ac:dyDescent="0.2">
      <c r="A360" s="373">
        <v>28676</v>
      </c>
      <c r="B360" s="390">
        <f t="shared" si="155"/>
        <v>28.675999999999998</v>
      </c>
      <c r="C360" s="363">
        <f t="shared" si="136"/>
        <v>40.384210108067194</v>
      </c>
      <c r="D360" s="364">
        <f t="shared" si="137"/>
        <v>1.5460316422914524</v>
      </c>
      <c r="E360" s="364">
        <f t="shared" si="138"/>
        <v>1.0617298885412292</v>
      </c>
      <c r="F360" s="365">
        <f t="shared" si="139"/>
        <v>0.34267522431786579</v>
      </c>
      <c r="G360" s="364">
        <f t="shared" si="140"/>
        <v>1.1910429328518362</v>
      </c>
      <c r="H360" s="365">
        <f t="shared" si="141"/>
        <v>-0.57424934755521073</v>
      </c>
      <c r="I360" s="363">
        <f t="shared" si="142"/>
        <v>118952.48310588121</v>
      </c>
      <c r="J360" s="366">
        <f t="shared" si="143"/>
        <v>1.5707879200767356</v>
      </c>
      <c r="K360" s="374">
        <f t="shared" si="159"/>
        <v>35.926724143039337</v>
      </c>
      <c r="L360" s="375">
        <f t="shared" si="160"/>
        <v>1.5429582982843724</v>
      </c>
      <c r="M360" s="363">
        <f t="shared" si="144"/>
        <v>1.6667329098700359</v>
      </c>
      <c r="N360" s="366">
        <f t="shared" si="145"/>
        <v>0.92732502592518407</v>
      </c>
      <c r="O360" s="367">
        <f t="shared" si="146"/>
        <v>1.0722211846123579</v>
      </c>
      <c r="P360" s="368">
        <f t="shared" si="147"/>
        <v>0.48738568809573285</v>
      </c>
      <c r="Q360" s="369">
        <f t="shared" si="148"/>
        <v>-18.543608198429983</v>
      </c>
      <c r="R360" s="370">
        <f t="shared" si="149"/>
        <v>-184.50078123323021</v>
      </c>
      <c r="S360" s="372">
        <f t="shared" si="150"/>
        <v>-4.5007812332302137</v>
      </c>
      <c r="U360" s="345">
        <f t="shared" si="156"/>
        <v>28676</v>
      </c>
      <c r="V360" s="345">
        <f t="shared" si="157"/>
        <v>822312976</v>
      </c>
      <c r="X360" s="371">
        <f t="shared" si="151"/>
        <v>13.26023625961945</v>
      </c>
      <c r="Y360" s="372">
        <f t="shared" si="152"/>
        <v>-54.726330159054363</v>
      </c>
      <c r="AA360" s="371">
        <f t="shared" si="153"/>
        <v>28.756730013955437</v>
      </c>
      <c r="AB360" s="372">
        <f t="shared" si="154"/>
        <v>-129.77445107417583</v>
      </c>
      <c r="AD360">
        <f t="shared" si="158"/>
        <v>0</v>
      </c>
      <c r="AE360">
        <f t="shared" si="161"/>
        <v>0</v>
      </c>
    </row>
    <row r="361" spans="1:31" x14ac:dyDescent="0.2">
      <c r="A361" s="373">
        <v>28840</v>
      </c>
      <c r="B361" s="390">
        <f t="shared" si="155"/>
        <v>28.84</v>
      </c>
      <c r="C361" s="363">
        <f t="shared" si="136"/>
        <v>40.61502894626156</v>
      </c>
      <c r="D361" s="364">
        <f t="shared" si="137"/>
        <v>1.5461724107396024</v>
      </c>
      <c r="E361" s="364">
        <f t="shared" si="138"/>
        <v>1.0624171754280047</v>
      </c>
      <c r="F361" s="365">
        <f t="shared" si="139"/>
        <v>0.34448398045071282</v>
      </c>
      <c r="G361" s="364">
        <f t="shared" si="140"/>
        <v>1.1930569019670096</v>
      </c>
      <c r="H361" s="365">
        <f t="shared" si="141"/>
        <v>-0.57685327048032031</v>
      </c>
      <c r="I361" s="363">
        <f t="shared" si="142"/>
        <v>119632.78047050632</v>
      </c>
      <c r="J361" s="366">
        <f t="shared" si="143"/>
        <v>1.5707879678819292</v>
      </c>
      <c r="K361" s="374">
        <f t="shared" si="159"/>
        <v>36.132032794229787</v>
      </c>
      <c r="L361" s="375">
        <f t="shared" si="160"/>
        <v>1.5431165194505392</v>
      </c>
      <c r="M361" s="363">
        <f t="shared" si="144"/>
        <v>1.6728400215269892</v>
      </c>
      <c r="N361" s="366">
        <f t="shared" si="145"/>
        <v>0.93006011266150168</v>
      </c>
      <c r="O361" s="367">
        <f t="shared" si="146"/>
        <v>1.0730363976845787</v>
      </c>
      <c r="P361" s="368">
        <f t="shared" si="147"/>
        <v>0.49001384255232017</v>
      </c>
      <c r="Q361" s="369">
        <f t="shared" si="148"/>
        <v>-18.611223616374236</v>
      </c>
      <c r="R361" s="370">
        <f t="shared" si="149"/>
        <v>-184.85263479165442</v>
      </c>
      <c r="S361" s="372">
        <f t="shared" si="150"/>
        <v>-4.8526347916544239</v>
      </c>
      <c r="U361" s="345">
        <f t="shared" si="156"/>
        <v>28840</v>
      </c>
      <c r="V361" s="345">
        <f t="shared" si="157"/>
        <v>831745600</v>
      </c>
      <c r="X361" s="371">
        <f t="shared" si="151"/>
        <v>13.22843011262265</v>
      </c>
      <c r="Y361" s="372">
        <f t="shared" si="152"/>
        <v>-54.873976419801117</v>
      </c>
      <c r="AA361" s="371">
        <f t="shared" si="153"/>
        <v>28.720920743007984</v>
      </c>
      <c r="AB361" s="372">
        <f t="shared" si="154"/>
        <v>-129.97865837185333</v>
      </c>
      <c r="AD361">
        <f t="shared" si="158"/>
        <v>0</v>
      </c>
      <c r="AE361">
        <f t="shared" si="161"/>
        <v>0</v>
      </c>
    </row>
    <row r="362" spans="1:31" x14ac:dyDescent="0.2">
      <c r="A362" s="373">
        <v>29008</v>
      </c>
      <c r="B362" s="390">
        <f t="shared" si="155"/>
        <v>29.007999999999999</v>
      </c>
      <c r="C362" s="363">
        <f t="shared" si="136"/>
        <v>40.851478337172992</v>
      </c>
      <c r="D362" s="364">
        <f t="shared" si="137"/>
        <v>1.5463149631522357</v>
      </c>
      <c r="E362" s="364">
        <f t="shared" si="138"/>
        <v>1.0631248246859129</v>
      </c>
      <c r="F362" s="365">
        <f t="shared" si="139"/>
        <v>0.34633442146277554</v>
      </c>
      <c r="G362" s="364">
        <f t="shared" si="140"/>
        <v>1.1951283514128674</v>
      </c>
      <c r="H362" s="365">
        <f t="shared" si="141"/>
        <v>-0.57951158551199156</v>
      </c>
      <c r="I362" s="363">
        <f t="shared" si="142"/>
        <v>120329.6704537811</v>
      </c>
      <c r="J362" s="366">
        <f t="shared" si="143"/>
        <v>1.570788016292622</v>
      </c>
      <c r="K362" s="374">
        <f t="shared" si="159"/>
        <v>36.342349900660537</v>
      </c>
      <c r="L362" s="375">
        <f t="shared" si="160"/>
        <v>1.5432767460548615</v>
      </c>
      <c r="M362" s="363">
        <f t="shared" si="144"/>
        <v>1.6791089670957244</v>
      </c>
      <c r="N362" s="366">
        <f t="shared" si="145"/>
        <v>0.93284125800151674</v>
      </c>
      <c r="O362" s="367">
        <f t="shared" si="146"/>
        <v>1.0738760221164072</v>
      </c>
      <c r="P362" s="368">
        <f t="shared" si="147"/>
        <v>0.49270351417797731</v>
      </c>
      <c r="Q362" s="369">
        <f t="shared" si="148"/>
        <v>-18.680114139399596</v>
      </c>
      <c r="R362" s="370">
        <f t="shared" si="149"/>
        <v>-185.21136740352605</v>
      </c>
      <c r="S362" s="372">
        <f t="shared" si="150"/>
        <v>-5.2113674035260544</v>
      </c>
      <c r="U362" s="345">
        <f t="shared" si="156"/>
        <v>29008</v>
      </c>
      <c r="V362" s="345">
        <f t="shared" si="157"/>
        <v>841464064</v>
      </c>
      <c r="X362" s="371">
        <f t="shared" si="151"/>
        <v>13.195902275908598</v>
      </c>
      <c r="Y362" s="372">
        <f t="shared" si="152"/>
        <v>-55.024146775703038</v>
      </c>
      <c r="AA362" s="371">
        <f t="shared" si="153"/>
        <v>28.68455805669668</v>
      </c>
      <c r="AB362" s="372">
        <f t="shared" si="154"/>
        <v>-130.18722062782302</v>
      </c>
      <c r="AD362">
        <f t="shared" si="158"/>
        <v>0</v>
      </c>
      <c r="AE362">
        <f t="shared" si="161"/>
        <v>0</v>
      </c>
    </row>
    <row r="363" spans="1:31" x14ac:dyDescent="0.2">
      <c r="A363" s="373">
        <v>29176</v>
      </c>
      <c r="B363" s="390">
        <f t="shared" si="155"/>
        <v>29.175999999999998</v>
      </c>
      <c r="C363" s="363">
        <f t="shared" si="136"/>
        <v>41.087928548680523</v>
      </c>
      <c r="D363" s="364">
        <f t="shared" si="137"/>
        <v>1.5464558748644956</v>
      </c>
      <c r="E363" s="364">
        <f t="shared" si="138"/>
        <v>1.0638361093732942</v>
      </c>
      <c r="F363" s="365">
        <f t="shared" si="139"/>
        <v>0.34818239437234255</v>
      </c>
      <c r="G363" s="364">
        <f t="shared" si="140"/>
        <v>1.1972082171388594</v>
      </c>
      <c r="H363" s="365">
        <f t="shared" si="141"/>
        <v>-0.58216068282428524</v>
      </c>
      <c r="I363" s="363">
        <f t="shared" si="142"/>
        <v>121026.56043705616</v>
      </c>
      <c r="J363" s="366">
        <f t="shared" si="143"/>
        <v>1.5707880641458021</v>
      </c>
      <c r="K363" s="374">
        <f t="shared" si="159"/>
        <v>36.55266792935597</v>
      </c>
      <c r="L363" s="375">
        <f t="shared" si="160"/>
        <v>1.5434351288282477</v>
      </c>
      <c r="M363" s="363">
        <f t="shared" si="144"/>
        <v>1.6853908035105361</v>
      </c>
      <c r="N363" s="366">
        <f t="shared" si="145"/>
        <v>0.93560169263292503</v>
      </c>
      <c r="O363" s="367">
        <f t="shared" si="146"/>
        <v>1.0747202247848526</v>
      </c>
      <c r="P363" s="368">
        <f t="shared" si="147"/>
        <v>0.4953905617548553</v>
      </c>
      <c r="Q363" s="369">
        <f t="shared" si="148"/>
        <v>-18.748629433270104</v>
      </c>
      <c r="R363" s="370">
        <f t="shared" si="149"/>
        <v>-185.56838791430172</v>
      </c>
      <c r="S363" s="372">
        <f t="shared" si="150"/>
        <v>-5.5683879143017236</v>
      </c>
      <c r="U363" s="345">
        <f t="shared" si="156"/>
        <v>29176</v>
      </c>
      <c r="V363" s="345">
        <f t="shared" si="157"/>
        <v>851238976</v>
      </c>
      <c r="X363" s="371">
        <f t="shared" si="151"/>
        <v>13.163429739024043</v>
      </c>
      <c r="Y363" s="372">
        <f t="shared" si="152"/>
        <v>-55.173236107197503</v>
      </c>
      <c r="AA363" s="371">
        <f t="shared" si="153"/>
        <v>28.648515299710727</v>
      </c>
      <c r="AB363" s="372">
        <f t="shared" si="154"/>
        <v>-130.39515180710421</v>
      </c>
      <c r="AD363">
        <f t="shared" si="158"/>
        <v>0</v>
      </c>
      <c r="AE363">
        <f t="shared" si="161"/>
        <v>0</v>
      </c>
    </row>
    <row r="364" spans="1:31" x14ac:dyDescent="0.2">
      <c r="A364" s="373">
        <v>29344</v>
      </c>
      <c r="B364" s="390">
        <f t="shared" si="155"/>
        <v>29.344000000000001</v>
      </c>
      <c r="C364" s="363">
        <f t="shared" si="136"/>
        <v>41.324379566698255</v>
      </c>
      <c r="D364" s="364">
        <f t="shared" si="137"/>
        <v>1.546595174034157</v>
      </c>
      <c r="E364" s="364">
        <f t="shared" si="138"/>
        <v>1.0645510222030616</v>
      </c>
      <c r="F364" s="365">
        <f t="shared" si="139"/>
        <v>0.3500278915176534</v>
      </c>
      <c r="G364" s="364">
        <f t="shared" si="140"/>
        <v>1.1992964553574825</v>
      </c>
      <c r="H364" s="365">
        <f t="shared" si="141"/>
        <v>-0.58480057328984592</v>
      </c>
      <c r="I364" s="363">
        <f t="shared" si="142"/>
        <v>121723.4504203315</v>
      </c>
      <c r="J364" s="366">
        <f t="shared" si="143"/>
        <v>1.5707881114510449</v>
      </c>
      <c r="K364" s="374">
        <f t="shared" si="159"/>
        <v>36.762986864487502</v>
      </c>
      <c r="L364" s="375">
        <f t="shared" si="160"/>
        <v>1.5435916994080352</v>
      </c>
      <c r="M364" s="363">
        <f t="shared" si="144"/>
        <v>1.6916853871663837</v>
      </c>
      <c r="N364" s="366">
        <f t="shared" si="145"/>
        <v>0.93834160543860579</v>
      </c>
      <c r="O364" s="367">
        <f t="shared" si="146"/>
        <v>1.0755690012135151</v>
      </c>
      <c r="P364" s="368">
        <f t="shared" si="147"/>
        <v>0.49807497654379446</v>
      </c>
      <c r="Q364" s="369">
        <f t="shared" si="148"/>
        <v>-18.816772811765745</v>
      </c>
      <c r="R364" s="370">
        <f t="shared" si="149"/>
        <v>-185.92370750858379</v>
      </c>
      <c r="S364" s="372">
        <f t="shared" si="150"/>
        <v>-5.9237075085837887</v>
      </c>
      <c r="U364" s="345">
        <f t="shared" si="156"/>
        <v>29344</v>
      </c>
      <c r="V364" s="345">
        <f t="shared" si="157"/>
        <v>861070336</v>
      </c>
      <c r="X364" s="371">
        <f t="shared" si="151"/>
        <v>13.131013065285536</v>
      </c>
      <c r="Y364" s="372">
        <f t="shared" si="152"/>
        <v>-55.321253424338998</v>
      </c>
      <c r="AA364" s="371">
        <f t="shared" si="153"/>
        <v>28.612788594953589</v>
      </c>
      <c r="AB364" s="372">
        <f t="shared" si="154"/>
        <v>-130.60245408424478</v>
      </c>
      <c r="AD364">
        <f t="shared" si="158"/>
        <v>0</v>
      </c>
      <c r="AE364">
        <f t="shared" si="161"/>
        <v>0</v>
      </c>
    </row>
    <row r="365" spans="1:31" x14ac:dyDescent="0.2">
      <c r="A365" s="373">
        <v>29512</v>
      </c>
      <c r="B365" s="390">
        <f t="shared" si="155"/>
        <v>29.512</v>
      </c>
      <c r="C365" s="363">
        <f t="shared" si="136"/>
        <v>41.560831377460829</v>
      </c>
      <c r="D365" s="364">
        <f t="shared" si="137"/>
        <v>1.5467328881784563</v>
      </c>
      <c r="E365" s="364">
        <f t="shared" si="138"/>
        <v>1.0652695558705698</v>
      </c>
      <c r="F365" s="365">
        <f t="shared" si="139"/>
        <v>0.35187090532491966</v>
      </c>
      <c r="G365" s="364">
        <f t="shared" si="140"/>
        <v>1.2013930224100213</v>
      </c>
      <c r="H365" s="365">
        <f t="shared" si="141"/>
        <v>-0.58743126821917591</v>
      </c>
      <c r="I365" s="363">
        <f t="shared" si="142"/>
        <v>122420.34040360712</v>
      </c>
      <c r="J365" s="366">
        <f t="shared" si="143"/>
        <v>1.5707881582177083</v>
      </c>
      <c r="K365" s="374">
        <f t="shared" si="159"/>
        <v>36.973306690586611</v>
      </c>
      <c r="L365" s="375">
        <f t="shared" si="160"/>
        <v>1.5437464887120551</v>
      </c>
      <c r="M365" s="363">
        <f t="shared" si="144"/>
        <v>1.6979925762983865</v>
      </c>
      <c r="N365" s="366">
        <f t="shared" si="145"/>
        <v>0.94106118373602099</v>
      </c>
      <c r="O365" s="367">
        <f t="shared" si="146"/>
        <v>1.076422346918148</v>
      </c>
      <c r="P365" s="368">
        <f t="shared" si="147"/>
        <v>0.50075674989213448</v>
      </c>
      <c r="Q365" s="369">
        <f t="shared" si="148"/>
        <v>-18.884547547493653</v>
      </c>
      <c r="R365" s="370">
        <f t="shared" si="149"/>
        <v>-186.27733731079798</v>
      </c>
      <c r="S365" s="372">
        <f t="shared" si="150"/>
        <v>-6.2773373107979751</v>
      </c>
      <c r="U365" s="345">
        <f t="shared" si="156"/>
        <v>29512</v>
      </c>
      <c r="V365" s="345">
        <f t="shared" si="157"/>
        <v>870958144</v>
      </c>
      <c r="X365" s="371">
        <f t="shared" si="151"/>
        <v>13.098652798594761</v>
      </c>
      <c r="Y365" s="372">
        <f t="shared" si="152"/>
        <v>-55.468207688702513</v>
      </c>
      <c r="AA365" s="371">
        <f t="shared" si="153"/>
        <v>28.57737412591646</v>
      </c>
      <c r="AB365" s="372">
        <f t="shared" si="154"/>
        <v>-130.80912962209547</v>
      </c>
      <c r="AD365">
        <f t="shared" si="158"/>
        <v>0</v>
      </c>
      <c r="AE365">
        <f t="shared" si="161"/>
        <v>0</v>
      </c>
    </row>
    <row r="366" spans="1:31" x14ac:dyDescent="0.2">
      <c r="A366" s="373">
        <v>29684</v>
      </c>
      <c r="B366" s="390">
        <f t="shared" si="155"/>
        <v>29.684000000000001</v>
      </c>
      <c r="C366" s="363">
        <f t="shared" si="136"/>
        <v>41.802913800476432</v>
      </c>
      <c r="D366" s="364">
        <f t="shared" si="137"/>
        <v>1.5468722672285844</v>
      </c>
      <c r="E366" s="364">
        <f t="shared" si="138"/>
        <v>1.0660089410164548</v>
      </c>
      <c r="F366" s="365">
        <f t="shared" si="139"/>
        <v>0.35375521986430691</v>
      </c>
      <c r="G366" s="364">
        <f t="shared" si="140"/>
        <v>1.2035480909267655</v>
      </c>
      <c r="H366" s="365">
        <f t="shared" si="141"/>
        <v>-0.59011508445014937</v>
      </c>
      <c r="I366" s="363">
        <f t="shared" si="142"/>
        <v>123133.82300553241</v>
      </c>
      <c r="J366" s="366">
        <f t="shared" si="143"/>
        <v>1.5707882055494451</v>
      </c>
      <c r="K366" s="374">
        <f t="shared" si="159"/>
        <v>37.188635038848211</v>
      </c>
      <c r="L366" s="375">
        <f t="shared" si="160"/>
        <v>1.5439031496287172</v>
      </c>
      <c r="M366" s="363">
        <f t="shared" si="144"/>
        <v>1.7044628497194307</v>
      </c>
      <c r="N366" s="366">
        <f t="shared" si="145"/>
        <v>0.94382464134798372</v>
      </c>
      <c r="O366" s="367">
        <f t="shared" si="146"/>
        <v>1.0773007394466474</v>
      </c>
      <c r="P366" s="368">
        <f t="shared" si="147"/>
        <v>0.50349962951587135</v>
      </c>
      <c r="Q366" s="369">
        <f t="shared" si="148"/>
        <v>-18.953557429300652</v>
      </c>
      <c r="R366" s="370">
        <f t="shared" si="149"/>
        <v>-186.63764780192676</v>
      </c>
      <c r="S366" s="372">
        <f t="shared" si="150"/>
        <v>-6.6376478019267608</v>
      </c>
      <c r="U366" s="345">
        <f t="shared" si="156"/>
        <v>29684</v>
      </c>
      <c r="V366" s="345">
        <f t="shared" si="157"/>
        <v>881139856</v>
      </c>
      <c r="X366" s="371">
        <f t="shared" si="151"/>
        <v>13.065581034947025</v>
      </c>
      <c r="Y366" s="372">
        <f t="shared" si="152"/>
        <v>-55.617568849471319</v>
      </c>
      <c r="AA366" s="371">
        <f t="shared" si="153"/>
        <v>28.541436007757195</v>
      </c>
      <c r="AB366" s="372">
        <f t="shared" si="154"/>
        <v>-131.02007895245541</v>
      </c>
      <c r="AD366">
        <f t="shared" si="158"/>
        <v>0</v>
      </c>
      <c r="AE366">
        <f t="shared" si="161"/>
        <v>0</v>
      </c>
    </row>
    <row r="367" spans="1:31" x14ac:dyDescent="0.2">
      <c r="A367" s="373">
        <v>29856</v>
      </c>
      <c r="B367" s="390">
        <f t="shared" si="155"/>
        <v>29.856000000000002</v>
      </c>
      <c r="C367" s="363">
        <f t="shared" si="136"/>
        <v>42.04499702622568</v>
      </c>
      <c r="D367" s="364">
        <f t="shared" si="137"/>
        <v>1.5470100412709011</v>
      </c>
      <c r="E367" s="364">
        <f t="shared" si="138"/>
        <v>1.0667521059229357</v>
      </c>
      <c r="F367" s="365">
        <f t="shared" si="139"/>
        <v>0.35563691561915844</v>
      </c>
      <c r="G367" s="364">
        <f t="shared" si="140"/>
        <v>1.2057117974174276</v>
      </c>
      <c r="H367" s="365">
        <f t="shared" si="141"/>
        <v>-0.59278928741685244</v>
      </c>
      <c r="I367" s="363">
        <f t="shared" si="142"/>
        <v>123847.30560745799</v>
      </c>
      <c r="J367" s="366">
        <f t="shared" si="143"/>
        <v>1.570788252335827</v>
      </c>
      <c r="K367" s="374">
        <f t="shared" si="159"/>
        <v>37.403964289308576</v>
      </c>
      <c r="L367" s="375">
        <f t="shared" si="160"/>
        <v>1.5440580068003482</v>
      </c>
      <c r="M367" s="363">
        <f t="shared" si="144"/>
        <v>1.7109460411021502</v>
      </c>
      <c r="N367" s="366">
        <f t="shared" si="145"/>
        <v>0.94656717694362147</v>
      </c>
      <c r="O367" s="367">
        <f t="shared" si="146"/>
        <v>1.0781839118891707</v>
      </c>
      <c r="P367" s="368">
        <f t="shared" si="147"/>
        <v>0.50623972234093373</v>
      </c>
      <c r="Q367" s="369">
        <f t="shared" si="148"/>
        <v>-19.02218771861742</v>
      </c>
      <c r="R367" s="370">
        <f t="shared" si="149"/>
        <v>-186.99621047940542</v>
      </c>
      <c r="S367" s="372">
        <f t="shared" si="150"/>
        <v>-6.9962104794054198</v>
      </c>
      <c r="U367" s="345">
        <f t="shared" si="156"/>
        <v>29856</v>
      </c>
      <c r="V367" s="345">
        <f t="shared" si="157"/>
        <v>891380736</v>
      </c>
      <c r="X367" s="371">
        <f t="shared" si="151"/>
        <v>13.032569489652754</v>
      </c>
      <c r="Y367" s="372">
        <f t="shared" si="152"/>
        <v>-55.765834582735629</v>
      </c>
      <c r="AA367" s="371">
        <f t="shared" si="153"/>
        <v>28.505817263734698</v>
      </c>
      <c r="AB367" s="372">
        <f t="shared" si="154"/>
        <v>-131.23037589666984</v>
      </c>
      <c r="AD367">
        <f t="shared" si="158"/>
        <v>0</v>
      </c>
      <c r="AE367">
        <f t="shared" si="161"/>
        <v>0</v>
      </c>
    </row>
    <row r="368" spans="1:31" x14ac:dyDescent="0.2">
      <c r="A368" s="373">
        <v>30028</v>
      </c>
      <c r="B368" s="390">
        <f t="shared" si="155"/>
        <v>30.027999999999999</v>
      </c>
      <c r="C368" s="363">
        <f t="shared" si="136"/>
        <v>42.287081040922182</v>
      </c>
      <c r="D368" s="364">
        <f t="shared" si="137"/>
        <v>1.5471462378650553</v>
      </c>
      <c r="E368" s="364">
        <f t="shared" si="138"/>
        <v>1.0674990426959017</v>
      </c>
      <c r="F368" s="365">
        <f t="shared" si="139"/>
        <v>0.35751598474747937</v>
      </c>
      <c r="G368" s="364">
        <f t="shared" si="140"/>
        <v>1.2078840954618926</v>
      </c>
      <c r="H368" s="365">
        <f t="shared" si="141"/>
        <v>-0.59545389063493104</v>
      </c>
      <c r="I368" s="363">
        <f t="shared" si="142"/>
        <v>124560.78820938383</v>
      </c>
      <c r="J368" s="366">
        <f t="shared" si="143"/>
        <v>1.5707882985862254</v>
      </c>
      <c r="K368" s="374">
        <f t="shared" si="159"/>
        <v>37.619294426475413</v>
      </c>
      <c r="L368" s="375">
        <f t="shared" si="160"/>
        <v>1.5442110911929774</v>
      </c>
      <c r="M368" s="363">
        <f t="shared" si="144"/>
        <v>1.7174420041540694</v>
      </c>
      <c r="N368" s="366">
        <f t="shared" si="145"/>
        <v>0.94928898643544435</v>
      </c>
      <c r="O368" s="367">
        <f t="shared" si="146"/>
        <v>1.0790718594093693</v>
      </c>
      <c r="P368" s="368">
        <f t="shared" si="147"/>
        <v>0.50897701936290984</v>
      </c>
      <c r="Q368" s="369">
        <f t="shared" si="148"/>
        <v>-19.090441798740823</v>
      </c>
      <c r="R368" s="370">
        <f t="shared" si="149"/>
        <v>-187.35303708134774</v>
      </c>
      <c r="S368" s="372">
        <f t="shared" si="150"/>
        <v>-7.3530370813477361</v>
      </c>
      <c r="U368" s="345">
        <f t="shared" si="156"/>
        <v>30028</v>
      </c>
      <c r="V368" s="345">
        <f t="shared" si="157"/>
        <v>901680784</v>
      </c>
      <c r="X368" s="371">
        <f t="shared" si="151"/>
        <v>12.999618685924856</v>
      </c>
      <c r="Y368" s="372">
        <f t="shared" si="152"/>
        <v>-55.913014339769553</v>
      </c>
      <c r="AA368" s="371">
        <f t="shared" si="153"/>
        <v>28.470513987339192</v>
      </c>
      <c r="AB368" s="372">
        <f t="shared" si="154"/>
        <v>-131.44002274157822</v>
      </c>
      <c r="AD368">
        <f t="shared" si="158"/>
        <v>0</v>
      </c>
      <c r="AE368">
        <f t="shared" si="161"/>
        <v>0</v>
      </c>
    </row>
    <row r="369" spans="1:31" x14ac:dyDescent="0.2">
      <c r="A369" s="373">
        <v>30200</v>
      </c>
      <c r="B369" s="390">
        <f t="shared" si="155"/>
        <v>30.2</v>
      </c>
      <c r="C369" s="363">
        <f t="shared" si="136"/>
        <v>42.529165831093451</v>
      </c>
      <c r="D369" s="364">
        <f t="shared" si="137"/>
        <v>1.5472808839434322</v>
      </c>
      <c r="E369" s="364">
        <f t="shared" si="138"/>
        <v>1.0682497434233098</v>
      </c>
      <c r="F369" s="365">
        <f t="shared" si="139"/>
        <v>0.35939241950334672</v>
      </c>
      <c r="G369" s="364">
        <f t="shared" si="140"/>
        <v>1.2100649387897131</v>
      </c>
      <c r="H369" s="365">
        <f t="shared" si="141"/>
        <v>-0.59810890806844408</v>
      </c>
      <c r="I369" s="363">
        <f t="shared" si="142"/>
        <v>125274.27081130994</v>
      </c>
      <c r="J369" s="366">
        <f t="shared" si="143"/>
        <v>1.5707883443097979</v>
      </c>
      <c r="K369" s="374">
        <f t="shared" si="159"/>
        <v>37.834625435209048</v>
      </c>
      <c r="L369" s="375">
        <f t="shared" si="160"/>
        <v>1.544362433068013</v>
      </c>
      <c r="M369" s="363">
        <f t="shared" si="144"/>
        <v>1.7239505945016407</v>
      </c>
      <c r="N369" s="366">
        <f t="shared" si="145"/>
        <v>0.95199026401445397</v>
      </c>
      <c r="O369" s="367">
        <f t="shared" si="146"/>
        <v>1.0799645771632516</v>
      </c>
      <c r="P369" s="368">
        <f t="shared" si="147"/>
        <v>0.51171151167195295</v>
      </c>
      <c r="Q369" s="369">
        <f t="shared" si="148"/>
        <v>-19.158323011316728</v>
      </c>
      <c r="R369" s="370">
        <f t="shared" si="149"/>
        <v>-187.70813927725791</v>
      </c>
      <c r="S369" s="372">
        <f t="shared" si="150"/>
        <v>-7.7081392772579136</v>
      </c>
      <c r="U369" s="345">
        <f t="shared" si="156"/>
        <v>30200</v>
      </c>
      <c r="V369" s="345">
        <f t="shared" si="157"/>
        <v>912040000</v>
      </c>
      <c r="X369" s="371">
        <f t="shared" si="151"/>
        <v>12.966729127494663</v>
      </c>
      <c r="Y369" s="372">
        <f t="shared" si="152"/>
        <v>-56.059117513571657</v>
      </c>
      <c r="AA369" s="371">
        <f t="shared" si="153"/>
        <v>28.435522333193482</v>
      </c>
      <c r="AB369" s="372">
        <f t="shared" si="154"/>
        <v>-131.64902176368628</v>
      </c>
      <c r="AD369">
        <f t="shared" si="158"/>
        <v>0</v>
      </c>
      <c r="AE369">
        <f t="shared" si="161"/>
        <v>0</v>
      </c>
    </row>
    <row r="370" spans="1:31" x14ac:dyDescent="0.2">
      <c r="A370" s="373">
        <v>30375.75</v>
      </c>
      <c r="B370" s="390">
        <f t="shared" si="155"/>
        <v>30.37575</v>
      </c>
      <c r="C370" s="363">
        <f t="shared" si="136"/>
        <v>42.77652941999969</v>
      </c>
      <c r="D370" s="364">
        <f t="shared" si="137"/>
        <v>1.5474168914120761</v>
      </c>
      <c r="E370" s="364">
        <f t="shared" si="138"/>
        <v>1.0690206908653874</v>
      </c>
      <c r="F370" s="365">
        <f t="shared" si="139"/>
        <v>0.36130703579005863</v>
      </c>
      <c r="G370" s="364">
        <f t="shared" si="140"/>
        <v>1.2123021083653074</v>
      </c>
      <c r="H370" s="365">
        <f t="shared" si="141"/>
        <v>-0.60081192449447351</v>
      </c>
      <c r="I370" s="363">
        <f t="shared" si="142"/>
        <v>126003.30899322015</v>
      </c>
      <c r="J370" s="366">
        <f t="shared" si="143"/>
        <v>1.5707883904953819</v>
      </c>
      <c r="K370" s="374">
        <f t="shared" si="159"/>
        <v>38.054652045586437</v>
      </c>
      <c r="L370" s="375">
        <f t="shared" si="160"/>
        <v>1.5445153053989764</v>
      </c>
      <c r="M370" s="363">
        <f t="shared" si="144"/>
        <v>1.7306139822760025</v>
      </c>
      <c r="N370" s="366">
        <f t="shared" si="145"/>
        <v>0.95472942771515912</v>
      </c>
      <c r="O370" s="367">
        <f t="shared" si="146"/>
        <v>1.0808816805633072</v>
      </c>
      <c r="P370" s="368">
        <f t="shared" si="147"/>
        <v>0.51450271599774211</v>
      </c>
      <c r="Q370" s="369">
        <f t="shared" si="148"/>
        <v>-19.227302476066303</v>
      </c>
      <c r="R370" s="370">
        <f t="shared" si="149"/>
        <v>-188.06921438609919</v>
      </c>
      <c r="S370" s="372">
        <f t="shared" si="150"/>
        <v>-8.0692143860991905</v>
      </c>
      <c r="U370" s="345">
        <f t="shared" si="156"/>
        <v>30375.75</v>
      </c>
      <c r="V370" s="345">
        <f t="shared" si="157"/>
        <v>922686188.0625</v>
      </c>
      <c r="X370" s="371">
        <f t="shared" si="151"/>
        <v>12.93318626718785</v>
      </c>
      <c r="Y370" s="372">
        <f t="shared" si="152"/>
        <v>-56.20730374005732</v>
      </c>
      <c r="AA370" s="371">
        <f t="shared" si="153"/>
        <v>28.400085728750717</v>
      </c>
      <c r="AB370" s="372">
        <f t="shared" si="154"/>
        <v>-131.86191064604188</v>
      </c>
      <c r="AD370">
        <f t="shared" si="158"/>
        <v>0</v>
      </c>
      <c r="AE370">
        <f t="shared" si="161"/>
        <v>0</v>
      </c>
    </row>
    <row r="371" spans="1:31" x14ac:dyDescent="0.2">
      <c r="A371" s="373">
        <v>30551.5</v>
      </c>
      <c r="B371" s="390">
        <f t="shared" si="155"/>
        <v>30.551500000000001</v>
      </c>
      <c r="C371" s="363">
        <f t="shared" si="136"/>
        <v>43.023893791088653</v>
      </c>
      <c r="D371" s="364">
        <f t="shared" si="137"/>
        <v>1.5475513349428243</v>
      </c>
      <c r="E371" s="364">
        <f t="shared" si="138"/>
        <v>1.069795551419481</v>
      </c>
      <c r="F371" s="365">
        <f t="shared" si="139"/>
        <v>0.36321888553621962</v>
      </c>
      <c r="G371" s="364">
        <f t="shared" si="140"/>
        <v>1.2145481027130571</v>
      </c>
      <c r="H371" s="365">
        <f t="shared" si="141"/>
        <v>-0.6035049634687677</v>
      </c>
      <c r="I371" s="363">
        <f t="shared" si="142"/>
        <v>126732.34717513065</v>
      </c>
      <c r="J371" s="366">
        <f t="shared" si="143"/>
        <v>1.5707884361495934</v>
      </c>
      <c r="K371" s="374">
        <f t="shared" si="159"/>
        <v>38.274679535074213</v>
      </c>
      <c r="L371" s="375">
        <f t="shared" si="160"/>
        <v>1.5446664201163598</v>
      </c>
      <c r="M371" s="363">
        <f t="shared" si="144"/>
        <v>1.7372902552144869</v>
      </c>
      <c r="N371" s="366">
        <f t="shared" si="145"/>
        <v>0.95744755888855293</v>
      </c>
      <c r="O371" s="367">
        <f t="shared" si="146"/>
        <v>1.0818037542202612</v>
      </c>
      <c r="P371" s="368">
        <f t="shared" si="147"/>
        <v>0.5172909734722525</v>
      </c>
      <c r="Q371" s="369">
        <f t="shared" si="148"/>
        <v>-19.295899561772156</v>
      </c>
      <c r="R371" s="370">
        <f t="shared" si="149"/>
        <v>-188.42851348932652</v>
      </c>
      <c r="S371" s="372">
        <f t="shared" si="150"/>
        <v>-8.4285134893265194</v>
      </c>
      <c r="U371" s="345">
        <f t="shared" si="156"/>
        <v>30551.5</v>
      </c>
      <c r="V371" s="345">
        <f t="shared" si="157"/>
        <v>933394152.25</v>
      </c>
      <c r="X371" s="371">
        <f t="shared" si="151"/>
        <v>12.899708354906821</v>
      </c>
      <c r="Y371" s="372">
        <f t="shared" si="152"/>
        <v>-56.354385564889071</v>
      </c>
      <c r="AA371" s="371">
        <f t="shared" si="153"/>
        <v>28.3649665553259</v>
      </c>
      <c r="AB371" s="372">
        <f t="shared" si="154"/>
        <v>-132.07412792443745</v>
      </c>
      <c r="AD371">
        <f t="shared" si="158"/>
        <v>0</v>
      </c>
      <c r="AE371">
        <f t="shared" si="161"/>
        <v>0</v>
      </c>
    </row>
    <row r="372" spans="1:31" x14ac:dyDescent="0.2">
      <c r="A372" s="373">
        <v>30727.25</v>
      </c>
      <c r="B372" s="390">
        <f t="shared" si="155"/>
        <v>30.727250000000002</v>
      </c>
      <c r="C372" s="363">
        <f t="shared" si="136"/>
        <v>43.271258930946061</v>
      </c>
      <c r="D372" s="364">
        <f t="shared" si="137"/>
        <v>1.5476842413520684</v>
      </c>
      <c r="E372" s="364">
        <f t="shared" si="138"/>
        <v>1.0705743165888906</v>
      </c>
      <c r="F372" s="365">
        <f t="shared" si="139"/>
        <v>0.36512796078787785</v>
      </c>
      <c r="G372" s="364">
        <f t="shared" si="140"/>
        <v>1.216802872966243</v>
      </c>
      <c r="H372" s="365">
        <f t="shared" si="141"/>
        <v>-0.60618804128674542</v>
      </c>
      <c r="I372" s="363">
        <f t="shared" si="142"/>
        <v>127461.38535704141</v>
      </c>
      <c r="J372" s="366">
        <f t="shared" si="143"/>
        <v>1.5707884812815498</v>
      </c>
      <c r="K372" s="374">
        <f t="shared" si="159"/>
        <v>38.494707888597958</v>
      </c>
      <c r="L372" s="375">
        <f t="shared" si="160"/>
        <v>1.5448158073517466</v>
      </c>
      <c r="M372" s="363">
        <f t="shared" si="144"/>
        <v>1.7439792653367765</v>
      </c>
      <c r="N372" s="366">
        <f t="shared" si="145"/>
        <v>0.9601448591485906</v>
      </c>
      <c r="O372" s="367">
        <f t="shared" si="146"/>
        <v>1.0827307929432022</v>
      </c>
      <c r="P372" s="368">
        <f t="shared" si="147"/>
        <v>0.52007627489512209</v>
      </c>
      <c r="Q372" s="369">
        <f t="shared" si="148"/>
        <v>-19.364117704015204</v>
      </c>
      <c r="R372" s="370">
        <f t="shared" si="149"/>
        <v>-188.78604881138909</v>
      </c>
      <c r="S372" s="372">
        <f t="shared" si="150"/>
        <v>-8.7860488113890938</v>
      </c>
      <c r="U372" s="345">
        <f t="shared" si="156"/>
        <v>30727.25</v>
      </c>
      <c r="V372" s="345">
        <f t="shared" si="157"/>
        <v>944163892.5625</v>
      </c>
      <c r="X372" s="371">
        <f t="shared" si="151"/>
        <v>12.866295867904142</v>
      </c>
      <c r="Y372" s="372">
        <f t="shared" si="152"/>
        <v>-56.500372813805384</v>
      </c>
      <c r="AA372" s="371">
        <f t="shared" si="153"/>
        <v>28.330160900085527</v>
      </c>
      <c r="AB372" s="372">
        <f t="shared" si="154"/>
        <v>-132.28567599758372</v>
      </c>
      <c r="AD372">
        <f t="shared" si="158"/>
        <v>0</v>
      </c>
      <c r="AE372">
        <f t="shared" si="161"/>
        <v>0</v>
      </c>
    </row>
    <row r="373" spans="1:31" x14ac:dyDescent="0.2">
      <c r="A373" s="373">
        <v>30903</v>
      </c>
      <c r="B373" s="390">
        <f t="shared" si="155"/>
        <v>30.902999999999999</v>
      </c>
      <c r="C373" s="363">
        <f t="shared" si="136"/>
        <v>43.518624826462599</v>
      </c>
      <c r="D373" s="364">
        <f t="shared" si="137"/>
        <v>1.5478156368467078</v>
      </c>
      <c r="E373" s="364">
        <f t="shared" si="138"/>
        <v>1.0713569778588676</v>
      </c>
      <c r="F373" s="365">
        <f t="shared" si="139"/>
        <v>0.36703425369504411</v>
      </c>
      <c r="G373" s="364">
        <f t="shared" si="140"/>
        <v>1.2190663704294442</v>
      </c>
      <c r="H373" s="365">
        <f t="shared" si="141"/>
        <v>-0.60886117469717616</v>
      </c>
      <c r="I373" s="363">
        <f t="shared" si="142"/>
        <v>128190.42353895243</v>
      </c>
      <c r="J373" s="366">
        <f t="shared" si="143"/>
        <v>1.5707885259001619</v>
      </c>
      <c r="K373" s="374">
        <f t="shared" si="159"/>
        <v>38.714737091425881</v>
      </c>
      <c r="L373" s="375">
        <f t="shared" si="160"/>
        <v>1.5449634965520396</v>
      </c>
      <c r="M373" s="363">
        <f t="shared" si="144"/>
        <v>1.7506808666439917</v>
      </c>
      <c r="N373" s="366">
        <f t="shared" si="145"/>
        <v>0.96282152824336598</v>
      </c>
      <c r="O373" s="367">
        <f t="shared" si="146"/>
        <v>1.0836627915339621</v>
      </c>
      <c r="P373" s="368">
        <f t="shared" si="147"/>
        <v>0.52285861116843735</v>
      </c>
      <c r="Q373" s="369">
        <f t="shared" si="148"/>
        <v>-19.431960296471974</v>
      </c>
      <c r="R373" s="370">
        <f t="shared" si="149"/>
        <v>-189.14183250001483</v>
      </c>
      <c r="S373" s="372">
        <f t="shared" si="150"/>
        <v>-9.1418325000148286</v>
      </c>
      <c r="U373" s="345">
        <f t="shared" si="156"/>
        <v>30903</v>
      </c>
      <c r="V373" s="345">
        <f t="shared" si="157"/>
        <v>954995409</v>
      </c>
      <c r="X373" s="371">
        <f t="shared" si="151"/>
        <v>12.832949264109919</v>
      </c>
      <c r="Y373" s="372">
        <f t="shared" si="152"/>
        <v>-56.645275244856414</v>
      </c>
      <c r="AA373" s="371">
        <f t="shared" si="153"/>
        <v>28.295664911422975</v>
      </c>
      <c r="AB373" s="372">
        <f t="shared" si="154"/>
        <v>-132.49655725515842</v>
      </c>
      <c r="AD373">
        <f t="shared" si="158"/>
        <v>0</v>
      </c>
      <c r="AE373">
        <f t="shared" si="161"/>
        <v>0</v>
      </c>
    </row>
    <row r="374" spans="1:31" x14ac:dyDescent="0.2">
      <c r="A374" s="373">
        <v>31083</v>
      </c>
      <c r="B374" s="390">
        <f t="shared" si="155"/>
        <v>31.082999999999998</v>
      </c>
      <c r="C374" s="363">
        <f t="shared" si="136"/>
        <v>43.771973312969045</v>
      </c>
      <c r="D374" s="364">
        <f t="shared" si="137"/>
        <v>1.5479486703569347</v>
      </c>
      <c r="E374" s="364">
        <f t="shared" si="138"/>
        <v>1.0721625951514175</v>
      </c>
      <c r="F374" s="365">
        <f t="shared" si="139"/>
        <v>0.36898375254785543</v>
      </c>
      <c r="G374" s="364">
        <f t="shared" si="140"/>
        <v>1.2213935995862202</v>
      </c>
      <c r="H374" s="365">
        <f t="shared" si="141"/>
        <v>-0.61158865996369749</v>
      </c>
      <c r="I374" s="363">
        <f t="shared" si="142"/>
        <v>128937.09137817874</v>
      </c>
      <c r="J374" s="366">
        <f t="shared" si="143"/>
        <v>1.5707885710747287</v>
      </c>
      <c r="K374" s="374">
        <f t="shared" si="159"/>
        <v>38.940087922653667</v>
      </c>
      <c r="L374" s="375">
        <f t="shared" si="160"/>
        <v>1.5451130271296623</v>
      </c>
      <c r="M374" s="363">
        <f t="shared" si="144"/>
        <v>1.7575574276736741</v>
      </c>
      <c r="N374" s="366">
        <f t="shared" si="145"/>
        <v>0.96554174596583764</v>
      </c>
      <c r="O374" s="367">
        <f t="shared" si="146"/>
        <v>1.084622463575089</v>
      </c>
      <c r="P374" s="368">
        <f t="shared" si="147"/>
        <v>0.52570514714040939</v>
      </c>
      <c r="Q374" s="369">
        <f t="shared" si="148"/>
        <v>-19.501057684690412</v>
      </c>
      <c r="R374" s="370">
        <f t="shared" si="149"/>
        <v>-189.50441670670963</v>
      </c>
      <c r="S374" s="372">
        <f t="shared" si="150"/>
        <v>-9.5044167067096339</v>
      </c>
      <c r="U374" s="345">
        <f t="shared" si="156"/>
        <v>31083</v>
      </c>
      <c r="V374" s="345">
        <f t="shared" si="157"/>
        <v>966152889</v>
      </c>
      <c r="X374" s="371">
        <f t="shared" si="151"/>
        <v>12.798865021117276</v>
      </c>
      <c r="Y374" s="372">
        <f t="shared" si="152"/>
        <v>-56.792567357185121</v>
      </c>
      <c r="AA374" s="371">
        <f t="shared" si="153"/>
        <v>28.260651766197181</v>
      </c>
      <c r="AB374" s="372">
        <f t="shared" si="154"/>
        <v>-132.7118493495245</v>
      </c>
      <c r="AD374">
        <f t="shared" si="158"/>
        <v>0</v>
      </c>
      <c r="AE374">
        <f t="shared" si="161"/>
        <v>0</v>
      </c>
    </row>
    <row r="375" spans="1:31" x14ac:dyDescent="0.2">
      <c r="A375" s="373">
        <v>31263</v>
      </c>
      <c r="B375" s="390">
        <f t="shared" si="155"/>
        <v>31.263000000000002</v>
      </c>
      <c r="C375" s="363">
        <f t="shared" si="136"/>
        <v>44.025322565232273</v>
      </c>
      <c r="D375" s="364">
        <f t="shared" si="137"/>
        <v>1.5480801727533553</v>
      </c>
      <c r="E375" s="364">
        <f t="shared" si="138"/>
        <v>1.072972281119015</v>
      </c>
      <c r="F375" s="365">
        <f t="shared" si="139"/>
        <v>0.3709303165291063</v>
      </c>
      <c r="G375" s="364">
        <f t="shared" si="140"/>
        <v>1.2237298803062286</v>
      </c>
      <c r="H375" s="365">
        <f t="shared" si="141"/>
        <v>-0.61430575103616902</v>
      </c>
      <c r="I375" s="363">
        <f t="shared" si="142"/>
        <v>129683.75921740534</v>
      </c>
      <c r="J375" s="366">
        <f t="shared" si="143"/>
        <v>1.5707886157291004</v>
      </c>
      <c r="K375" s="374">
        <f t="shared" si="159"/>
        <v>39.165439614538755</v>
      </c>
      <c r="L375" s="375">
        <f t="shared" si="160"/>
        <v>1.5452608369603771</v>
      </c>
      <c r="M375" s="363">
        <f t="shared" si="144"/>
        <v>1.764446892472072</v>
      </c>
      <c r="N375" s="366">
        <f t="shared" si="145"/>
        <v>0.9682407407890139</v>
      </c>
      <c r="O375" s="367">
        <f t="shared" si="146"/>
        <v>1.0855873272049892</v>
      </c>
      <c r="P375" s="368">
        <f t="shared" si="147"/>
        <v>0.52854855383324917</v>
      </c>
      <c r="Q375" s="369">
        <f t="shared" si="148"/>
        <v>-19.569768214805944</v>
      </c>
      <c r="R375" s="370">
        <f t="shared" si="149"/>
        <v>-189.86518908403127</v>
      </c>
      <c r="S375" s="372">
        <f t="shared" si="150"/>
        <v>-9.8651890840312717</v>
      </c>
      <c r="U375" s="345">
        <f t="shared" si="156"/>
        <v>31263</v>
      </c>
      <c r="V375" s="345">
        <f t="shared" si="157"/>
        <v>977375169</v>
      </c>
      <c r="X375" s="371">
        <f t="shared" si="151"/>
        <v>12.764850798413489</v>
      </c>
      <c r="Y375" s="372">
        <f t="shared" si="152"/>
        <v>-56.938742048684347</v>
      </c>
      <c r="AA375" s="371">
        <f t="shared" si="153"/>
        <v>28.225955458785439</v>
      </c>
      <c r="AB375" s="372">
        <f t="shared" si="154"/>
        <v>-132.92644703534688</v>
      </c>
      <c r="AD375">
        <f t="shared" si="158"/>
        <v>0</v>
      </c>
      <c r="AE375">
        <f t="shared" si="161"/>
        <v>0</v>
      </c>
    </row>
    <row r="376" spans="1:31" x14ac:dyDescent="0.2">
      <c r="A376" s="373">
        <v>31443</v>
      </c>
      <c r="B376" s="390">
        <f t="shared" si="155"/>
        <v>31.443000000000001</v>
      </c>
      <c r="C376" s="363">
        <f t="shared" si="136"/>
        <v>44.278672570107979</v>
      </c>
      <c r="D376" s="364">
        <f t="shared" si="137"/>
        <v>1.5482101703131788</v>
      </c>
      <c r="E376" s="364">
        <f t="shared" si="138"/>
        <v>1.0737860265577341</v>
      </c>
      <c r="F376" s="365">
        <f t="shared" si="139"/>
        <v>0.3728739375431312</v>
      </c>
      <c r="G376" s="364">
        <f t="shared" si="140"/>
        <v>1.2260751608463318</v>
      </c>
      <c r="H376" s="365">
        <f t="shared" si="141"/>
        <v>-0.61701246732915327</v>
      </c>
      <c r="I376" s="363">
        <f t="shared" si="142"/>
        <v>130430.42705663218</v>
      </c>
      <c r="J376" s="366">
        <f t="shared" si="143"/>
        <v>1.5707886598722116</v>
      </c>
      <c r="K376" s="374">
        <f t="shared" si="159"/>
        <v>39.390792152309899</v>
      </c>
      <c r="L376" s="375">
        <f t="shared" si="160"/>
        <v>1.5454069555705623</v>
      </c>
      <c r="M376" s="363">
        <f t="shared" si="144"/>
        <v>1.7713491104758845</v>
      </c>
      <c r="N376" s="366">
        <f t="shared" si="145"/>
        <v>0.97091872125110268</v>
      </c>
      <c r="O376" s="367">
        <f t="shared" si="146"/>
        <v>1.08655737681729</v>
      </c>
      <c r="P376" s="368">
        <f t="shared" si="147"/>
        <v>0.53138882180590663</v>
      </c>
      <c r="Q376" s="369">
        <f t="shared" si="148"/>
        <v>-19.63809540125731</v>
      </c>
      <c r="R376" s="370">
        <f t="shared" si="149"/>
        <v>-190.22416242997465</v>
      </c>
      <c r="S376" s="372">
        <f t="shared" si="150"/>
        <v>-10.224162429974655</v>
      </c>
      <c r="U376" s="345">
        <f t="shared" si="156"/>
        <v>31443</v>
      </c>
      <c r="V376" s="345">
        <f t="shared" si="157"/>
        <v>988662249</v>
      </c>
      <c r="X376" s="371">
        <f t="shared" si="151"/>
        <v>12.730907027927664</v>
      </c>
      <c r="Y376" s="372">
        <f t="shared" si="152"/>
        <v>-57.083809576488335</v>
      </c>
      <c r="AA376" s="371">
        <f t="shared" si="153"/>
        <v>28.191572042819899</v>
      </c>
      <c r="AB376" s="372">
        <f t="shared" si="154"/>
        <v>-133.14035285348638</v>
      </c>
      <c r="AD376">
        <f t="shared" si="158"/>
        <v>0</v>
      </c>
      <c r="AE376">
        <f t="shared" si="161"/>
        <v>0</v>
      </c>
    </row>
    <row r="377" spans="1:31" x14ac:dyDescent="0.2">
      <c r="A377" s="373">
        <v>31623</v>
      </c>
      <c r="B377" s="390">
        <f t="shared" si="155"/>
        <v>31.623000000000001</v>
      </c>
      <c r="C377" s="363">
        <f t="shared" si="136"/>
        <v>44.532023314750965</v>
      </c>
      <c r="D377" s="364">
        <f t="shared" si="137"/>
        <v>1.548338688715837</v>
      </c>
      <c r="E377" s="364">
        <f t="shared" si="138"/>
        <v>1.0746038222454519</v>
      </c>
      <c r="F377" s="365">
        <f t="shared" si="139"/>
        <v>0.37481460760766483</v>
      </c>
      <c r="G377" s="364">
        <f t="shared" si="140"/>
        <v>1.2284293896599705</v>
      </c>
      <c r="H377" s="365">
        <f t="shared" si="141"/>
        <v>-0.61970882871730515</v>
      </c>
      <c r="I377" s="363">
        <f t="shared" si="142"/>
        <v>131177.09489585928</v>
      </c>
      <c r="J377" s="366">
        <f t="shared" si="143"/>
        <v>1.5707887035127923</v>
      </c>
      <c r="K377" s="374">
        <f t="shared" si="159"/>
        <v>39.61614552153187</v>
      </c>
      <c r="L377" s="375">
        <f t="shared" si="160"/>
        <v>1.5455514118150548</v>
      </c>
      <c r="M377" s="363">
        <f t="shared" si="144"/>
        <v>1.7782639331828582</v>
      </c>
      <c r="N377" s="366">
        <f t="shared" si="145"/>
        <v>0.97357589386132959</v>
      </c>
      <c r="O377" s="367">
        <f t="shared" si="146"/>
        <v>1.0875326067988234</v>
      </c>
      <c r="P377" s="368">
        <f t="shared" si="147"/>
        <v>0.53422594172921423</v>
      </c>
      <c r="Q377" s="369">
        <f t="shared" si="148"/>
        <v>-19.706042715831899</v>
      </c>
      <c r="R377" s="370">
        <f t="shared" si="149"/>
        <v>-190.58134945677202</v>
      </c>
      <c r="S377" s="372">
        <f t="shared" si="150"/>
        <v>-10.581349456772017</v>
      </c>
      <c r="U377" s="345">
        <f t="shared" si="156"/>
        <v>31623</v>
      </c>
      <c r="V377" s="345">
        <f t="shared" si="157"/>
        <v>1000014129</v>
      </c>
      <c r="X377" s="371">
        <f t="shared" si="151"/>
        <v>12.697034122320288</v>
      </c>
      <c r="Y377" s="372">
        <f t="shared" si="152"/>
        <v>-57.227780119943965</v>
      </c>
      <c r="AA377" s="371">
        <f t="shared" si="153"/>
        <v>28.157497633852692</v>
      </c>
      <c r="AB377" s="372">
        <f t="shared" si="154"/>
        <v>-133.35356933682809</v>
      </c>
      <c r="AD377">
        <f t="shared" si="158"/>
        <v>0</v>
      </c>
      <c r="AE377">
        <f t="shared" si="161"/>
        <v>0</v>
      </c>
    </row>
    <row r="378" spans="1:31" x14ac:dyDescent="0.2">
      <c r="A378" s="373">
        <v>31807</v>
      </c>
      <c r="B378" s="390">
        <f t="shared" si="155"/>
        <v>31.806999999999999</v>
      </c>
      <c r="C378" s="363">
        <f t="shared" si="136"/>
        <v>44.791004827479767</v>
      </c>
      <c r="D378" s="364">
        <f t="shared" si="137"/>
        <v>1.5484685603856156</v>
      </c>
      <c r="E378" s="364">
        <f t="shared" si="138"/>
        <v>1.0754439678070109</v>
      </c>
      <c r="F378" s="365">
        <f t="shared" si="139"/>
        <v>0.37679534543755183</v>
      </c>
      <c r="G378" s="364">
        <f t="shared" si="140"/>
        <v>1.2308451299638914</v>
      </c>
      <c r="H378" s="365">
        <f t="shared" si="141"/>
        <v>-0.62245442778817361</v>
      </c>
      <c r="I378" s="363">
        <f t="shared" si="142"/>
        <v>131940.35535373614</v>
      </c>
      <c r="J378" s="366">
        <f t="shared" si="143"/>
        <v>1.5707887476126416</v>
      </c>
      <c r="K378" s="374">
        <f t="shared" si="159"/>
        <v>39.846507588085757</v>
      </c>
      <c r="L378" s="375">
        <f t="shared" si="160"/>
        <v>1.5456973893715171</v>
      </c>
      <c r="M378" s="363">
        <f t="shared" si="144"/>
        <v>1.78534529409006</v>
      </c>
      <c r="N378" s="366">
        <f t="shared" si="145"/>
        <v>0.9762708210757598</v>
      </c>
      <c r="O378" s="367">
        <f t="shared" si="146"/>
        <v>1.0885348570335984</v>
      </c>
      <c r="P378" s="368">
        <f t="shared" si="147"/>
        <v>0.53712284540333477</v>
      </c>
      <c r="Q378" s="369">
        <f t="shared" si="148"/>
        <v>-19.775110913804404</v>
      </c>
      <c r="R378" s="370">
        <f t="shared" si="149"/>
        <v>-190.94464081527633</v>
      </c>
      <c r="S378" s="372">
        <f t="shared" si="150"/>
        <v>-10.94464081527633</v>
      </c>
      <c r="U378" s="345">
        <f t="shared" si="156"/>
        <v>31807</v>
      </c>
      <c r="V378" s="345">
        <f t="shared" si="157"/>
        <v>1011685249</v>
      </c>
      <c r="X378" s="371">
        <f t="shared" si="151"/>
        <v>12.662482140021663</v>
      </c>
      <c r="Y378" s="372">
        <f t="shared" si="152"/>
        <v>-57.373826704438947</v>
      </c>
      <c r="AA378" s="371">
        <f t="shared" si="153"/>
        <v>28.122981418178806</v>
      </c>
      <c r="AB378" s="372">
        <f t="shared" si="154"/>
        <v>-133.57081411083735</v>
      </c>
      <c r="AD378">
        <f t="shared" si="158"/>
        <v>0</v>
      </c>
      <c r="AE378">
        <f t="shared" si="161"/>
        <v>0</v>
      </c>
    </row>
    <row r="379" spans="1:31" x14ac:dyDescent="0.2">
      <c r="A379" s="373">
        <v>31991</v>
      </c>
      <c r="B379" s="390">
        <f t="shared" si="155"/>
        <v>31.991</v>
      </c>
      <c r="C379" s="363">
        <f t="shared" si="136"/>
        <v>45.049987086996715</v>
      </c>
      <c r="D379" s="364">
        <f t="shared" si="137"/>
        <v>1.5485969388514067</v>
      </c>
      <c r="E379" s="364">
        <f t="shared" si="138"/>
        <v>1.0762883260851259</v>
      </c>
      <c r="F379" s="365">
        <f t="shared" si="139"/>
        <v>0.37877298320145081</v>
      </c>
      <c r="G379" s="364">
        <f t="shared" si="140"/>
        <v>1.2332701123748921</v>
      </c>
      <c r="H379" s="365">
        <f t="shared" si="141"/>
        <v>-0.62518925004960246</v>
      </c>
      <c r="I379" s="363">
        <f t="shared" si="142"/>
        <v>132703.61581161324</v>
      </c>
      <c r="J379" s="366">
        <f t="shared" si="143"/>
        <v>1.5707887912052001</v>
      </c>
      <c r="K379" s="374">
        <f t="shared" si="159"/>
        <v>40.076870493985325</v>
      </c>
      <c r="L379" s="375">
        <f t="shared" si="160"/>
        <v>1.5458416887653554</v>
      </c>
      <c r="M379" s="363">
        <f t="shared" si="144"/>
        <v>1.7924395187981321</v>
      </c>
      <c r="N379" s="366">
        <f t="shared" si="145"/>
        <v>0.97894443529053599</v>
      </c>
      <c r="O379" s="367">
        <f t="shared" si="146"/>
        <v>1.089542508552827</v>
      </c>
      <c r="P379" s="368">
        <f t="shared" si="147"/>
        <v>0.54001644020345774</v>
      </c>
      <c r="Q379" s="369">
        <f t="shared" si="148"/>
        <v>-19.843789372414477</v>
      </c>
      <c r="R379" s="370">
        <f t="shared" si="149"/>
        <v>-191.306092167618</v>
      </c>
      <c r="S379" s="372">
        <f t="shared" si="150"/>
        <v>-11.306092167618004</v>
      </c>
      <c r="U379" s="345">
        <f t="shared" si="156"/>
        <v>31991</v>
      </c>
      <c r="V379" s="345">
        <f t="shared" si="157"/>
        <v>1023424081</v>
      </c>
      <c r="X379" s="371">
        <f t="shared" si="151"/>
        <v>12.628005019580135</v>
      </c>
      <c r="Y379" s="372">
        <f t="shared" si="152"/>
        <v>-57.518748266573809</v>
      </c>
      <c r="AA379" s="371">
        <f t="shared" si="153"/>
        <v>28.088780080010256</v>
      </c>
      <c r="AB379" s="372">
        <f t="shared" si="154"/>
        <v>-133.78734390104421</v>
      </c>
      <c r="AD379">
        <f t="shared" si="158"/>
        <v>0</v>
      </c>
      <c r="AE379">
        <f t="shared" si="161"/>
        <v>0</v>
      </c>
    </row>
    <row r="380" spans="1:31" x14ac:dyDescent="0.2">
      <c r="A380" s="373">
        <v>32175</v>
      </c>
      <c r="B380" s="390">
        <f t="shared" si="155"/>
        <v>32.174999999999997</v>
      </c>
      <c r="C380" s="363">
        <f t="shared" si="136"/>
        <v>45.30897008049606</v>
      </c>
      <c r="D380" s="364">
        <f t="shared" si="137"/>
        <v>1.5487238497140992</v>
      </c>
      <c r="E380" s="364">
        <f t="shared" si="138"/>
        <v>1.0771368871728613</v>
      </c>
      <c r="F380" s="365">
        <f t="shared" si="139"/>
        <v>0.38074751273865781</v>
      </c>
      <c r="G380" s="364">
        <f t="shared" si="140"/>
        <v>1.2357042824820264</v>
      </c>
      <c r="H380" s="365">
        <f t="shared" si="141"/>
        <v>-0.62791331815924756</v>
      </c>
      <c r="I380" s="363">
        <f t="shared" si="142"/>
        <v>133466.87626949057</v>
      </c>
      <c r="J380" s="366">
        <f t="shared" si="143"/>
        <v>1.5707888342991707</v>
      </c>
      <c r="K380" s="374">
        <f t="shared" si="159"/>
        <v>40.307234224839569</v>
      </c>
      <c r="L380" s="375">
        <f t="shared" si="160"/>
        <v>1.5459843387635919</v>
      </c>
      <c r="M380" s="363">
        <f t="shared" si="144"/>
        <v>1.7995464551709246</v>
      </c>
      <c r="N380" s="366">
        <f t="shared" si="145"/>
        <v>0.98159695056928653</v>
      </c>
      <c r="O380" s="367">
        <f t="shared" si="146"/>
        <v>1.0905555553406756</v>
      </c>
      <c r="P380" s="368">
        <f t="shared" si="147"/>
        <v>0.54290671652550571</v>
      </c>
      <c r="Q380" s="369">
        <f t="shared" si="148"/>
        <v>-19.9120816670513</v>
      </c>
      <c r="R380" s="370">
        <f t="shared" si="149"/>
        <v>-191.66571681332101</v>
      </c>
      <c r="S380" s="372">
        <f t="shared" si="150"/>
        <v>-11.665716813321012</v>
      </c>
      <c r="U380" s="345">
        <f t="shared" si="156"/>
        <v>32175</v>
      </c>
      <c r="V380" s="345">
        <f t="shared" si="157"/>
        <v>1035230625</v>
      </c>
      <c r="X380" s="371">
        <f t="shared" si="151"/>
        <v>12.593603142437846</v>
      </c>
      <c r="Y380" s="372">
        <f t="shared" si="152"/>
        <v>-57.662555423560654</v>
      </c>
      <c r="AA380" s="371">
        <f t="shared" si="153"/>
        <v>28.054889662515727</v>
      </c>
      <c r="AB380" s="372">
        <f t="shared" si="154"/>
        <v>-134.00316138976038</v>
      </c>
      <c r="AD380">
        <f t="shared" si="158"/>
        <v>0</v>
      </c>
      <c r="AE380">
        <f t="shared" si="161"/>
        <v>0</v>
      </c>
    </row>
    <row r="381" spans="1:31" x14ac:dyDescent="0.2">
      <c r="A381" s="373">
        <v>32359</v>
      </c>
      <c r="B381" s="390">
        <f t="shared" si="155"/>
        <v>32.359000000000002</v>
      </c>
      <c r="C381" s="363">
        <f t="shared" si="136"/>
        <v>45.567953795463175</v>
      </c>
      <c r="D381" s="364">
        <f t="shared" si="137"/>
        <v>1.5488493179927676</v>
      </c>
      <c r="E381" s="364">
        <f t="shared" si="138"/>
        <v>1.0779896411452403</v>
      </c>
      <c r="F381" s="365">
        <f t="shared" si="139"/>
        <v>0.38271892601104607</v>
      </c>
      <c r="G381" s="364">
        <f t="shared" si="140"/>
        <v>1.2381475860968874</v>
      </c>
      <c r="H381" s="365">
        <f t="shared" si="141"/>
        <v>-0.63062665523533767</v>
      </c>
      <c r="I381" s="363">
        <f t="shared" si="142"/>
        <v>134230.13672736817</v>
      </c>
      <c r="J381" s="366">
        <f t="shared" si="143"/>
        <v>1.5707888769030587</v>
      </c>
      <c r="K381" s="374">
        <f t="shared" si="159"/>
        <v>40.537598766584516</v>
      </c>
      <c r="L381" s="375">
        <f t="shared" si="160"/>
        <v>1.5461253674796183</v>
      </c>
      <c r="M381" s="363">
        <f t="shared" si="144"/>
        <v>1.8066659531956659</v>
      </c>
      <c r="N381" s="366">
        <f t="shared" si="145"/>
        <v>0.9842285787980577</v>
      </c>
      <c r="O381" s="367">
        <f t="shared" si="146"/>
        <v>1.0915739913751965</v>
      </c>
      <c r="P381" s="368">
        <f t="shared" si="147"/>
        <v>0.5457936648864915</v>
      </c>
      <c r="Q381" s="369">
        <f t="shared" si="148"/>
        <v>-19.979991329928581</v>
      </c>
      <c r="R381" s="370">
        <f t="shared" si="149"/>
        <v>-192.02352795755002</v>
      </c>
      <c r="S381" s="372">
        <f t="shared" si="150"/>
        <v>-12.023527957550016</v>
      </c>
      <c r="U381" s="345">
        <f t="shared" si="156"/>
        <v>32359</v>
      </c>
      <c r="V381" s="345">
        <f t="shared" si="157"/>
        <v>1047104881</v>
      </c>
      <c r="X381" s="371">
        <f t="shared" si="151"/>
        <v>12.559276871045578</v>
      </c>
      <c r="Y381" s="372">
        <f t="shared" si="152"/>
        <v>-57.805258705284281</v>
      </c>
      <c r="AA381" s="371">
        <f t="shared" si="153"/>
        <v>28.02130627103071</v>
      </c>
      <c r="AB381" s="372">
        <f t="shared" si="154"/>
        <v>-134.21826925226577</v>
      </c>
      <c r="AD381">
        <f t="shared" si="158"/>
        <v>0</v>
      </c>
      <c r="AE381">
        <f t="shared" si="161"/>
        <v>0</v>
      </c>
    </row>
    <row r="382" spans="1:31" x14ac:dyDescent="0.2">
      <c r="A382" s="373">
        <v>32547.5</v>
      </c>
      <c r="B382" s="390">
        <f t="shared" si="155"/>
        <v>32.547499999999999</v>
      </c>
      <c r="C382" s="363">
        <f t="shared" si="136"/>
        <v>45.833272086650076</v>
      </c>
      <c r="D382" s="364">
        <f t="shared" si="137"/>
        <v>1.5489763844140694</v>
      </c>
      <c r="E382" s="364">
        <f t="shared" si="138"/>
        <v>1.0788675880728795</v>
      </c>
      <c r="F382" s="365">
        <f t="shared" si="139"/>
        <v>0.38473531340393458</v>
      </c>
      <c r="G382" s="364">
        <f t="shared" si="140"/>
        <v>1.2406600593050694</v>
      </c>
      <c r="H382" s="365">
        <f t="shared" si="141"/>
        <v>-0.63339524783239565</v>
      </c>
      <c r="I382" s="363">
        <f t="shared" si="142"/>
        <v>135012.06388122673</v>
      </c>
      <c r="J382" s="366">
        <f t="shared" si="143"/>
        <v>1.5707889200493714</v>
      </c>
      <c r="K382" s="374">
        <f t="shared" si="159"/>
        <v>40.773598050264404</v>
      </c>
      <c r="L382" s="375">
        <f t="shared" si="160"/>
        <v>1.5462681927468391</v>
      </c>
      <c r="M382" s="363">
        <f t="shared" si="144"/>
        <v>1.813972440980272</v>
      </c>
      <c r="N382" s="366">
        <f t="shared" si="145"/>
        <v>0.98690312720131645</v>
      </c>
      <c r="O382" s="367">
        <f t="shared" si="146"/>
        <v>1.0926229170728037</v>
      </c>
      <c r="P382" s="368">
        <f t="shared" si="147"/>
        <v>0.54874775713416046</v>
      </c>
      <c r="Q382" s="369">
        <f t="shared" si="148"/>
        <v>-20.049168692133023</v>
      </c>
      <c r="R382" s="370">
        <f t="shared" si="149"/>
        <v>-192.38822305192784</v>
      </c>
      <c r="S382" s="372">
        <f t="shared" si="150"/>
        <v>-12.388223051927838</v>
      </c>
      <c r="U382" s="345">
        <f t="shared" si="156"/>
        <v>32547.5</v>
      </c>
      <c r="V382" s="345">
        <f t="shared" si="157"/>
        <v>1059339756.25</v>
      </c>
      <c r="X382" s="371">
        <f t="shared" si="151"/>
        <v>12.524189859854349</v>
      </c>
      <c r="Y382" s="372">
        <f t="shared" si="152"/>
        <v>-57.950318228142272</v>
      </c>
      <c r="AA382" s="371">
        <f t="shared" si="153"/>
        <v>27.987215920017498</v>
      </c>
      <c r="AB382" s="372">
        <f t="shared" si="154"/>
        <v>-134.4379048237856</v>
      </c>
      <c r="AD382">
        <f t="shared" si="158"/>
        <v>0</v>
      </c>
      <c r="AE382">
        <f t="shared" si="161"/>
        <v>0</v>
      </c>
    </row>
    <row r="383" spans="1:31" x14ac:dyDescent="0.2">
      <c r="A383" s="373">
        <v>32736</v>
      </c>
      <c r="B383" s="390">
        <f t="shared" si="155"/>
        <v>32.735999999999997</v>
      </c>
      <c r="C383" s="363">
        <f t="shared" si="136"/>
        <v>46.098591109336986</v>
      </c>
      <c r="D383" s="364">
        <f t="shared" si="137"/>
        <v>1.5491019881836237</v>
      </c>
      <c r="E383" s="364">
        <f t="shared" si="138"/>
        <v>1.0797499143362006</v>
      </c>
      <c r="F383" s="365">
        <f t="shared" si="139"/>
        <v>0.3867484135564892</v>
      </c>
      <c r="G383" s="364">
        <f t="shared" si="140"/>
        <v>1.2431820038218084</v>
      </c>
      <c r="H383" s="365">
        <f t="shared" si="141"/>
        <v>-0.6361526286463054</v>
      </c>
      <c r="I383" s="363">
        <f t="shared" si="142"/>
        <v>135793.99103508552</v>
      </c>
      <c r="J383" s="366">
        <f t="shared" si="143"/>
        <v>1.570788962698795</v>
      </c>
      <c r="K383" s="374">
        <f t="shared" si="159"/>
        <v>41.009598156114329</v>
      </c>
      <c r="L383" s="375">
        <f t="shared" si="160"/>
        <v>1.5464093741686578</v>
      </c>
      <c r="M383" s="363">
        <f t="shared" si="144"/>
        <v>1.8212918003256795</v>
      </c>
      <c r="N383" s="366">
        <f t="shared" si="145"/>
        <v>0.98955619764687908</v>
      </c>
      <c r="O383" s="367">
        <f t="shared" si="146"/>
        <v>1.0936774860319236</v>
      </c>
      <c r="P383" s="368">
        <f t="shared" si="147"/>
        <v>0.55169833688944658</v>
      </c>
      <c r="Q383" s="369">
        <f t="shared" si="148"/>
        <v>-20.117951847381722</v>
      </c>
      <c r="R383" s="370">
        <f t="shared" si="149"/>
        <v>-192.75104260929007</v>
      </c>
      <c r="S383" s="372">
        <f t="shared" si="150"/>
        <v>-12.751042609290067</v>
      </c>
      <c r="U383" s="345">
        <f t="shared" si="156"/>
        <v>32736</v>
      </c>
      <c r="V383" s="345">
        <f t="shared" si="157"/>
        <v>1071645696</v>
      </c>
      <c r="X383" s="371">
        <f t="shared" si="151"/>
        <v>12.489182908844054</v>
      </c>
      <c r="Y383" s="372">
        <f t="shared" si="152"/>
        <v>-58.094241311604449</v>
      </c>
      <c r="AA383" s="371">
        <f t="shared" si="153"/>
        <v>27.953439715779098</v>
      </c>
      <c r="AB383" s="372">
        <f t="shared" si="154"/>
        <v>-134.6568012976856</v>
      </c>
      <c r="AD383">
        <f t="shared" si="158"/>
        <v>0</v>
      </c>
      <c r="AE383">
        <f t="shared" si="161"/>
        <v>0</v>
      </c>
    </row>
    <row r="384" spans="1:31" x14ac:dyDescent="0.2">
      <c r="A384" s="373">
        <v>32924.5</v>
      </c>
      <c r="B384" s="390">
        <f t="shared" si="155"/>
        <v>32.924500000000002</v>
      </c>
      <c r="C384" s="363">
        <f t="shared" si="136"/>
        <v>46.363910850965809</v>
      </c>
      <c r="D384" s="364">
        <f t="shared" si="137"/>
        <v>1.549226154407721</v>
      </c>
      <c r="E384" s="364">
        <f t="shared" si="138"/>
        <v>1.0806366092081849</v>
      </c>
      <c r="F384" s="365">
        <f t="shared" si="139"/>
        <v>0.38875821822424722</v>
      </c>
      <c r="G384" s="364">
        <f t="shared" si="140"/>
        <v>1.2457133621231631</v>
      </c>
      <c r="H384" s="365">
        <f t="shared" si="141"/>
        <v>-0.63889882396942699</v>
      </c>
      <c r="I384" s="363">
        <f t="shared" si="142"/>
        <v>136575.91818894455</v>
      </c>
      <c r="J384" s="366">
        <f t="shared" si="143"/>
        <v>1.5707890048598638</v>
      </c>
      <c r="K384" s="374">
        <f t="shared" si="159"/>
        <v>41.245599070021328</v>
      </c>
      <c r="L384" s="375">
        <f t="shared" si="160"/>
        <v>1.5465489399568813</v>
      </c>
      <c r="M384" s="363">
        <f t="shared" si="144"/>
        <v>1.8286238766704563</v>
      </c>
      <c r="N384" s="366">
        <f t="shared" si="145"/>
        <v>0.99218801091559961</v>
      </c>
      <c r="O384" s="367">
        <f t="shared" si="146"/>
        <v>1.0947376917600613</v>
      </c>
      <c r="P384" s="368">
        <f t="shared" si="147"/>
        <v>0.55464539434983584</v>
      </c>
      <c r="Q384" s="369">
        <f t="shared" si="148"/>
        <v>-20.186344457589811</v>
      </c>
      <c r="R384" s="370">
        <f t="shared" si="149"/>
        <v>-193.1120005191753</v>
      </c>
      <c r="S384" s="372">
        <f t="shared" si="150"/>
        <v>-13.112000519175297</v>
      </c>
      <c r="U384" s="345">
        <f t="shared" si="156"/>
        <v>32924.5</v>
      </c>
      <c r="V384" s="345">
        <f t="shared" si="157"/>
        <v>1084022700.25</v>
      </c>
      <c r="X384" s="371">
        <f t="shared" si="151"/>
        <v>12.454256348895145</v>
      </c>
      <c r="Y384" s="372">
        <f t="shared" si="152"/>
        <v>-58.237038989553533</v>
      </c>
      <c r="AA384" s="371">
        <f t="shared" si="153"/>
        <v>27.919973665519908</v>
      </c>
      <c r="AB384" s="372">
        <f t="shared" si="154"/>
        <v>-134.8749615296218</v>
      </c>
      <c r="AD384">
        <f t="shared" si="158"/>
        <v>0</v>
      </c>
      <c r="AE384">
        <f t="shared" si="161"/>
        <v>0</v>
      </c>
    </row>
    <row r="385" spans="1:31" x14ac:dyDescent="0.2">
      <c r="A385" s="373">
        <v>33113</v>
      </c>
      <c r="B385" s="390">
        <f t="shared" si="155"/>
        <v>33.113</v>
      </c>
      <c r="C385" s="363">
        <f t="shared" si="136"/>
        <v>46.629231299264241</v>
      </c>
      <c r="D385" s="364">
        <f t="shared" si="137"/>
        <v>1.5493489076214118</v>
      </c>
      <c r="E385" s="364">
        <f t="shared" si="138"/>
        <v>1.0815276619439678</v>
      </c>
      <c r="F385" s="365">
        <f t="shared" si="139"/>
        <v>0.39076471929620754</v>
      </c>
      <c r="G385" s="364">
        <f t="shared" si="140"/>
        <v>1.2482540769379529</v>
      </c>
      <c r="H385" s="365">
        <f t="shared" si="141"/>
        <v>-0.64163386055609439</v>
      </c>
      <c r="I385" s="363">
        <f t="shared" si="142"/>
        <v>137357.84534280383</v>
      </c>
      <c r="J385" s="366">
        <f t="shared" si="143"/>
        <v>1.5707890465409182</v>
      </c>
      <c r="K385" s="374">
        <f t="shared" si="159"/>
        <v>41.481600778193595</v>
      </c>
      <c r="L385" s="375">
        <f t="shared" si="160"/>
        <v>1.5466869176815494</v>
      </c>
      <c r="M385" s="363">
        <f t="shared" si="144"/>
        <v>1.8359685176557707</v>
      </c>
      <c r="N385" s="366">
        <f t="shared" si="145"/>
        <v>0.99479878544255862</v>
      </c>
      <c r="O385" s="367">
        <f t="shared" si="146"/>
        <v>1.0958035277594256</v>
      </c>
      <c r="P385" s="368">
        <f t="shared" si="147"/>
        <v>0.55758891984483283</v>
      </c>
      <c r="Q385" s="369">
        <f t="shared" si="148"/>
        <v>-20.254350140491034</v>
      </c>
      <c r="R385" s="370">
        <f t="shared" si="149"/>
        <v>-193.47111056713561</v>
      </c>
      <c r="S385" s="372">
        <f t="shared" si="150"/>
        <v>-13.471110567135611</v>
      </c>
      <c r="U385" s="345">
        <f t="shared" si="156"/>
        <v>33113</v>
      </c>
      <c r="V385" s="345">
        <f t="shared" si="157"/>
        <v>1096470769</v>
      </c>
      <c r="X385" s="371">
        <f t="shared" si="151"/>
        <v>12.419410492085103</v>
      </c>
      <c r="Y385" s="372">
        <f t="shared" si="152"/>
        <v>-58.378722198228616</v>
      </c>
      <c r="AA385" s="371">
        <f t="shared" si="153"/>
        <v>27.886813839428733</v>
      </c>
      <c r="AB385" s="372">
        <f t="shared" si="154"/>
        <v>-135.09238836890697</v>
      </c>
      <c r="AD385">
        <f t="shared" si="158"/>
        <v>0</v>
      </c>
      <c r="AE385">
        <f t="shared" si="161"/>
        <v>0</v>
      </c>
    </row>
    <row r="386" spans="1:31" x14ac:dyDescent="0.2">
      <c r="A386" s="373">
        <v>33305.75</v>
      </c>
      <c r="B386" s="390">
        <f t="shared" si="155"/>
        <v>33.305750000000003</v>
      </c>
      <c r="C386" s="363">
        <f t="shared" si="136"/>
        <v>46.900534491838904</v>
      </c>
      <c r="D386" s="364">
        <f t="shared" si="137"/>
        <v>1.5494729923036925</v>
      </c>
      <c r="E386" s="364">
        <f t="shared" si="138"/>
        <v>1.0824432998682914</v>
      </c>
      <c r="F386" s="365">
        <f t="shared" si="139"/>
        <v>0.39281303530938289</v>
      </c>
      <c r="G386" s="364">
        <f t="shared" si="140"/>
        <v>1.2508616916981015</v>
      </c>
      <c r="H386" s="365">
        <f t="shared" si="141"/>
        <v>-0.64441905181303027</v>
      </c>
      <c r="I386" s="363">
        <f t="shared" si="142"/>
        <v>138157.40215397847</v>
      </c>
      <c r="J386" s="366">
        <f t="shared" si="143"/>
        <v>1.570789088673852</v>
      </c>
      <c r="K386" s="374">
        <f t="shared" si="159"/>
        <v>41.722924287073042</v>
      </c>
      <c r="L386" s="375">
        <f t="shared" si="160"/>
        <v>1.5468263922053274</v>
      </c>
      <c r="M386" s="363">
        <f t="shared" si="144"/>
        <v>1.8434915902986988</v>
      </c>
      <c r="N386" s="366">
        <f t="shared" si="145"/>
        <v>0.99744689310787904</v>
      </c>
      <c r="O386" s="367">
        <f t="shared" si="146"/>
        <v>1.0968992098850159</v>
      </c>
      <c r="P386" s="368">
        <f t="shared" si="147"/>
        <v>0.56059514904916663</v>
      </c>
      <c r="Q386" s="369">
        <f t="shared" si="148"/>
        <v>-20.32349272029094</v>
      </c>
      <c r="R386" s="370">
        <f t="shared" si="149"/>
        <v>-193.83642068869869</v>
      </c>
      <c r="S386" s="372">
        <f t="shared" si="150"/>
        <v>-13.836420688698695</v>
      </c>
      <c r="U386" s="345">
        <f t="shared" si="156"/>
        <v>33305.75</v>
      </c>
      <c r="V386" s="345">
        <f t="shared" si="157"/>
        <v>1109272983.0625</v>
      </c>
      <c r="X386" s="371">
        <f t="shared" si="151"/>
        <v>12.383862744953543</v>
      </c>
      <c r="Y386" s="372">
        <f t="shared" si="152"/>
        <v>-58.522458703789191</v>
      </c>
      <c r="AA386" s="371">
        <f t="shared" si="153"/>
        <v>27.853219006760387</v>
      </c>
      <c r="AB386" s="372">
        <f t="shared" si="154"/>
        <v>-135.31396198490953</v>
      </c>
      <c r="AD386">
        <f t="shared" si="158"/>
        <v>0</v>
      </c>
      <c r="AE386">
        <f t="shared" si="161"/>
        <v>0</v>
      </c>
    </row>
    <row r="387" spans="1:31" x14ac:dyDescent="0.2">
      <c r="A387" s="373">
        <v>33498.5</v>
      </c>
      <c r="B387" s="390">
        <f t="shared" si="155"/>
        <v>33.4985</v>
      </c>
      <c r="C387" s="363">
        <f t="shared" si="136"/>
        <v>47.171838398235003</v>
      </c>
      <c r="D387" s="364">
        <f t="shared" si="137"/>
        <v>1.5495956496676386</v>
      </c>
      <c r="E387" s="364">
        <f t="shared" si="138"/>
        <v>1.0833634716022129</v>
      </c>
      <c r="F387" s="365">
        <f t="shared" si="139"/>
        <v>0.39485788035121366</v>
      </c>
      <c r="G387" s="364">
        <f t="shared" si="140"/>
        <v>1.2534789693401851</v>
      </c>
      <c r="H387" s="365">
        <f t="shared" si="141"/>
        <v>-0.6471926334918342</v>
      </c>
      <c r="I387" s="363">
        <f t="shared" si="142"/>
        <v>138956.95896515338</v>
      </c>
      <c r="J387" s="366">
        <f t="shared" si="143"/>
        <v>1.5707891303219208</v>
      </c>
      <c r="K387" s="374">
        <f t="shared" si="159"/>
        <v>41.964248598259481</v>
      </c>
      <c r="L387" s="375">
        <f t="shared" si="160"/>
        <v>1.5469642625761051</v>
      </c>
      <c r="M387" s="363">
        <f t="shared" si="144"/>
        <v>1.8510274852450714</v>
      </c>
      <c r="N387" s="366">
        <f t="shared" si="145"/>
        <v>1.0000734571387031</v>
      </c>
      <c r="O387" s="367">
        <f t="shared" si="146"/>
        <v>1.0980007652720587</v>
      </c>
      <c r="P387" s="368">
        <f t="shared" si="147"/>
        <v>0.56359766519625421</v>
      </c>
      <c r="Q387" s="369">
        <f t="shared" si="148"/>
        <v>-20.392238241133228</v>
      </c>
      <c r="R387" s="370">
        <f t="shared" si="149"/>
        <v>-194.19982750469759</v>
      </c>
      <c r="S387" s="372">
        <f t="shared" si="150"/>
        <v>-14.199827504697595</v>
      </c>
      <c r="U387" s="345">
        <f t="shared" si="156"/>
        <v>33498.5</v>
      </c>
      <c r="V387" s="345">
        <f t="shared" si="157"/>
        <v>1122149502.25</v>
      </c>
      <c r="X387" s="371">
        <f t="shared" si="151"/>
        <v>12.348399983085157</v>
      </c>
      <c r="Y387" s="372">
        <f t="shared" si="152"/>
        <v>-58.665052733432326</v>
      </c>
      <c r="AA387" s="371">
        <f t="shared" si="153"/>
        <v>27.819936247786487</v>
      </c>
      <c r="AB387" s="372">
        <f t="shared" si="154"/>
        <v>-135.53477477126526</v>
      </c>
      <c r="AD387">
        <f t="shared" si="158"/>
        <v>0</v>
      </c>
      <c r="AE387">
        <f t="shared" si="161"/>
        <v>0</v>
      </c>
    </row>
    <row r="388" spans="1:31" x14ac:dyDescent="0.2">
      <c r="A388" s="373">
        <v>33691.25</v>
      </c>
      <c r="B388" s="390">
        <f t="shared" si="155"/>
        <v>33.691249999999997</v>
      </c>
      <c r="C388" s="363">
        <f t="shared" si="136"/>
        <v>47.44314300620659</v>
      </c>
      <c r="D388" s="364">
        <f t="shared" si="137"/>
        <v>1.5497169041959771</v>
      </c>
      <c r="E388" s="364">
        <f t="shared" si="138"/>
        <v>1.0842881656029979</v>
      </c>
      <c r="F388" s="365">
        <f t="shared" si="139"/>
        <v>0.39689924617975519</v>
      </c>
      <c r="G388" s="364">
        <f t="shared" si="140"/>
        <v>1.2561058494621824</v>
      </c>
      <c r="H388" s="365">
        <f t="shared" si="141"/>
        <v>-0.64995463562344846</v>
      </c>
      <c r="I388" s="363">
        <f t="shared" si="142"/>
        <v>139756.51577632851</v>
      </c>
      <c r="J388" s="366">
        <f t="shared" si="143"/>
        <v>1.5707891714934463</v>
      </c>
      <c r="K388" s="374">
        <f t="shared" si="159"/>
        <v>42.205573697990538</v>
      </c>
      <c r="L388" s="375">
        <f t="shared" si="160"/>
        <v>1.5471005563055102</v>
      </c>
      <c r="M388" s="363">
        <f t="shared" si="144"/>
        <v>1.8585760465246328</v>
      </c>
      <c r="N388" s="366">
        <f t="shared" si="145"/>
        <v>1.0026787035698375</v>
      </c>
      <c r="O388" s="367">
        <f t="shared" si="146"/>
        <v>1.0991081869584403</v>
      </c>
      <c r="P388" s="368">
        <f t="shared" si="147"/>
        <v>0.56659645837242611</v>
      </c>
      <c r="Q388" s="369">
        <f t="shared" si="148"/>
        <v>-20.460590432772342</v>
      </c>
      <c r="R388" s="370">
        <f t="shared" si="149"/>
        <v>-194.5613454177697</v>
      </c>
      <c r="S388" s="372">
        <f t="shared" si="150"/>
        <v>-14.561345417769701</v>
      </c>
      <c r="U388" s="345">
        <f t="shared" si="156"/>
        <v>33691.25</v>
      </c>
      <c r="V388" s="345">
        <f t="shared" si="157"/>
        <v>1135100326.5625</v>
      </c>
      <c r="X388" s="371">
        <f t="shared" si="151"/>
        <v>12.313022482415777</v>
      </c>
      <c r="Y388" s="372">
        <f t="shared" si="152"/>
        <v>-58.806515662175123</v>
      </c>
      <c r="AA388" s="371">
        <f t="shared" si="153"/>
        <v>27.786961556816753</v>
      </c>
      <c r="AB388" s="372">
        <f t="shared" si="154"/>
        <v>-135.75482975559459</v>
      </c>
      <c r="AD388">
        <f t="shared" si="158"/>
        <v>0</v>
      </c>
      <c r="AE388">
        <f t="shared" si="161"/>
        <v>0</v>
      </c>
    </row>
    <row r="389" spans="1:31" x14ac:dyDescent="0.2">
      <c r="A389" s="373">
        <v>33884</v>
      </c>
      <c r="B389" s="390">
        <f t="shared" si="155"/>
        <v>33.884</v>
      </c>
      <c r="C389" s="363">
        <f t="shared" si="136"/>
        <v>47.71444830378617</v>
      </c>
      <c r="D389" s="364">
        <f t="shared" si="137"/>
        <v>1.5498367798147643</v>
      </c>
      <c r="E389" s="364">
        <f t="shared" si="138"/>
        <v>1.085217370310622</v>
      </c>
      <c r="F389" s="365">
        <f t="shared" si="139"/>
        <v>0.39893712469707238</v>
      </c>
      <c r="G389" s="364">
        <f t="shared" si="140"/>
        <v>1.2587422719455994</v>
      </c>
      <c r="H389" s="365">
        <f t="shared" si="141"/>
        <v>-0.6527050886952791</v>
      </c>
      <c r="I389" s="363">
        <f t="shared" si="142"/>
        <v>140556.07258750388</v>
      </c>
      <c r="J389" s="366">
        <f t="shared" si="143"/>
        <v>1.5707892121965616</v>
      </c>
      <c r="K389" s="374">
        <f t="shared" si="159"/>
        <v>42.446899572816776</v>
      </c>
      <c r="L389" s="375">
        <f t="shared" si="160"/>
        <v>1.5472353002797532</v>
      </c>
      <c r="M389" s="363">
        <f t="shared" si="144"/>
        <v>1.8661371204306894</v>
      </c>
      <c r="N389" s="366">
        <f t="shared" si="145"/>
        <v>1.0052628559395049</v>
      </c>
      <c r="O389" s="367">
        <f t="shared" si="146"/>
        <v>1.1002214679778322</v>
      </c>
      <c r="P389" s="368">
        <f t="shared" si="147"/>
        <v>0.5695915188066677</v>
      </c>
      <c r="Q389" s="369">
        <f t="shared" si="148"/>
        <v>-20.528552980001038</v>
      </c>
      <c r="R389" s="370">
        <f t="shared" si="149"/>
        <v>-194.92098871751287</v>
      </c>
      <c r="S389" s="372">
        <f t="shared" si="150"/>
        <v>-14.92098871751287</v>
      </c>
      <c r="U389" s="345">
        <f t="shared" si="156"/>
        <v>33884</v>
      </c>
      <c r="V389" s="345">
        <f t="shared" si="157"/>
        <v>1148125456</v>
      </c>
      <c r="X389" s="371">
        <f t="shared" si="151"/>
        <v>12.277730500484518</v>
      </c>
      <c r="Y389" s="372">
        <f t="shared" si="152"/>
        <v>-58.946858757813921</v>
      </c>
      <c r="AA389" s="371">
        <f t="shared" si="153"/>
        <v>27.754290991519312</v>
      </c>
      <c r="AB389" s="372">
        <f t="shared" si="154"/>
        <v>-135.97412995969893</v>
      </c>
      <c r="AD389">
        <f t="shared" si="158"/>
        <v>0</v>
      </c>
      <c r="AE389">
        <f t="shared" si="161"/>
        <v>0</v>
      </c>
    </row>
    <row r="390" spans="1:31" x14ac:dyDescent="0.2">
      <c r="A390" s="373">
        <v>34081.5</v>
      </c>
      <c r="B390" s="390">
        <f t="shared" si="155"/>
        <v>34.081499999999998</v>
      </c>
      <c r="C390" s="363">
        <f t="shared" si="136"/>
        <v>47.992440167808198</v>
      </c>
      <c r="D390" s="364">
        <f t="shared" si="137"/>
        <v>1.549958203719709</v>
      </c>
      <c r="E390" s="364">
        <f t="shared" si="138"/>
        <v>1.0861741404152745</v>
      </c>
      <c r="F390" s="365">
        <f t="shared" si="139"/>
        <v>0.40102159771129048</v>
      </c>
      <c r="G390" s="364">
        <f t="shared" si="140"/>
        <v>1.2614535000537859</v>
      </c>
      <c r="H390" s="365">
        <f t="shared" si="141"/>
        <v>-0.65551137493700018</v>
      </c>
      <c r="I390" s="363">
        <f t="shared" si="142"/>
        <v>141375.3331333258</v>
      </c>
      <c r="J390" s="366">
        <f t="shared" si="143"/>
        <v>1.5707892534251804</v>
      </c>
      <c r="K390" s="374">
        <f t="shared" si="159"/>
        <v>42.694173308724856</v>
      </c>
      <c r="L390" s="375">
        <f t="shared" si="160"/>
        <v>1.547371784758417</v>
      </c>
      <c r="M390" s="363">
        <f t="shared" si="144"/>
        <v>1.8738973448579137</v>
      </c>
      <c r="N390" s="366">
        <f t="shared" si="145"/>
        <v>1.0078890413619843</v>
      </c>
      <c r="O390" s="367">
        <f t="shared" si="146"/>
        <v>1.1013682543510162</v>
      </c>
      <c r="P390" s="368">
        <f t="shared" si="147"/>
        <v>0.5726565055498094</v>
      </c>
      <c r="Q390" s="369">
        <f t="shared" si="148"/>
        <v>-20.597789991165673</v>
      </c>
      <c r="R390" s="370">
        <f t="shared" si="149"/>
        <v>-195.28756516995151</v>
      </c>
      <c r="S390" s="372">
        <f t="shared" si="150"/>
        <v>-15.287565169951506</v>
      </c>
      <c r="U390" s="345">
        <f t="shared" si="156"/>
        <v>34081.5</v>
      </c>
      <c r="V390" s="345">
        <f t="shared" si="157"/>
        <v>1161548642.25</v>
      </c>
      <c r="X390" s="371">
        <f t="shared" si="151"/>
        <v>12.24165776335852</v>
      </c>
      <c r="Y390" s="372">
        <f t="shared" si="152"/>
        <v>-59.08951047653315</v>
      </c>
      <c r="AA390" s="371">
        <f t="shared" si="153"/>
        <v>27.721126717480679</v>
      </c>
      <c r="AB390" s="372">
        <f t="shared" si="154"/>
        <v>-136.1980546934183</v>
      </c>
      <c r="AD390">
        <f t="shared" si="158"/>
        <v>0</v>
      </c>
      <c r="AE390">
        <f t="shared" si="161"/>
        <v>0</v>
      </c>
    </row>
    <row r="391" spans="1:31" x14ac:dyDescent="0.2">
      <c r="A391" s="373">
        <v>34279</v>
      </c>
      <c r="B391" s="390">
        <f t="shared" si="155"/>
        <v>34.279000000000003</v>
      </c>
      <c r="C391" s="363">
        <f t="shared" si="136"/>
        <v>48.270432731269381</v>
      </c>
      <c r="D391" s="364">
        <f t="shared" si="137"/>
        <v>1.550078229050065</v>
      </c>
      <c r="E391" s="364">
        <f t="shared" si="138"/>
        <v>1.0871356216577235</v>
      </c>
      <c r="F391" s="365">
        <f t="shared" si="139"/>
        <v>0.40310239266652148</v>
      </c>
      <c r="G391" s="364">
        <f t="shared" si="140"/>
        <v>1.2641746197573871</v>
      </c>
      <c r="H391" s="365">
        <f t="shared" si="141"/>
        <v>-0.65830560211469047</v>
      </c>
      <c r="I391" s="363">
        <f t="shared" si="142"/>
        <v>142194.59367914803</v>
      </c>
      <c r="J391" s="366">
        <f t="shared" si="143"/>
        <v>1.570789294178718</v>
      </c>
      <c r="K391" s="374">
        <f t="shared" si="159"/>
        <v>42.941447830781151</v>
      </c>
      <c r="L391" s="375">
        <f t="shared" si="160"/>
        <v>1.5475066973720182</v>
      </c>
      <c r="M391" s="363">
        <f t="shared" si="144"/>
        <v>1.8816703866220343</v>
      </c>
      <c r="N391" s="366">
        <f t="shared" si="145"/>
        <v>1.0104935474669017</v>
      </c>
      <c r="O391" s="367">
        <f t="shared" si="146"/>
        <v>1.1025211775824608</v>
      </c>
      <c r="P391" s="368">
        <f t="shared" si="147"/>
        <v>0.57571755299724003</v>
      </c>
      <c r="Q391" s="369">
        <f t="shared" si="148"/>
        <v>-20.666625608276053</v>
      </c>
      <c r="R391" s="370">
        <f t="shared" si="149"/>
        <v>-195.65220348934594</v>
      </c>
      <c r="S391" s="372">
        <f t="shared" si="150"/>
        <v>-15.652203489345936</v>
      </c>
      <c r="U391" s="345">
        <f t="shared" si="156"/>
        <v>34279</v>
      </c>
      <c r="V391" s="345">
        <f t="shared" si="157"/>
        <v>1175049841</v>
      </c>
      <c r="X391" s="371">
        <f t="shared" si="151"/>
        <v>12.205675302270439</v>
      </c>
      <c r="Y391" s="372">
        <f t="shared" si="152"/>
        <v>-59.231010095865948</v>
      </c>
      <c r="AA391" s="371">
        <f t="shared" si="153"/>
        <v>27.688273561458381</v>
      </c>
      <c r="AB391" s="372">
        <f t="shared" si="154"/>
        <v>-136.42119339348</v>
      </c>
      <c r="AD391">
        <f t="shared" si="158"/>
        <v>0</v>
      </c>
      <c r="AE391">
        <f t="shared" si="161"/>
        <v>0</v>
      </c>
    </row>
    <row r="392" spans="1:31" x14ac:dyDescent="0.2">
      <c r="A392" s="373">
        <v>34476.5</v>
      </c>
      <c r="B392" s="390">
        <f t="shared" si="155"/>
        <v>34.476500000000001</v>
      </c>
      <c r="C392" s="363">
        <f t="shared" si="136"/>
        <v>48.548425982154569</v>
      </c>
      <c r="D392" s="364">
        <f t="shared" si="137"/>
        <v>1.5501968798274872</v>
      </c>
      <c r="E392" s="364">
        <f t="shared" si="138"/>
        <v>1.0881018015492367</v>
      </c>
      <c r="F392" s="365">
        <f t="shared" si="139"/>
        <v>0.40517950131838387</v>
      </c>
      <c r="G392" s="364">
        <f t="shared" si="140"/>
        <v>1.2669055673194953</v>
      </c>
      <c r="H392" s="365">
        <f t="shared" si="141"/>
        <v>-0.66108780443882087</v>
      </c>
      <c r="I392" s="363">
        <f t="shared" si="142"/>
        <v>143013.85422497045</v>
      </c>
      <c r="J392" s="366">
        <f t="shared" si="143"/>
        <v>1.5707893344653392</v>
      </c>
      <c r="K392" s="374">
        <f t="shared" si="159"/>
        <v>43.188723125482511</v>
      </c>
      <c r="L392" s="375">
        <f t="shared" si="160"/>
        <v>1.5476400651145534</v>
      </c>
      <c r="M392" s="363">
        <f t="shared" si="144"/>
        <v>1.8894560875351609</v>
      </c>
      <c r="N392" s="366">
        <f t="shared" si="145"/>
        <v>1.0130766066956227</v>
      </c>
      <c r="O392" s="367">
        <f t="shared" si="146"/>
        <v>1.1036802301668287</v>
      </c>
      <c r="P392" s="368">
        <f t="shared" si="147"/>
        <v>0.57877465110068493</v>
      </c>
      <c r="Q392" s="369">
        <f t="shared" si="148"/>
        <v>-20.735063653487011</v>
      </c>
      <c r="R392" s="370">
        <f t="shared" si="149"/>
        <v>-196.01491868053077</v>
      </c>
      <c r="S392" s="372">
        <f t="shared" si="150"/>
        <v>-16.014918680530769</v>
      </c>
      <c r="U392" s="345">
        <f t="shared" si="156"/>
        <v>34476.5</v>
      </c>
      <c r="V392" s="345">
        <f t="shared" si="157"/>
        <v>1188629052.25</v>
      </c>
      <c r="X392" s="371">
        <f t="shared" si="151"/>
        <v>12.169783337511753</v>
      </c>
      <c r="Y392" s="372">
        <f t="shared" si="152"/>
        <v>-59.371369387547269</v>
      </c>
      <c r="AA392" s="371">
        <f t="shared" si="153"/>
        <v>27.65572748100611</v>
      </c>
      <c r="AB392" s="372">
        <f t="shared" si="154"/>
        <v>-136.64354929298347</v>
      </c>
      <c r="AD392">
        <f t="shared" si="158"/>
        <v>0</v>
      </c>
      <c r="AE392">
        <f t="shared" si="161"/>
        <v>0</v>
      </c>
    </row>
    <row r="393" spans="1:31" x14ac:dyDescent="0.2">
      <c r="A393" s="373">
        <v>34674</v>
      </c>
      <c r="B393" s="390">
        <f t="shared" si="155"/>
        <v>34.673999999999999</v>
      </c>
      <c r="C393" s="363">
        <f t="shared" si="136"/>
        <v>48.826419908722208</v>
      </c>
      <c r="D393" s="364">
        <f t="shared" si="137"/>
        <v>1.5503141795267175</v>
      </c>
      <c r="E393" s="364">
        <f t="shared" si="138"/>
        <v>1.0890726675844777</v>
      </c>
      <c r="F393" s="365">
        <f t="shared" si="139"/>
        <v>0.40725291557891302</v>
      </c>
      <c r="G393" s="364">
        <f t="shared" si="140"/>
        <v>1.2696462793223708</v>
      </c>
      <c r="H393" s="365">
        <f t="shared" si="141"/>
        <v>-0.66385801657069665</v>
      </c>
      <c r="I393" s="363">
        <f t="shared" si="142"/>
        <v>143833.11477079309</v>
      </c>
      <c r="J393" s="366">
        <f t="shared" si="143"/>
        <v>1.5707893742930226</v>
      </c>
      <c r="K393" s="374">
        <f t="shared" si="159"/>
        <v>43.435999179633271</v>
      </c>
      <c r="L393" s="375">
        <f t="shared" si="160"/>
        <v>1.5477719143655475</v>
      </c>
      <c r="M393" s="363">
        <f t="shared" si="144"/>
        <v>1.897254291750482</v>
      </c>
      <c r="N393" s="366">
        <f t="shared" si="145"/>
        <v>1.0156384488220478</v>
      </c>
      <c r="O393" s="367">
        <f t="shared" si="146"/>
        <v>1.1048454045958687</v>
      </c>
      <c r="P393" s="368">
        <f t="shared" si="147"/>
        <v>0.58182778996704754</v>
      </c>
      <c r="Q393" s="369">
        <f t="shared" si="148"/>
        <v>-20.803107902739157</v>
      </c>
      <c r="R393" s="370">
        <f t="shared" si="149"/>
        <v>-196.37572562512608</v>
      </c>
      <c r="S393" s="372">
        <f t="shared" si="150"/>
        <v>-16.37572562512608</v>
      </c>
      <c r="U393" s="345">
        <f t="shared" si="156"/>
        <v>34674</v>
      </c>
      <c r="V393" s="345">
        <f t="shared" si="157"/>
        <v>1202286276</v>
      </c>
      <c r="X393" s="371">
        <f t="shared" si="151"/>
        <v>12.133982071310665</v>
      </c>
      <c r="Y393" s="372">
        <f t="shared" si="152"/>
        <v>-59.510600005673581</v>
      </c>
      <c r="AA393" s="371">
        <f t="shared" si="153"/>
        <v>27.623484497955051</v>
      </c>
      <c r="AB393" s="372">
        <f t="shared" si="154"/>
        <v>-136.86512561945253</v>
      </c>
      <c r="AD393">
        <f t="shared" si="158"/>
        <v>0</v>
      </c>
      <c r="AE393">
        <f t="shared" si="161"/>
        <v>0</v>
      </c>
    </row>
    <row r="394" spans="1:31" x14ac:dyDescent="0.2">
      <c r="A394" s="373">
        <v>34875.75</v>
      </c>
      <c r="B394" s="390">
        <f t="shared" si="155"/>
        <v>34.875749999999996</v>
      </c>
      <c r="C394" s="363">
        <f t="shared" si="136"/>
        <v>49.110396668793356</v>
      </c>
      <c r="D394" s="364">
        <f t="shared" si="137"/>
        <v>1.5504326322511328</v>
      </c>
      <c r="E394" s="364">
        <f t="shared" si="138"/>
        <v>1.0900692511427483</v>
      </c>
      <c r="F394" s="365">
        <f t="shared" si="139"/>
        <v>0.40936712487070548</v>
      </c>
      <c r="G394" s="364">
        <f t="shared" si="140"/>
        <v>1.2724559849411108</v>
      </c>
      <c r="H394" s="365">
        <f t="shared" si="141"/>
        <v>-0.66667549737153109</v>
      </c>
      <c r="I394" s="363">
        <f t="shared" si="142"/>
        <v>144670.00497393112</v>
      </c>
      <c r="J394" s="366">
        <f t="shared" si="143"/>
        <v>1.5707894145120072</v>
      </c>
      <c r="K394" s="374">
        <f t="shared" si="159"/>
        <v>43.688597134792204</v>
      </c>
      <c r="L394" s="375">
        <f t="shared" si="160"/>
        <v>1.5479050598294886</v>
      </c>
      <c r="M394" s="363">
        <f t="shared" si="144"/>
        <v>1.9052330555489083</v>
      </c>
      <c r="N394" s="366">
        <f t="shared" si="145"/>
        <v>1.0182337485063568</v>
      </c>
      <c r="O394" s="367">
        <f t="shared" si="146"/>
        <v>1.1060419654540852</v>
      </c>
      <c r="P394" s="368">
        <f t="shared" si="147"/>
        <v>0.58494253121176432</v>
      </c>
      <c r="Q394" s="369">
        <f t="shared" si="148"/>
        <v>-20.872213676229197</v>
      </c>
      <c r="R394" s="370">
        <f t="shared" si="149"/>
        <v>-196.74234183335881</v>
      </c>
      <c r="S394" s="372">
        <f t="shared" si="150"/>
        <v>-16.742341833358807</v>
      </c>
      <c r="U394" s="345">
        <f t="shared" si="156"/>
        <v>34875.75</v>
      </c>
      <c r="V394" s="345">
        <f t="shared" si="157"/>
        <v>1216317938.0625</v>
      </c>
      <c r="X394" s="371">
        <f t="shared" si="151"/>
        <v>12.09750423725268</v>
      </c>
      <c r="Y394" s="372">
        <f t="shared" si="152"/>
        <v>-59.65167335555028</v>
      </c>
      <c r="AA394" s="371">
        <f t="shared" si="153"/>
        <v>27.590856558522994</v>
      </c>
      <c r="AB394" s="372">
        <f t="shared" si="154"/>
        <v>-137.09066847780858</v>
      </c>
      <c r="AD394">
        <f t="shared" si="158"/>
        <v>0</v>
      </c>
      <c r="AE394">
        <f t="shared" si="161"/>
        <v>0</v>
      </c>
    </row>
    <row r="395" spans="1:31" x14ac:dyDescent="0.2">
      <c r="A395" s="373">
        <v>35077.5</v>
      </c>
      <c r="B395" s="390">
        <f t="shared" si="155"/>
        <v>35.077500000000001</v>
      </c>
      <c r="C395" s="363">
        <f t="shared" si="136"/>
        <v>49.394374110011668</v>
      </c>
      <c r="D395" s="364">
        <f t="shared" si="137"/>
        <v>1.5505497229636998</v>
      </c>
      <c r="E395" s="364">
        <f t="shared" si="138"/>
        <v>1.0910706982670431</v>
      </c>
      <c r="F395" s="365">
        <f t="shared" si="139"/>
        <v>0.41147746249651168</v>
      </c>
      <c r="G395" s="364">
        <f t="shared" si="140"/>
        <v>1.2752757470114644</v>
      </c>
      <c r="H395" s="365">
        <f t="shared" si="141"/>
        <v>-0.66948054089449716</v>
      </c>
      <c r="I395" s="363">
        <f t="shared" si="142"/>
        <v>145506.89517706941</v>
      </c>
      <c r="J395" s="366">
        <f t="shared" si="143"/>
        <v>1.5707894542683487</v>
      </c>
      <c r="K395" s="374">
        <f t="shared" si="159"/>
        <v>43.941195855545622</v>
      </c>
      <c r="L395" s="375">
        <f t="shared" si="160"/>
        <v>1.5480366745056375</v>
      </c>
      <c r="M395" s="363">
        <f t="shared" si="144"/>
        <v>1.9132245451134249</v>
      </c>
      <c r="N395" s="366">
        <f t="shared" si="145"/>
        <v>1.0208073844055585</v>
      </c>
      <c r="O395" s="367">
        <f t="shared" si="146"/>
        <v>1.1072448986178092</v>
      </c>
      <c r="P395" s="368">
        <f t="shared" si="147"/>
        <v>0.58805312061215875</v>
      </c>
      <c r="Q395" s="369">
        <f t="shared" si="148"/>
        <v>-20.940916344303751</v>
      </c>
      <c r="R395" s="370">
        <f t="shared" si="149"/>
        <v>-197.1069977852095</v>
      </c>
      <c r="S395" s="372">
        <f t="shared" si="150"/>
        <v>-17.106997785209501</v>
      </c>
      <c r="U395" s="345">
        <f t="shared" si="156"/>
        <v>35077.5</v>
      </c>
      <c r="V395" s="345">
        <f t="shared" si="157"/>
        <v>1230431006.25</v>
      </c>
      <c r="X395" s="371">
        <f t="shared" si="151"/>
        <v>12.061121418434585</v>
      </c>
      <c r="Y395" s="372">
        <f t="shared" si="152"/>
        <v>-59.791593143143025</v>
      </c>
      <c r="AA395" s="371">
        <f t="shared" si="153"/>
        <v>27.558536709266534</v>
      </c>
      <c r="AB395" s="372">
        <f t="shared" si="154"/>
        <v>-137.31540464206645</v>
      </c>
      <c r="AD395">
        <f t="shared" si="158"/>
        <v>0</v>
      </c>
      <c r="AE395">
        <f t="shared" si="161"/>
        <v>0</v>
      </c>
    </row>
    <row r="396" spans="1:31" x14ac:dyDescent="0.2">
      <c r="A396" s="373">
        <v>35279.25</v>
      </c>
      <c r="B396" s="390">
        <f t="shared" si="155"/>
        <v>35.279249999999998</v>
      </c>
      <c r="C396" s="363">
        <f t="shared" si="136"/>
        <v>49.678352220696162</v>
      </c>
      <c r="D396" s="364">
        <f t="shared" si="137"/>
        <v>1.5506654750183277</v>
      </c>
      <c r="E396" s="364">
        <f t="shared" si="138"/>
        <v>1.0920769955775245</v>
      </c>
      <c r="F396" s="365">
        <f t="shared" si="139"/>
        <v>0.41358392033644803</v>
      </c>
      <c r="G396" s="364">
        <f t="shared" si="140"/>
        <v>1.2781054989736675</v>
      </c>
      <c r="H396" s="365">
        <f t="shared" si="141"/>
        <v>-0.67227318546131598</v>
      </c>
      <c r="I396" s="363">
        <f t="shared" si="142"/>
        <v>146343.78538020793</v>
      </c>
      <c r="J396" s="366">
        <f t="shared" si="143"/>
        <v>1.5707894935699844</v>
      </c>
      <c r="K396" s="374">
        <f t="shared" si="159"/>
        <v>44.193795328765788</v>
      </c>
      <c r="L396" s="375">
        <f t="shared" si="160"/>
        <v>1.54816678463807</v>
      </c>
      <c r="M396" s="363">
        <f t="shared" si="144"/>
        <v>1.9212286016427997</v>
      </c>
      <c r="N396" s="366">
        <f t="shared" si="145"/>
        <v>1.0233595929736354</v>
      </c>
      <c r="O396" s="367">
        <f t="shared" si="146"/>
        <v>1.1084541960769572</v>
      </c>
      <c r="P396" s="368">
        <f t="shared" si="147"/>
        <v>0.59115954812057792</v>
      </c>
      <c r="Q396" s="369">
        <f t="shared" si="148"/>
        <v>-21.00921978760908</v>
      </c>
      <c r="R396" s="370">
        <f t="shared" si="149"/>
        <v>-197.46970894857364</v>
      </c>
      <c r="S396" s="372">
        <f t="shared" si="150"/>
        <v>-17.46970894857364</v>
      </c>
      <c r="U396" s="345">
        <f t="shared" si="156"/>
        <v>35279.25</v>
      </c>
      <c r="V396" s="345">
        <f t="shared" si="157"/>
        <v>1244625480.5625</v>
      </c>
      <c r="X396" s="371">
        <f t="shared" si="151"/>
        <v>12.024833775416601</v>
      </c>
      <c r="Y396" s="372">
        <f t="shared" si="152"/>
        <v>-59.930371413047133</v>
      </c>
      <c r="AA396" s="371">
        <f t="shared" si="153"/>
        <v>27.526520908979194</v>
      </c>
      <c r="AB396" s="372">
        <f t="shared" si="154"/>
        <v>-137.5393375355265</v>
      </c>
      <c r="AD396">
        <f t="shared" si="158"/>
        <v>0</v>
      </c>
      <c r="AE396">
        <f t="shared" si="161"/>
        <v>0</v>
      </c>
    </row>
    <row r="397" spans="1:31" x14ac:dyDescent="0.2">
      <c r="A397" s="373">
        <v>35481</v>
      </c>
      <c r="B397" s="390">
        <f t="shared" si="155"/>
        <v>35.481000000000002</v>
      </c>
      <c r="C397" s="363">
        <f t="shared" ref="C397:C460" si="162">SQRT(1+(A397/pole1)^2)</f>
        <v>49.962330989431415</v>
      </c>
      <c r="D397" s="364">
        <f t="shared" ref="D397:D460" si="163">ATAN(A397/pole1)</f>
        <v>1.5507799112381118</v>
      </c>
      <c r="E397" s="364">
        <f t="shared" ref="E397:E460" si="164">SQRT(1+(A397/Zero1)^2)</f>
        <v>1.0930881296789434</v>
      </c>
      <c r="F397" s="365">
        <f t="shared" ref="F397:F460" si="165">ATAN(A397/Zero1)</f>
        <v>0.41568649043818023</v>
      </c>
      <c r="G397" s="364">
        <f t="shared" ref="G397:G460" si="166">IF(VIN_nom&gt;Vout, 1, SQRT(1+(A397/z_RHP)^2))</f>
        <v>1.2809451746213376</v>
      </c>
      <c r="H397" s="365">
        <f t="shared" ref="H397:H460" si="167">IF(VIN_nom&gt;Vout, 0, -ATAN(A397/z_RHP))</f>
        <v>-0.67505346982926639</v>
      </c>
      <c r="I397" s="363">
        <f t="shared" ref="I397:I460" si="168">SQRT(1+(A397/Pole2)^2)</f>
        <v>147180.67558334666</v>
      </c>
      <c r="J397" s="366">
        <f t="shared" ref="J397:J460" si="169">ATAN(A397/Pole2)</f>
        <v>1.5707895324246708</v>
      </c>
      <c r="K397" s="374">
        <f t="shared" si="159"/>
        <v>44.446395541623353</v>
      </c>
      <c r="L397" s="375">
        <f t="shared" si="160"/>
        <v>1.5482954158744611</v>
      </c>
      <c r="M397" s="363">
        <f t="shared" ref="M397:M460" si="170">SQRT(1+(A397/pole4)^2)</f>
        <v>1.9292450687234788</v>
      </c>
      <c r="N397" s="366">
        <f t="shared" ref="N397:N460" si="171">ATAN(A397/pole4)</f>
        <v>1.0258906078603287</v>
      </c>
      <c r="O397" s="367">
        <f t="shared" ref="O397:O460" si="172">SQRT((1-(V397/pterm2))^2+(A397/pterm1)^2)</f>
        <v>1.1096698498201525</v>
      </c>
      <c r="P397" s="368">
        <f t="shared" ref="P397:P460" si="173">IF((ATAN((A397/pterm1)/(1-A397^2/pterm2))&gt;0),ATAN((A397/pterm1)/(1-A397^2/pterm2)),PI()+ATAN((A397/pterm1)/(1-A397^2/pterm2)))</f>
        <v>0.59426180385585614</v>
      </c>
      <c r="Q397" s="369">
        <f t="shared" ref="Q397:Q460" si="174">20*LOG10(((E397*K397*G397)/(C397*I397*O397*M397))*Adc)</f>
        <v>-21.077127839789611</v>
      </c>
      <c r="R397" s="370">
        <f t="shared" ref="R397:R460" si="175">((F397+L397+H397)-(D397+J397+P397+N397))*radconv</f>
        <v>-197.83049065931786</v>
      </c>
      <c r="S397" s="372">
        <f t="shared" ref="S397:S460" si="176">IF(R397&gt;0,R397,R397+180)</f>
        <v>-17.83049065931786</v>
      </c>
      <c r="U397" s="345">
        <f t="shared" si="156"/>
        <v>35481</v>
      </c>
      <c r="V397" s="345">
        <f t="shared" si="157"/>
        <v>1258901361</v>
      </c>
      <c r="X397" s="371">
        <f t="shared" ref="X397:X460" si="177">20*LOG10((K397/(I397*M397))*AEA)</f>
        <v>11.988641451323383</v>
      </c>
      <c r="Y397" s="372">
        <f t="shared" ref="Y397:Y460" si="178">(L397-(J397+N397))*radconv</f>
        <v>-60.068020083347513</v>
      </c>
      <c r="AA397" s="371">
        <f t="shared" ref="AA397:AA460" si="179">20*LOG10((E397*G397/(C397*O397))*Acs*Am)</f>
        <v>27.494805180891877</v>
      </c>
      <c r="AB397" s="372">
        <f t="shared" ref="AB397:AB460" si="180">(F397+H397-(D397+P397))*radconv</f>
        <v>-137.76247057597033</v>
      </c>
      <c r="AD397">
        <f t="shared" si="158"/>
        <v>0</v>
      </c>
      <c r="AE397">
        <f t="shared" si="161"/>
        <v>0</v>
      </c>
    </row>
    <row r="398" spans="1:31" x14ac:dyDescent="0.2">
      <c r="A398" s="373">
        <v>35687.75</v>
      </c>
      <c r="B398" s="390">
        <f t="shared" ref="B398:B461" si="181">A398/1000</f>
        <v>35.687750000000001</v>
      </c>
      <c r="C398" s="363">
        <f t="shared" si="162"/>
        <v>50.253348316913787</v>
      </c>
      <c r="D398" s="364">
        <f t="shared" si="163"/>
        <v>1.5508958417241829</v>
      </c>
      <c r="E398" s="364">
        <f t="shared" si="164"/>
        <v>1.0941293269209269</v>
      </c>
      <c r="F398" s="365">
        <f t="shared" si="165"/>
        <v>0.41783712724408895</v>
      </c>
      <c r="G398" s="364">
        <f t="shared" si="166"/>
        <v>1.28386545313052</v>
      </c>
      <c r="H398" s="365">
        <f t="shared" si="167"/>
        <v>-0.67788987589932082</v>
      </c>
      <c r="I398" s="363">
        <f t="shared" si="168"/>
        <v>148038.30655979761</v>
      </c>
      <c r="J398" s="366">
        <f t="shared" si="169"/>
        <v>1.5707895717865259</v>
      </c>
      <c r="K398" s="374">
        <f t="shared" si="159"/>
        <v>44.705256737049886</v>
      </c>
      <c r="L398" s="375">
        <f t="shared" si="160"/>
        <v>1.5484257268888861</v>
      </c>
      <c r="M398" s="363">
        <f t="shared" si="170"/>
        <v>1.9374729236661348</v>
      </c>
      <c r="N398" s="366">
        <f t="shared" si="171"/>
        <v>1.0284626026889103</v>
      </c>
      <c r="O398" s="367">
        <f t="shared" si="172"/>
        <v>1.1109222174372966</v>
      </c>
      <c r="P398" s="368">
        <f t="shared" si="173"/>
        <v>0.59743660495199813</v>
      </c>
      <c r="Q398" s="369">
        <f t="shared" si="174"/>
        <v>-21.146312617685101</v>
      </c>
      <c r="R398" s="370">
        <f t="shared" si="175"/>
        <v>-198.19822780818936</v>
      </c>
      <c r="S398" s="372">
        <f t="shared" si="176"/>
        <v>-18.198227808189358</v>
      </c>
      <c r="U398" s="345">
        <f t="shared" ref="U398:U461" si="182">IF(Q398&lt;0,A398,1000000000)</f>
        <v>35687.75</v>
      </c>
      <c r="V398" s="345">
        <f t="shared" ref="V398:V461" si="183">A398^2</f>
        <v>1273615500.0625</v>
      </c>
      <c r="X398" s="371">
        <f t="shared" si="177"/>
        <v>11.951651191101133</v>
      </c>
      <c r="Y398" s="372">
        <f t="shared" si="178"/>
        <v>-60.207920516232107</v>
      </c>
      <c r="AA398" s="371">
        <f t="shared" si="179"/>
        <v>27.462610663218637</v>
      </c>
      <c r="AB398" s="372">
        <f t="shared" si="180"/>
        <v>-137.99030729195727</v>
      </c>
      <c r="AD398">
        <f t="shared" ref="AD398:AD461" si="184">SUM((Q399&lt;0)*(Q398&gt;0))*A398</f>
        <v>0</v>
      </c>
      <c r="AE398">
        <f t="shared" si="161"/>
        <v>0</v>
      </c>
    </row>
    <row r="399" spans="1:31" x14ac:dyDescent="0.2">
      <c r="A399" s="373">
        <v>35894.5</v>
      </c>
      <c r="B399" s="390">
        <f t="shared" si="181"/>
        <v>35.894500000000001</v>
      </c>
      <c r="C399" s="363">
        <f t="shared" si="162"/>
        <v>50.54436631201758</v>
      </c>
      <c r="D399" s="364">
        <f t="shared" si="163"/>
        <v>1.5510104372318365</v>
      </c>
      <c r="E399" s="364">
        <f t="shared" si="164"/>
        <v>1.0951755751361754</v>
      </c>
      <c r="F399" s="365">
        <f t="shared" si="165"/>
        <v>0.41998366484980165</v>
      </c>
      <c r="G399" s="364">
        <f t="shared" si="166"/>
        <v>1.2867960136634871</v>
      </c>
      <c r="H399" s="365">
        <f t="shared" si="167"/>
        <v>-0.68071338528691794</v>
      </c>
      <c r="I399" s="363">
        <f t="shared" si="168"/>
        <v>148895.93753624882</v>
      </c>
      <c r="J399" s="366">
        <f t="shared" si="169"/>
        <v>1.5707896106949375</v>
      </c>
      <c r="K399" s="374">
        <f t="shared" si="159"/>
        <v>44.964118682873796</v>
      </c>
      <c r="L399" s="375">
        <f t="shared" si="160"/>
        <v>1.5485545374840861</v>
      </c>
      <c r="M399" s="363">
        <f t="shared" si="170"/>
        <v>1.9457134868518451</v>
      </c>
      <c r="N399" s="366">
        <f t="shared" si="171"/>
        <v>1.0310128282391453</v>
      </c>
      <c r="O399" s="367">
        <f t="shared" si="172"/>
        <v>1.1121812432625426</v>
      </c>
      <c r="P399" s="368">
        <f t="shared" si="173"/>
        <v>0.60060700445544757</v>
      </c>
      <c r="Q399" s="369">
        <f t="shared" si="174"/>
        <v>-21.215090167344819</v>
      </c>
      <c r="R399" s="370">
        <f t="shared" si="175"/>
        <v>-198.56397087107757</v>
      </c>
      <c r="S399" s="372">
        <f t="shared" si="176"/>
        <v>-18.563970871077572</v>
      </c>
      <c r="U399" s="345">
        <f t="shared" si="182"/>
        <v>35894.5</v>
      </c>
      <c r="V399" s="345">
        <f t="shared" si="183"/>
        <v>1288415130.25</v>
      </c>
      <c r="X399" s="371">
        <f t="shared" si="177"/>
        <v>11.914761283419981</v>
      </c>
      <c r="Y399" s="372">
        <f t="shared" si="178"/>
        <v>-60.346659603051791</v>
      </c>
      <c r="AA399" s="371">
        <f t="shared" si="179"/>
        <v>27.430723021240073</v>
      </c>
      <c r="AB399" s="372">
        <f t="shared" si="180"/>
        <v>-138.21731126802578</v>
      </c>
      <c r="AD399">
        <f t="shared" si="184"/>
        <v>0</v>
      </c>
      <c r="AE399">
        <f t="shared" si="161"/>
        <v>0</v>
      </c>
    </row>
    <row r="400" spans="1:31" x14ac:dyDescent="0.2">
      <c r="A400" s="373">
        <v>36101.25</v>
      </c>
      <c r="B400" s="390">
        <f t="shared" si="181"/>
        <v>36.10125</v>
      </c>
      <c r="C400" s="363">
        <f t="shared" si="162"/>
        <v>50.835384963276958</v>
      </c>
      <c r="D400" s="364">
        <f t="shared" si="163"/>
        <v>1.5511237206851938</v>
      </c>
      <c r="E400" s="364">
        <f t="shared" si="164"/>
        <v>1.0962268598626135</v>
      </c>
      <c r="F400" s="365">
        <f t="shared" si="165"/>
        <v>0.42212609523975569</v>
      </c>
      <c r="G400" s="364">
        <f t="shared" si="166"/>
        <v>1.2897367861313045</v>
      </c>
      <c r="H400" s="365">
        <f t="shared" si="167"/>
        <v>-0.68352404103819386</v>
      </c>
      <c r="I400" s="363">
        <f t="shared" si="168"/>
        <v>149753.56851270021</v>
      </c>
      <c r="J400" s="366">
        <f t="shared" si="169"/>
        <v>1.570789649157696</v>
      </c>
      <c r="K400" s="374">
        <f t="shared" si="159"/>
        <v>45.222981366208984</v>
      </c>
      <c r="L400" s="375">
        <f t="shared" si="160"/>
        <v>1.5486818734215795</v>
      </c>
      <c r="M400" s="363">
        <f t="shared" si="170"/>
        <v>1.9539665974952485</v>
      </c>
      <c r="N400" s="366">
        <f t="shared" si="171"/>
        <v>1.033541526973873</v>
      </c>
      <c r="O400" s="367">
        <f t="shared" si="172"/>
        <v>1.1134469186728164</v>
      </c>
      <c r="P400" s="368">
        <f t="shared" si="173"/>
        <v>0.60377299227183268</v>
      </c>
      <c r="Q400" s="369">
        <f t="shared" si="174"/>
        <v>-21.283464466001995</v>
      </c>
      <c r="R400" s="370">
        <f t="shared" si="175"/>
        <v>-198.92773592521033</v>
      </c>
      <c r="S400" s="372">
        <f t="shared" si="176"/>
        <v>-18.927735925210328</v>
      </c>
      <c r="U400" s="345">
        <f t="shared" si="182"/>
        <v>36101.25</v>
      </c>
      <c r="V400" s="345">
        <f t="shared" si="183"/>
        <v>1303300251.5625</v>
      </c>
      <c r="X400" s="371">
        <f t="shared" si="177"/>
        <v>11.877971828755204</v>
      </c>
      <c r="Y400" s="372">
        <f t="shared" si="178"/>
        <v>-60.484249760323991</v>
      </c>
      <c r="AA400" s="371">
        <f t="shared" si="179"/>
        <v>27.399138177247675</v>
      </c>
      <c r="AB400" s="372">
        <f t="shared" si="180"/>
        <v>-138.44348616488634</v>
      </c>
      <c r="AD400">
        <f t="shared" si="184"/>
        <v>0</v>
      </c>
      <c r="AE400">
        <f t="shared" si="161"/>
        <v>0</v>
      </c>
    </row>
    <row r="401" spans="1:31" x14ac:dyDescent="0.2">
      <c r="A401" s="373">
        <v>36308</v>
      </c>
      <c r="B401" s="390">
        <f t="shared" si="181"/>
        <v>36.308</v>
      </c>
      <c r="C401" s="363">
        <f t="shared" si="162"/>
        <v>51.126404259487131</v>
      </c>
      <c r="D401" s="364">
        <f t="shared" si="163"/>
        <v>1.5512357144865618</v>
      </c>
      <c r="E401" s="364">
        <f t="shared" si="164"/>
        <v>1.0972831666241039</v>
      </c>
      <c r="F401" s="365">
        <f t="shared" si="165"/>
        <v>0.42426441057984893</v>
      </c>
      <c r="G401" s="364">
        <f t="shared" si="166"/>
        <v>1.2926877008397006</v>
      </c>
      <c r="H401" s="365">
        <f t="shared" si="167"/>
        <v>-0.68632188662059168</v>
      </c>
      <c r="I401" s="363">
        <f t="shared" si="168"/>
        <v>150611.19948915183</v>
      </c>
      <c r="J401" s="366">
        <f t="shared" si="169"/>
        <v>1.570789687182415</v>
      </c>
      <c r="K401" s="374">
        <f t="shared" si="159"/>
        <v>45.481844774462679</v>
      </c>
      <c r="L401" s="375">
        <f t="shared" si="160"/>
        <v>1.5488077598765835</v>
      </c>
      <c r="M401" s="363">
        <f t="shared" si="170"/>
        <v>1.9622320972732499</v>
      </c>
      <c r="N401" s="366">
        <f t="shared" si="171"/>
        <v>1.0360489383811531</v>
      </c>
      <c r="O401" s="367">
        <f t="shared" si="172"/>
        <v>1.1147192350456723</v>
      </c>
      <c r="P401" s="368">
        <f t="shared" si="173"/>
        <v>0.60693455848739808</v>
      </c>
      <c r="Q401" s="369">
        <f t="shared" si="174"/>
        <v>-21.351439442403283</v>
      </c>
      <c r="R401" s="370">
        <f t="shared" si="175"/>
        <v>-199.2895389051485</v>
      </c>
      <c r="S401" s="372">
        <f t="shared" si="176"/>
        <v>-19.289538905148504</v>
      </c>
      <c r="U401" s="345">
        <f t="shared" si="182"/>
        <v>36308</v>
      </c>
      <c r="V401" s="345">
        <f t="shared" si="183"/>
        <v>1318270864</v>
      </c>
      <c r="X401" s="371">
        <f t="shared" si="177"/>
        <v>11.841282910624603</v>
      </c>
      <c r="Y401" s="372">
        <f t="shared" si="178"/>
        <v>-60.620703267706318</v>
      </c>
      <c r="AA401" s="371">
        <f t="shared" si="179"/>
        <v>27.367852118976984</v>
      </c>
      <c r="AB401" s="372">
        <f t="shared" si="180"/>
        <v>-138.66883563744219</v>
      </c>
      <c r="AD401">
        <f t="shared" si="184"/>
        <v>0</v>
      </c>
      <c r="AE401">
        <f t="shared" si="161"/>
        <v>0</v>
      </c>
    </row>
    <row r="402" spans="1:31" x14ac:dyDescent="0.2">
      <c r="A402" s="373">
        <v>36519.5</v>
      </c>
      <c r="B402" s="390">
        <f t="shared" si="181"/>
        <v>36.519500000000001</v>
      </c>
      <c r="C402" s="363">
        <f t="shared" si="162"/>
        <v>51.424110265591551</v>
      </c>
      <c r="D402" s="364">
        <f t="shared" si="163"/>
        <v>1.5513489696914029</v>
      </c>
      <c r="E402" s="364">
        <f t="shared" si="164"/>
        <v>1.0983689229401759</v>
      </c>
      <c r="F402" s="365">
        <f t="shared" si="165"/>
        <v>0.42644758694732415</v>
      </c>
      <c r="G402" s="364">
        <f t="shared" si="166"/>
        <v>1.2957168338402965</v>
      </c>
      <c r="H402" s="365">
        <f t="shared" si="167"/>
        <v>-0.6891708023411024</v>
      </c>
      <c r="I402" s="363">
        <f t="shared" si="168"/>
        <v>151488.53420025008</v>
      </c>
      <c r="J402" s="366">
        <f t="shared" si="169"/>
        <v>1.5707897256352426</v>
      </c>
      <c r="K402" s="374">
        <f t="shared" si="159"/>
        <v>45.746656205052034</v>
      </c>
      <c r="L402" s="375">
        <f t="shared" si="160"/>
        <v>1.5489350643580406</v>
      </c>
      <c r="M402" s="363">
        <f t="shared" si="170"/>
        <v>1.9707001504806574</v>
      </c>
      <c r="N402" s="366">
        <f t="shared" si="171"/>
        <v>1.0385921766473649</v>
      </c>
      <c r="O402" s="367">
        <f t="shared" si="172"/>
        <v>1.1160276449736923</v>
      </c>
      <c r="P402" s="368">
        <f t="shared" si="173"/>
        <v>0.61016417515174259</v>
      </c>
      <c r="Q402" s="369">
        <f t="shared" si="174"/>
        <v>-21.420566974419724</v>
      </c>
      <c r="R402" s="370">
        <f t="shared" si="175"/>
        <v>-199.65764042294546</v>
      </c>
      <c r="S402" s="372">
        <f t="shared" si="176"/>
        <v>-19.657640422945462</v>
      </c>
      <c r="U402" s="345">
        <f t="shared" si="182"/>
        <v>36519.5</v>
      </c>
      <c r="V402" s="345">
        <f t="shared" si="183"/>
        <v>1333673880.25</v>
      </c>
      <c r="X402" s="371">
        <f t="shared" si="177"/>
        <v>11.803855176630599</v>
      </c>
      <c r="Y402" s="372">
        <f t="shared" si="178"/>
        <v>-60.759128280498764</v>
      </c>
      <c r="AA402" s="371">
        <f t="shared" si="179"/>
        <v>27.336152320954554</v>
      </c>
      <c r="AB402" s="372">
        <f t="shared" si="180"/>
        <v>-138.89851214244669</v>
      </c>
      <c r="AD402">
        <f t="shared" si="184"/>
        <v>0</v>
      </c>
      <c r="AE402">
        <f t="shared" si="161"/>
        <v>0</v>
      </c>
    </row>
    <row r="403" spans="1:31" x14ac:dyDescent="0.2">
      <c r="A403" s="373">
        <v>36731</v>
      </c>
      <c r="B403" s="390">
        <f t="shared" si="181"/>
        <v>36.731000000000002</v>
      </c>
      <c r="C403" s="363">
        <f t="shared" si="162"/>
        <v>51.721816923706491</v>
      </c>
      <c r="D403" s="364">
        <f t="shared" si="163"/>
        <v>1.5514609211217913</v>
      </c>
      <c r="E403" s="364">
        <f t="shared" si="164"/>
        <v>1.0994599040128086</v>
      </c>
      <c r="F403" s="365">
        <f t="shared" si="165"/>
        <v>0.42862644100242075</v>
      </c>
      <c r="G403" s="364">
        <f t="shared" si="166"/>
        <v>1.2987564341889517</v>
      </c>
      <c r="H403" s="365">
        <f t="shared" si="167"/>
        <v>-0.69200640582243178</v>
      </c>
      <c r="I403" s="363">
        <f t="shared" si="168"/>
        <v>152365.86891134855</v>
      </c>
      <c r="J403" s="366">
        <f t="shared" si="169"/>
        <v>1.5707897636452415</v>
      </c>
      <c r="K403" s="374">
        <f t="shared" si="159"/>
        <v>46.011468368497511</v>
      </c>
      <c r="L403" s="375">
        <f t="shared" si="160"/>
        <v>1.5490609034774965</v>
      </c>
      <c r="M403" s="363">
        <f t="shared" si="170"/>
        <v>1.979180841174379</v>
      </c>
      <c r="N403" s="366">
        <f t="shared" si="171"/>
        <v>1.0411136358093629</v>
      </c>
      <c r="O403" s="367">
        <f t="shared" si="172"/>
        <v>1.1173429862671351</v>
      </c>
      <c r="P403" s="368">
        <f t="shared" si="173"/>
        <v>0.61338914430019964</v>
      </c>
      <c r="Q403" s="369">
        <f t="shared" si="174"/>
        <v>-21.489284790044742</v>
      </c>
      <c r="R403" s="370">
        <f t="shared" si="175"/>
        <v>-200.02372195498984</v>
      </c>
      <c r="S403" s="372">
        <f t="shared" si="176"/>
        <v>-20.023721954989838</v>
      </c>
      <c r="U403" s="345">
        <f t="shared" si="182"/>
        <v>36731</v>
      </c>
      <c r="V403" s="345">
        <f t="shared" si="183"/>
        <v>1349166361</v>
      </c>
      <c r="X403" s="371">
        <f t="shared" si="177"/>
        <v>11.766532776587225</v>
      </c>
      <c r="Y403" s="372">
        <f t="shared" si="178"/>
        <v>-60.896389376222722</v>
      </c>
      <c r="AA403" s="371">
        <f t="shared" si="179"/>
        <v>27.304756905372905</v>
      </c>
      <c r="AB403" s="372">
        <f t="shared" si="180"/>
        <v>-139.1273325787671</v>
      </c>
      <c r="AD403">
        <f t="shared" si="184"/>
        <v>0</v>
      </c>
      <c r="AE403">
        <f t="shared" si="161"/>
        <v>0</v>
      </c>
    </row>
    <row r="404" spans="1:31" x14ac:dyDescent="0.2">
      <c r="A404" s="373">
        <v>36942.5</v>
      </c>
      <c r="B404" s="390">
        <f t="shared" si="181"/>
        <v>36.942500000000003</v>
      </c>
      <c r="C404" s="363">
        <f t="shared" si="162"/>
        <v>52.019524222637635</v>
      </c>
      <c r="D404" s="364">
        <f t="shared" si="163"/>
        <v>1.5515715911593677</v>
      </c>
      <c r="E404" s="364">
        <f t="shared" si="164"/>
        <v>1.1005560943041008</v>
      </c>
      <c r="F404" s="365">
        <f t="shared" si="165"/>
        <v>0.43080096494227926</v>
      </c>
      <c r="G404" s="364">
        <f t="shared" si="166"/>
        <v>1.3018064285647335</v>
      </c>
      <c r="H404" s="365">
        <f t="shared" si="167"/>
        <v>-0.69482874487244595</v>
      </c>
      <c r="I404" s="363">
        <f t="shared" si="168"/>
        <v>153243.20362244727</v>
      </c>
      <c r="J404" s="366">
        <f t="shared" si="169"/>
        <v>1.5707898012200172</v>
      </c>
      <c r="K404" s="374">
        <f t="shared" si="159"/>
        <v>46.276281252217984</v>
      </c>
      <c r="L404" s="375">
        <f t="shared" si="160"/>
        <v>1.5491853023872353</v>
      </c>
      <c r="M404" s="363">
        <f t="shared" si="170"/>
        <v>1.9876740075955837</v>
      </c>
      <c r="N404" s="366">
        <f t="shared" si="171"/>
        <v>1.0436135627800074</v>
      </c>
      <c r="O404" s="367">
        <f t="shared" si="172"/>
        <v>1.11866524970087</v>
      </c>
      <c r="P404" s="368">
        <f t="shared" si="173"/>
        <v>0.61660945590140215</v>
      </c>
      <c r="Q404" s="369">
        <f t="shared" si="174"/>
        <v>-21.557596942675072</v>
      </c>
      <c r="R404" s="370">
        <f t="shared" si="175"/>
        <v>-200.38780010154102</v>
      </c>
      <c r="S404" s="372">
        <f t="shared" si="176"/>
        <v>-20.387800101541018</v>
      </c>
      <c r="U404" s="345">
        <f t="shared" si="182"/>
        <v>36942.5</v>
      </c>
      <c r="V404" s="345">
        <f t="shared" si="183"/>
        <v>1364748306.25</v>
      </c>
      <c r="X404" s="371">
        <f t="shared" si="177"/>
        <v>11.729315748279481</v>
      </c>
      <c r="Y404" s="372">
        <f t="shared" si="178"/>
        <v>-61.032499261259112</v>
      </c>
      <c r="AA404" s="371">
        <f t="shared" si="179"/>
        <v>27.273661781050315</v>
      </c>
      <c r="AB404" s="372">
        <f t="shared" si="180"/>
        <v>-139.35530084028193</v>
      </c>
      <c r="AD404">
        <f t="shared" si="184"/>
        <v>0</v>
      </c>
      <c r="AE404">
        <f t="shared" si="161"/>
        <v>0</v>
      </c>
    </row>
    <row r="405" spans="1:31" x14ac:dyDescent="0.2">
      <c r="A405" s="373">
        <v>37154</v>
      </c>
      <c r="B405" s="390">
        <f t="shared" si="181"/>
        <v>37.154000000000003</v>
      </c>
      <c r="C405" s="363">
        <f t="shared" si="162"/>
        <v>52.317232151445417</v>
      </c>
      <c r="D405" s="364">
        <f t="shared" si="163"/>
        <v>1.5516810016764537</v>
      </c>
      <c r="E405" s="364">
        <f t="shared" si="164"/>
        <v>1.1016574782639523</v>
      </c>
      <c r="F405" s="365">
        <f t="shared" si="165"/>
        <v>0.43297115115882306</v>
      </c>
      <c r="G405" s="364">
        <f t="shared" si="166"/>
        <v>1.3048667440826742</v>
      </c>
      <c r="H405" s="365">
        <f t="shared" si="167"/>
        <v>-0.69763786769806935</v>
      </c>
      <c r="I405" s="363">
        <f t="shared" si="168"/>
        <v>154120.53833354614</v>
      </c>
      <c r="J405" s="366">
        <f t="shared" si="169"/>
        <v>1.5707898383670023</v>
      </c>
      <c r="K405" s="374">
        <f t="shared" si="159"/>
        <v>46.541094843918643</v>
      </c>
      <c r="L405" s="375">
        <f t="shared" si="160"/>
        <v>1.5493082856672675</v>
      </c>
      <c r="M405" s="363">
        <f t="shared" si="170"/>
        <v>1.9961794905024404</v>
      </c>
      <c r="N405" s="366">
        <f t="shared" si="171"/>
        <v>1.0460922013497231</v>
      </c>
      <c r="O405" s="367">
        <f t="shared" si="172"/>
        <v>1.1199944260526844</v>
      </c>
      <c r="P405" s="368">
        <f t="shared" si="173"/>
        <v>0.61982510011820868</v>
      </c>
      <c r="Q405" s="369">
        <f t="shared" si="174"/>
        <v>-21.625507435981856</v>
      </c>
      <c r="R405" s="370">
        <f t="shared" si="175"/>
        <v>-200.74989131038549</v>
      </c>
      <c r="S405" s="372">
        <f t="shared" si="176"/>
        <v>-20.749891310385493</v>
      </c>
      <c r="U405" s="345">
        <f t="shared" si="182"/>
        <v>37154</v>
      </c>
      <c r="V405" s="345">
        <f t="shared" si="183"/>
        <v>1380419716</v>
      </c>
      <c r="X405" s="371">
        <f t="shared" si="177"/>
        <v>11.692204113208948</v>
      </c>
      <c r="Y405" s="372">
        <f t="shared" si="178"/>
        <v>-61.167470495865338</v>
      </c>
      <c r="AA405" s="371">
        <f t="shared" si="179"/>
        <v>27.242862922814069</v>
      </c>
      <c r="AB405" s="372">
        <f t="shared" si="180"/>
        <v>-139.58242081452013</v>
      </c>
      <c r="AD405">
        <f t="shared" si="184"/>
        <v>0</v>
      </c>
      <c r="AE405">
        <f t="shared" si="161"/>
        <v>0</v>
      </c>
    </row>
    <row r="406" spans="1:31" x14ac:dyDescent="0.2">
      <c r="A406" s="373">
        <v>37370.25</v>
      </c>
      <c r="B406" s="390">
        <f t="shared" si="181"/>
        <v>37.370249999999999</v>
      </c>
      <c r="C406" s="363">
        <f t="shared" si="162"/>
        <v>52.621626832248033</v>
      </c>
      <c r="D406" s="364">
        <f t="shared" si="163"/>
        <v>1.551791589400543</v>
      </c>
      <c r="E406" s="364">
        <f t="shared" si="164"/>
        <v>1.1027889515295786</v>
      </c>
      <c r="F406" s="365">
        <f t="shared" si="165"/>
        <v>0.43518558411365377</v>
      </c>
      <c r="G406" s="364">
        <f t="shared" si="166"/>
        <v>1.3080063860686879</v>
      </c>
      <c r="H406" s="365">
        <f t="shared" si="167"/>
        <v>-0.70049646540403987</v>
      </c>
      <c r="I406" s="363">
        <f t="shared" si="168"/>
        <v>155017.5767792917</v>
      </c>
      <c r="J406" s="366">
        <f t="shared" si="169"/>
        <v>1.5707898759135142</v>
      </c>
      <c r="K406" s="374">
        <f t="shared" si="159"/>
        <v>46.811856505280772</v>
      </c>
      <c r="L406" s="375">
        <f t="shared" si="160"/>
        <v>1.5494325923288312</v>
      </c>
      <c r="M406" s="363">
        <f t="shared" si="170"/>
        <v>2.0048885661136935</v>
      </c>
      <c r="N406" s="366">
        <f t="shared" si="171"/>
        <v>1.0486047465280264</v>
      </c>
      <c r="O406" s="367">
        <f t="shared" si="172"/>
        <v>1.1213605918233633</v>
      </c>
      <c r="P406" s="368">
        <f t="shared" si="173"/>
        <v>0.62310812745421718</v>
      </c>
      <c r="Q406" s="369">
        <f t="shared" si="174"/>
        <v>-21.694531933452815</v>
      </c>
      <c r="R406" s="370">
        <f t="shared" si="175"/>
        <v>-201.11807719132963</v>
      </c>
      <c r="S406" s="372">
        <f t="shared" si="176"/>
        <v>-21.118077191329633</v>
      </c>
      <c r="U406" s="345">
        <f t="shared" si="182"/>
        <v>37370.25</v>
      </c>
      <c r="V406" s="345">
        <f t="shared" si="183"/>
        <v>1396535585.0625</v>
      </c>
      <c r="X406" s="371">
        <f t="shared" si="177"/>
        <v>11.654367977906801</v>
      </c>
      <c r="Y406" s="372">
        <f t="shared" si="178"/>
        <v>-61.304308634758137</v>
      </c>
      <c r="AA406" s="371">
        <f t="shared" si="179"/>
        <v>27.21167456064526</v>
      </c>
      <c r="AB406" s="372">
        <f t="shared" si="180"/>
        <v>-139.81376855657155</v>
      </c>
      <c r="AD406">
        <f t="shared" si="184"/>
        <v>0</v>
      </c>
      <c r="AE406">
        <f t="shared" si="161"/>
        <v>0</v>
      </c>
    </row>
    <row r="407" spans="1:31" x14ac:dyDescent="0.2">
      <c r="A407" s="373">
        <v>37586.5</v>
      </c>
      <c r="B407" s="390">
        <f t="shared" si="181"/>
        <v>37.586500000000001</v>
      </c>
      <c r="C407" s="363">
        <f t="shared" si="162"/>
        <v>52.926022149191994</v>
      </c>
      <c r="D407" s="364">
        <f t="shared" si="163"/>
        <v>1.5519009050717207</v>
      </c>
      <c r="E407" s="364">
        <f t="shared" si="164"/>
        <v>1.1039258214552026</v>
      </c>
      <c r="F407" s="365">
        <f t="shared" si="165"/>
        <v>0.43739546685142883</v>
      </c>
      <c r="G407" s="364">
        <f t="shared" si="166"/>
        <v>1.3111566652954305</v>
      </c>
      <c r="H407" s="365">
        <f t="shared" si="167"/>
        <v>-0.70334134971980322</v>
      </c>
      <c r="I407" s="363">
        <f t="shared" si="168"/>
        <v>155914.6152250375</v>
      </c>
      <c r="J407" s="366">
        <f t="shared" si="169"/>
        <v>1.5707899130279861</v>
      </c>
      <c r="K407" s="374">
        <f t="shared" ref="K407:K470" si="185">SQRT(1+(A407/Zero2)^2)</f>
        <v>47.08261888166696</v>
      </c>
      <c r="L407" s="375">
        <f t="shared" ref="L407:L470" si="186">ATAN(A407/Zero2)</f>
        <v>1.5495554692686158</v>
      </c>
      <c r="M407" s="363">
        <f t="shared" si="170"/>
        <v>2.0136101888235785</v>
      </c>
      <c r="N407" s="366">
        <f t="shared" si="171"/>
        <v>1.0510955419614039</v>
      </c>
      <c r="O407" s="367">
        <f t="shared" si="172"/>
        <v>1.122733965021224</v>
      </c>
      <c r="P407" s="368">
        <f t="shared" si="173"/>
        <v>0.62638625522399705</v>
      </c>
      <c r="Q407" s="369">
        <f t="shared" si="174"/>
        <v>-21.763144836949117</v>
      </c>
      <c r="R407" s="370">
        <f t="shared" si="175"/>
        <v>-201.48422017707352</v>
      </c>
      <c r="S407" s="372">
        <f t="shared" si="176"/>
        <v>-21.484220177073524</v>
      </c>
      <c r="U407" s="345">
        <f t="shared" si="182"/>
        <v>37586.5</v>
      </c>
      <c r="V407" s="345">
        <f t="shared" si="183"/>
        <v>1412744982.25</v>
      </c>
      <c r="X407" s="371">
        <f t="shared" si="177"/>
        <v>11.616642018644717</v>
      </c>
      <c r="Y407" s="372">
        <f t="shared" si="178"/>
        <v>-61.439982497329602</v>
      </c>
      <c r="AA407" s="371">
        <f t="shared" si="179"/>
        <v>27.180787616411038</v>
      </c>
      <c r="AB407" s="372">
        <f t="shared" si="180"/>
        <v>-140.0442376797439</v>
      </c>
      <c r="AD407">
        <f t="shared" si="184"/>
        <v>0</v>
      </c>
      <c r="AE407">
        <f t="shared" si="161"/>
        <v>0</v>
      </c>
    </row>
    <row r="408" spans="1:31" x14ac:dyDescent="0.2">
      <c r="A408" s="373">
        <v>37802.75</v>
      </c>
      <c r="B408" s="390">
        <f t="shared" si="181"/>
        <v>37.802750000000003</v>
      </c>
      <c r="C408" s="363">
        <f t="shared" si="162"/>
        <v>53.230418091364065</v>
      </c>
      <c r="D408" s="364">
        <f t="shared" si="163"/>
        <v>1.5520089705098974</v>
      </c>
      <c r="E408" s="364">
        <f t="shared" si="164"/>
        <v>1.1050680713849261</v>
      </c>
      <c r="F408" s="365">
        <f t="shared" si="165"/>
        <v>0.43960079186472556</v>
      </c>
      <c r="G408" s="364">
        <f t="shared" si="166"/>
        <v>1.3143175052739016</v>
      </c>
      <c r="H408" s="365">
        <f t="shared" si="167"/>
        <v>-0.7061725733698152</v>
      </c>
      <c r="I408" s="363">
        <f t="shared" si="168"/>
        <v>156811.65367078347</v>
      </c>
      <c r="J408" s="366">
        <f t="shared" si="169"/>
        <v>1.5707899497178326</v>
      </c>
      <c r="K408" s="374">
        <f t="shared" si="185"/>
        <v>47.353381960811888</v>
      </c>
      <c r="L408" s="375">
        <f t="shared" si="186"/>
        <v>1.5496769410080036</v>
      </c>
      <c r="M408" s="363">
        <f t="shared" si="170"/>
        <v>2.0223441962991111</v>
      </c>
      <c r="N408" s="366">
        <f t="shared" si="171"/>
        <v>1.0535648383380007</v>
      </c>
      <c r="O408" s="367">
        <f t="shared" si="172"/>
        <v>1.124114535801692</v>
      </c>
      <c r="P408" s="368">
        <f t="shared" si="173"/>
        <v>0.62965947353628038</v>
      </c>
      <c r="Q408" s="369">
        <f t="shared" si="174"/>
        <v>-21.831350269889018</v>
      </c>
      <c r="R408" s="370">
        <f t="shared" si="175"/>
        <v>-201.84833736093614</v>
      </c>
      <c r="S408" s="372">
        <f t="shared" si="176"/>
        <v>-21.848337360936142</v>
      </c>
      <c r="U408" s="345">
        <f t="shared" si="182"/>
        <v>37802.75</v>
      </c>
      <c r="V408" s="345">
        <f t="shared" si="183"/>
        <v>1429047907.5625</v>
      </c>
      <c r="X408" s="371">
        <f t="shared" si="177"/>
        <v>11.579026209068191</v>
      </c>
      <c r="Y408" s="372">
        <f t="shared" si="178"/>
        <v>-61.57450504240559</v>
      </c>
      <c r="AA408" s="371">
        <f t="shared" si="179"/>
        <v>27.150197993047662</v>
      </c>
      <c r="AB408" s="372">
        <f t="shared" si="180"/>
        <v>-140.27383231853057</v>
      </c>
      <c r="AD408">
        <f t="shared" si="184"/>
        <v>0</v>
      </c>
      <c r="AE408">
        <f t="shared" si="161"/>
        <v>0</v>
      </c>
    </row>
    <row r="409" spans="1:31" x14ac:dyDescent="0.2">
      <c r="A409" s="373">
        <v>38019</v>
      </c>
      <c r="B409" s="390">
        <f t="shared" si="181"/>
        <v>38.018999999999998</v>
      </c>
      <c r="C409" s="363">
        <f t="shared" si="162"/>
        <v>53.534814648099221</v>
      </c>
      <c r="D409" s="364">
        <f t="shared" si="163"/>
        <v>1.5521158070388337</v>
      </c>
      <c r="E409" s="364">
        <f t="shared" si="164"/>
        <v>1.1062156846529869</v>
      </c>
      <c r="F409" s="365">
        <f t="shared" si="165"/>
        <v>0.44180155185438502</v>
      </c>
      <c r="G409" s="364">
        <f t="shared" si="166"/>
        <v>1.3174888299939413</v>
      </c>
      <c r="H409" s="365">
        <f t="shared" si="167"/>
        <v>-0.70899018944942549</v>
      </c>
      <c r="I409" s="363">
        <f t="shared" si="168"/>
        <v>157708.69211652965</v>
      </c>
      <c r="J409" s="366">
        <f t="shared" si="169"/>
        <v>1.5707899859902994</v>
      </c>
      <c r="K409" s="374">
        <f t="shared" si="185"/>
        <v>47.624145730729111</v>
      </c>
      <c r="L409" s="375">
        <f t="shared" si="186"/>
        <v>1.5497970315108864</v>
      </c>
      <c r="M409" s="363">
        <f t="shared" si="170"/>
        <v>2.0310904287709919</v>
      </c>
      <c r="N409" s="366">
        <f t="shared" si="171"/>
        <v>1.0560128830858404</v>
      </c>
      <c r="O409" s="367">
        <f t="shared" si="172"/>
        <v>1.1255022943257866</v>
      </c>
      <c r="P409" s="368">
        <f t="shared" si="173"/>
        <v>0.63292777270786571</v>
      </c>
      <c r="Q409" s="369">
        <f t="shared" si="174"/>
        <v>-21.899152304743001</v>
      </c>
      <c r="R409" s="370">
        <f t="shared" si="175"/>
        <v>-202.21044567418974</v>
      </c>
      <c r="S409" s="372">
        <f t="shared" si="176"/>
        <v>-22.210445674189742</v>
      </c>
      <c r="U409" s="345">
        <f t="shared" si="182"/>
        <v>38019</v>
      </c>
      <c r="V409" s="345">
        <f t="shared" si="183"/>
        <v>1445444361</v>
      </c>
      <c r="X409" s="371">
        <f t="shared" si="177"/>
        <v>11.541520507312036</v>
      </c>
      <c r="Y409" s="372">
        <f t="shared" si="178"/>
        <v>-61.707889073952835</v>
      </c>
      <c r="AA409" s="371">
        <f t="shared" si="179"/>
        <v>27.119901659949836</v>
      </c>
      <c r="AB409" s="372">
        <f t="shared" si="180"/>
        <v>-140.50255660023686</v>
      </c>
      <c r="AD409">
        <f t="shared" si="184"/>
        <v>0</v>
      </c>
      <c r="AE409">
        <f t="shared" si="161"/>
        <v>0</v>
      </c>
    </row>
    <row r="410" spans="1:31" x14ac:dyDescent="0.2">
      <c r="A410" s="373">
        <v>38240.5</v>
      </c>
      <c r="B410" s="390">
        <f t="shared" si="181"/>
        <v>38.240499999999997</v>
      </c>
      <c r="C410" s="363">
        <f t="shared" si="162"/>
        <v>53.846601805275874</v>
      </c>
      <c r="D410" s="364">
        <f t="shared" si="163"/>
        <v>1.5522239850419965</v>
      </c>
      <c r="E410" s="364">
        <f t="shared" si="164"/>
        <v>1.1073967018567714</v>
      </c>
      <c r="F410" s="365">
        <f t="shared" si="165"/>
        <v>0.44405100067895864</v>
      </c>
      <c r="G410" s="364">
        <f t="shared" si="166"/>
        <v>1.3207479371236379</v>
      </c>
      <c r="H410" s="365">
        <f t="shared" si="167"/>
        <v>-0.71186215882820281</v>
      </c>
      <c r="I410" s="363">
        <f t="shared" si="168"/>
        <v>158627.5083742537</v>
      </c>
      <c r="J410" s="366">
        <f t="shared" si="169"/>
        <v>1.5707900227180676</v>
      </c>
      <c r="K410" s="374">
        <f t="shared" si="185"/>
        <v>47.90148366022126</v>
      </c>
      <c r="L410" s="375">
        <f t="shared" si="186"/>
        <v>1.549918630037975</v>
      </c>
      <c r="M410" s="363">
        <f t="shared" si="170"/>
        <v>2.0400615069820911</v>
      </c>
      <c r="N410" s="366">
        <f t="shared" si="171"/>
        <v>1.0584985835390828</v>
      </c>
      <c r="O410" s="367">
        <f t="shared" si="172"/>
        <v>1.1269311854331117</v>
      </c>
      <c r="P410" s="368">
        <f t="shared" si="173"/>
        <v>0.63627030824190145</v>
      </c>
      <c r="Q410" s="369">
        <f t="shared" si="174"/>
        <v>-21.968186396796874</v>
      </c>
      <c r="R410" s="370">
        <f t="shared" si="175"/>
        <v>-202.57927996407079</v>
      </c>
      <c r="S410" s="372">
        <f t="shared" si="176"/>
        <v>-22.579279964070793</v>
      </c>
      <c r="U410" s="345">
        <f t="shared" si="182"/>
        <v>38240.5</v>
      </c>
      <c r="V410" s="345">
        <f t="shared" si="183"/>
        <v>1462335840.25</v>
      </c>
      <c r="X410" s="371">
        <f t="shared" si="177"/>
        <v>11.5032183529891</v>
      </c>
      <c r="Y410" s="372">
        <f t="shared" si="178"/>
        <v>-61.843344241161084</v>
      </c>
      <c r="AA410" s="371">
        <f t="shared" si="179"/>
        <v>27.089169722218895</v>
      </c>
      <c r="AB410" s="372">
        <f t="shared" si="180"/>
        <v>-140.73593572290969</v>
      </c>
      <c r="AD410">
        <f t="shared" si="184"/>
        <v>0</v>
      </c>
      <c r="AE410">
        <f t="shared" ref="AE410:AE473" si="187">IF(AD410&gt;0,S410,0)</f>
        <v>0</v>
      </c>
    </row>
    <row r="411" spans="1:31" x14ac:dyDescent="0.2">
      <c r="A411" s="373">
        <v>38462</v>
      </c>
      <c r="B411" s="390">
        <f t="shared" si="181"/>
        <v>38.462000000000003</v>
      </c>
      <c r="C411" s="363">
        <f t="shared" si="162"/>
        <v>54.158389585335975</v>
      </c>
      <c r="D411" s="364">
        <f t="shared" si="163"/>
        <v>1.5523309174931348</v>
      </c>
      <c r="E411" s="364">
        <f t="shared" si="164"/>
        <v>1.1085833105543637</v>
      </c>
      <c r="F411" s="365">
        <f t="shared" si="165"/>
        <v>0.44629564529783622</v>
      </c>
      <c r="G411" s="364">
        <f t="shared" si="166"/>
        <v>1.3240178843741111</v>
      </c>
      <c r="H411" s="365">
        <f t="shared" si="167"/>
        <v>-0.71471996578844499</v>
      </c>
      <c r="I411" s="363">
        <f t="shared" si="168"/>
        <v>159546.324631978</v>
      </c>
      <c r="J411" s="366">
        <f t="shared" si="169"/>
        <v>1.5707900590228103</v>
      </c>
      <c r="K411" s="374">
        <f t="shared" si="185"/>
        <v>48.17882228984007</v>
      </c>
      <c r="L411" s="375">
        <f t="shared" si="186"/>
        <v>1.5500388286169182</v>
      </c>
      <c r="M411" s="363">
        <f t="shared" si="170"/>
        <v>2.0490450797164939</v>
      </c>
      <c r="N411" s="366">
        <f t="shared" si="171"/>
        <v>1.060962503127107</v>
      </c>
      <c r="O411" s="367">
        <f t="shared" si="172"/>
        <v>1.1283675966456757</v>
      </c>
      <c r="P411" s="368">
        <f t="shared" si="173"/>
        <v>0.63960766298702354</v>
      </c>
      <c r="Q411" s="369">
        <f t="shared" si="174"/>
        <v>-22.036805754619607</v>
      </c>
      <c r="R411" s="370">
        <f t="shared" si="175"/>
        <v>-202.94604210086814</v>
      </c>
      <c r="S411" s="372">
        <f t="shared" si="176"/>
        <v>-22.946042100868141</v>
      </c>
      <c r="U411" s="345">
        <f t="shared" si="182"/>
        <v>38462</v>
      </c>
      <c r="V411" s="345">
        <f t="shared" si="183"/>
        <v>1479325444</v>
      </c>
      <c r="X411" s="371">
        <f t="shared" si="177"/>
        <v>11.465031581175456</v>
      </c>
      <c r="Y411" s="372">
        <f t="shared" si="178"/>
        <v>-61.977631643599565</v>
      </c>
      <c r="AA411" s="371">
        <f t="shared" si="179"/>
        <v>27.05873713620981</v>
      </c>
      <c r="AB411" s="372">
        <f t="shared" si="180"/>
        <v>-140.96841045726856</v>
      </c>
      <c r="AD411">
        <f t="shared" si="184"/>
        <v>0</v>
      </c>
      <c r="AE411">
        <f t="shared" si="187"/>
        <v>0</v>
      </c>
    </row>
    <row r="412" spans="1:31" x14ac:dyDescent="0.2">
      <c r="A412" s="373">
        <v>38683.5</v>
      </c>
      <c r="B412" s="390">
        <f t="shared" si="181"/>
        <v>38.683500000000002</v>
      </c>
      <c r="C412" s="363">
        <f t="shared" si="162"/>
        <v>54.470177977583333</v>
      </c>
      <c r="D412" s="364">
        <f t="shared" si="163"/>
        <v>1.5524366257784763</v>
      </c>
      <c r="E412" s="364">
        <f t="shared" si="164"/>
        <v>1.1097754928099328</v>
      </c>
      <c r="F412" s="365">
        <f t="shared" si="165"/>
        <v>0.44853547853883974</v>
      </c>
      <c r="G412" s="364">
        <f t="shared" si="166"/>
        <v>1.3272985916278448</v>
      </c>
      <c r="H412" s="365">
        <f t="shared" si="167"/>
        <v>-0.71756366849457165</v>
      </c>
      <c r="I412" s="363">
        <f t="shared" si="168"/>
        <v>160465.14088970245</v>
      </c>
      <c r="J412" s="366">
        <f t="shared" si="169"/>
        <v>1.5707900949117943</v>
      </c>
      <c r="K412" s="374">
        <f t="shared" si="185"/>
        <v>48.456161607564027</v>
      </c>
      <c r="L412" s="375">
        <f t="shared" si="186"/>
        <v>1.5501576512820632</v>
      </c>
      <c r="M412" s="363">
        <f t="shared" si="170"/>
        <v>2.0580409833543474</v>
      </c>
      <c r="N412" s="366">
        <f t="shared" si="171"/>
        <v>1.0634048973554082</v>
      </c>
      <c r="O412" s="367">
        <f t="shared" si="172"/>
        <v>1.1298115174125061</v>
      </c>
      <c r="P412" s="368">
        <f t="shared" si="173"/>
        <v>0.64293982720916587</v>
      </c>
      <c r="Q412" s="369">
        <f t="shared" si="174"/>
        <v>-22.105014593534325</v>
      </c>
      <c r="R412" s="370">
        <f t="shared" si="175"/>
        <v>-203.31074975844891</v>
      </c>
      <c r="S412" s="372">
        <f t="shared" si="176"/>
        <v>-23.310749758448907</v>
      </c>
      <c r="U412" s="345">
        <f t="shared" si="182"/>
        <v>38683.5</v>
      </c>
      <c r="V412" s="345">
        <f t="shared" si="183"/>
        <v>1496413172.25</v>
      </c>
      <c r="X412" s="371">
        <f t="shared" si="177"/>
        <v>11.426960099746333</v>
      </c>
      <c r="Y412" s="372">
        <f t="shared" si="178"/>
        <v>-62.110764544004475</v>
      </c>
      <c r="AA412" s="371">
        <f t="shared" si="179"/>
        <v>27.028599778724214</v>
      </c>
      <c r="AB412" s="372">
        <f t="shared" si="180"/>
        <v>-141.19998521444444</v>
      </c>
      <c r="AD412">
        <f t="shared" si="184"/>
        <v>0</v>
      </c>
      <c r="AE412">
        <f t="shared" si="187"/>
        <v>0</v>
      </c>
    </row>
    <row r="413" spans="1:31" x14ac:dyDescent="0.2">
      <c r="A413" s="373">
        <v>38905</v>
      </c>
      <c r="B413" s="390">
        <f t="shared" si="181"/>
        <v>38.905000000000001</v>
      </c>
      <c r="C413" s="363">
        <f t="shared" si="162"/>
        <v>54.781966971565289</v>
      </c>
      <c r="D413" s="364">
        <f t="shared" si="163"/>
        <v>1.5525411307974848</v>
      </c>
      <c r="E413" s="364">
        <f t="shared" si="164"/>
        <v>1.1109732306805711</v>
      </c>
      <c r="F413" s="365">
        <f t="shared" si="165"/>
        <v>0.45077049345360715</v>
      </c>
      <c r="G413" s="364">
        <f t="shared" si="166"/>
        <v>1.3305899792951381</v>
      </c>
      <c r="H413" s="365">
        <f t="shared" si="167"/>
        <v>-0.72039332545076207</v>
      </c>
      <c r="I413" s="363">
        <f t="shared" si="168"/>
        <v>161383.95714742717</v>
      </c>
      <c r="J413" s="366">
        <f t="shared" si="169"/>
        <v>1.570790130392121</v>
      </c>
      <c r="K413" s="374">
        <f t="shared" si="185"/>
        <v>48.733501601645237</v>
      </c>
      <c r="L413" s="375">
        <f t="shared" si="186"/>
        <v>1.5502751215208019</v>
      </c>
      <c r="M413" s="363">
        <f t="shared" si="170"/>
        <v>2.067049056901483</v>
      </c>
      <c r="N413" s="366">
        <f t="shared" si="171"/>
        <v>1.0658260183119823</v>
      </c>
      <c r="O413" s="367">
        <f t="shared" si="172"/>
        <v>1.1312629371913945</v>
      </c>
      <c r="P413" s="368">
        <f t="shared" si="173"/>
        <v>0.64626679139832277</v>
      </c>
      <c r="Q413" s="369">
        <f t="shared" si="174"/>
        <v>-22.172817076248531</v>
      </c>
      <c r="R413" s="370">
        <f t="shared" si="175"/>
        <v>-203.67342043779206</v>
      </c>
      <c r="S413" s="372">
        <f t="shared" si="176"/>
        <v>-23.673420437792061</v>
      </c>
      <c r="U413" s="345">
        <f t="shared" si="182"/>
        <v>38905</v>
      </c>
      <c r="V413" s="345">
        <f t="shared" si="183"/>
        <v>1513599025</v>
      </c>
      <c r="X413" s="371">
        <f t="shared" si="177"/>
        <v>11.389003801797077</v>
      </c>
      <c r="Y413" s="372">
        <f t="shared" si="178"/>
        <v>-62.242756040632521</v>
      </c>
      <c r="AA413" s="371">
        <f t="shared" si="179"/>
        <v>26.998753593959258</v>
      </c>
      <c r="AB413" s="372">
        <f t="shared" si="180"/>
        <v>-141.43066439715957</v>
      </c>
      <c r="AD413">
        <f t="shared" si="184"/>
        <v>0</v>
      </c>
      <c r="AE413">
        <f t="shared" si="187"/>
        <v>0</v>
      </c>
    </row>
    <row r="414" spans="1:31" x14ac:dyDescent="0.2">
      <c r="A414" s="373">
        <v>39131.5</v>
      </c>
      <c r="B414" s="390">
        <f t="shared" si="181"/>
        <v>39.131500000000003</v>
      </c>
      <c r="C414" s="363">
        <f t="shared" si="162"/>
        <v>55.100794703442133</v>
      </c>
      <c r="D414" s="364">
        <f t="shared" si="163"/>
        <v>1.5526467718102537</v>
      </c>
      <c r="E414" s="364">
        <f t="shared" si="164"/>
        <v>1.1122037319662803</v>
      </c>
      <c r="F414" s="365">
        <f t="shared" si="165"/>
        <v>0.45305097046329545</v>
      </c>
      <c r="G414" s="364">
        <f t="shared" si="166"/>
        <v>1.3339666270551633</v>
      </c>
      <c r="H414" s="365">
        <f t="shared" si="167"/>
        <v>-0.723272393657449</v>
      </c>
      <c r="I414" s="363">
        <f t="shared" si="168"/>
        <v>162323.51417846407</v>
      </c>
      <c r="J414" s="366">
        <f t="shared" si="169"/>
        <v>1.5707901662579895</v>
      </c>
      <c r="K414" s="374">
        <f t="shared" si="185"/>
        <v>49.017102779676371</v>
      </c>
      <c r="L414" s="375">
        <f t="shared" si="186"/>
        <v>1.5503938688083485</v>
      </c>
      <c r="M414" s="363">
        <f t="shared" si="170"/>
        <v>2.0762728930122831</v>
      </c>
      <c r="N414" s="366">
        <f t="shared" si="171"/>
        <v>1.0682800522200435</v>
      </c>
      <c r="O414" s="367">
        <f t="shared" si="172"/>
        <v>1.1327548642619483</v>
      </c>
      <c r="P414" s="368">
        <f t="shared" si="173"/>
        <v>0.64966346925302443</v>
      </c>
      <c r="Q414" s="369">
        <f t="shared" si="174"/>
        <v>-22.241734152922312</v>
      </c>
      <c r="R414" s="370">
        <f t="shared" si="175"/>
        <v>-204.04218939934199</v>
      </c>
      <c r="S414" s="372">
        <f t="shared" si="176"/>
        <v>-24.042189399341993</v>
      </c>
      <c r="U414" s="345">
        <f t="shared" si="182"/>
        <v>39131.5</v>
      </c>
      <c r="V414" s="345">
        <f t="shared" si="183"/>
        <v>1531274292.25</v>
      </c>
      <c r="X414" s="371">
        <f t="shared" si="177"/>
        <v>11.350309689180714</v>
      </c>
      <c r="Y414" s="372">
        <f t="shared" si="178"/>
        <v>-62.376560163057178</v>
      </c>
      <c r="AA414" s="371">
        <f t="shared" si="179"/>
        <v>26.968530629901846</v>
      </c>
      <c r="AB414" s="372">
        <f t="shared" si="180"/>
        <v>-141.66562923628484</v>
      </c>
      <c r="AD414">
        <f t="shared" si="184"/>
        <v>0</v>
      </c>
      <c r="AE414">
        <f t="shared" si="187"/>
        <v>0</v>
      </c>
    </row>
    <row r="415" spans="1:31" x14ac:dyDescent="0.2">
      <c r="A415" s="373">
        <v>39358</v>
      </c>
      <c r="B415" s="390">
        <f t="shared" si="181"/>
        <v>39.357999999999997</v>
      </c>
      <c r="C415" s="363">
        <f t="shared" si="162"/>
        <v>55.419623043169842</v>
      </c>
      <c r="D415" s="364">
        <f t="shared" si="163"/>
        <v>1.5527511973215493</v>
      </c>
      <c r="E415" s="364">
        <f t="shared" si="164"/>
        <v>1.1134400045494051</v>
      </c>
      <c r="F415" s="365">
        <f t="shared" si="165"/>
        <v>0.45532639517488738</v>
      </c>
      <c r="G415" s="364">
        <f t="shared" si="166"/>
        <v>1.3373542762197614</v>
      </c>
      <c r="H415" s="365">
        <f t="shared" si="167"/>
        <v>-0.72613689958549044</v>
      </c>
      <c r="I415" s="363">
        <f t="shared" si="168"/>
        <v>163263.07120950124</v>
      </c>
      <c r="J415" s="366">
        <f t="shared" si="169"/>
        <v>1.5707902017110513</v>
      </c>
      <c r="K415" s="374">
        <f t="shared" si="185"/>
        <v>49.300704640941589</v>
      </c>
      <c r="L415" s="375">
        <f t="shared" si="186"/>
        <v>1.5505112499121214</v>
      </c>
      <c r="M415" s="363">
        <f t="shared" si="170"/>
        <v>2.0855091223760596</v>
      </c>
      <c r="N415" s="366">
        <f t="shared" si="171"/>
        <v>1.0707123639903928</v>
      </c>
      <c r="O415" s="367">
        <f t="shared" si="172"/>
        <v>1.1342546104564901</v>
      </c>
      <c r="P415" s="368">
        <f t="shared" si="173"/>
        <v>0.65305469025918872</v>
      </c>
      <c r="Q415" s="369">
        <f t="shared" si="174"/>
        <v>-22.310234959600095</v>
      </c>
      <c r="R415" s="370">
        <f t="shared" si="175"/>
        <v>-204.40886484774512</v>
      </c>
      <c r="S415" s="372">
        <f t="shared" si="176"/>
        <v>-24.408864847745122</v>
      </c>
      <c r="U415" s="345">
        <f t="shared" si="182"/>
        <v>39358</v>
      </c>
      <c r="V415" s="345">
        <f t="shared" si="183"/>
        <v>1549052164</v>
      </c>
      <c r="X415" s="371">
        <f t="shared" si="177"/>
        <v>11.31173574779652</v>
      </c>
      <c r="Y415" s="372">
        <f t="shared" si="178"/>
        <v>-62.509197951579758</v>
      </c>
      <c r="AA415" s="371">
        <f t="shared" si="179"/>
        <v>26.938603764608256</v>
      </c>
      <c r="AB415" s="372">
        <f t="shared" si="180"/>
        <v>-141.89966689616534</v>
      </c>
      <c r="AD415">
        <f t="shared" si="184"/>
        <v>0</v>
      </c>
      <c r="AE415">
        <f t="shared" si="187"/>
        <v>0</v>
      </c>
    </row>
    <row r="416" spans="1:31" x14ac:dyDescent="0.2">
      <c r="A416" s="373">
        <v>39584.5</v>
      </c>
      <c r="B416" s="390">
        <f t="shared" si="181"/>
        <v>39.584499999999998</v>
      </c>
      <c r="C416" s="363">
        <f t="shared" si="162"/>
        <v>55.738451980317528</v>
      </c>
      <c r="D416" s="364">
        <f t="shared" si="163"/>
        <v>1.5528544281874066</v>
      </c>
      <c r="E416" s="364">
        <f t="shared" si="164"/>
        <v>1.1146820292274378</v>
      </c>
      <c r="F416" s="365">
        <f t="shared" si="165"/>
        <v>0.45759676087558399</v>
      </c>
      <c r="G416" s="364">
        <f t="shared" si="166"/>
        <v>1.3407528433979525</v>
      </c>
      <c r="H416" s="365">
        <f t="shared" si="167"/>
        <v>-0.72898690678633948</v>
      </c>
      <c r="I416" s="363">
        <f t="shared" si="168"/>
        <v>164202.62824053862</v>
      </c>
      <c r="J416" s="366">
        <f t="shared" si="169"/>
        <v>1.5707902367583928</v>
      </c>
      <c r="K416" s="374">
        <f t="shared" si="185"/>
        <v>49.584307173717455</v>
      </c>
      <c r="L416" s="375">
        <f t="shared" si="186"/>
        <v>1.5506272882709429</v>
      </c>
      <c r="M416" s="363">
        <f t="shared" si="170"/>
        <v>2.0947575810593957</v>
      </c>
      <c r="N416" s="366">
        <f t="shared" si="171"/>
        <v>1.0731232123645911</v>
      </c>
      <c r="O416" s="367">
        <f t="shared" si="172"/>
        <v>1.1357621645352636</v>
      </c>
      <c r="P416" s="368">
        <f t="shared" si="173"/>
        <v>0.65644044496650777</v>
      </c>
      <c r="Q416" s="369">
        <f t="shared" si="174"/>
        <v>-22.378323781928415</v>
      </c>
      <c r="R416" s="370">
        <f t="shared" si="175"/>
        <v>-204.77346494460633</v>
      </c>
      <c r="S416" s="372">
        <f t="shared" si="176"/>
        <v>-24.773464944606332</v>
      </c>
      <c r="U416" s="345">
        <f t="shared" si="182"/>
        <v>39584.5</v>
      </c>
      <c r="V416" s="345">
        <f t="shared" si="183"/>
        <v>1566932640.25</v>
      </c>
      <c r="X416" s="371">
        <f t="shared" si="177"/>
        <v>11.273281818844897</v>
      </c>
      <c r="Y416" s="372">
        <f t="shared" si="178"/>
        <v>-62.640682888460191</v>
      </c>
      <c r="AA416" s="371">
        <f t="shared" si="179"/>
        <v>26.908968871231558</v>
      </c>
      <c r="AB416" s="372">
        <f t="shared" si="180"/>
        <v>-142.13278205614614</v>
      </c>
      <c r="AD416">
        <f t="shared" si="184"/>
        <v>0</v>
      </c>
      <c r="AE416">
        <f t="shared" si="187"/>
        <v>0</v>
      </c>
    </row>
    <row r="417" spans="1:31" x14ac:dyDescent="0.2">
      <c r="A417" s="373">
        <v>39811</v>
      </c>
      <c r="B417" s="390">
        <f t="shared" si="181"/>
        <v>39.811</v>
      </c>
      <c r="C417" s="363">
        <f t="shared" si="162"/>
        <v>56.057281504691638</v>
      </c>
      <c r="D417" s="364">
        <f t="shared" si="163"/>
        <v>1.5529564847894828</v>
      </c>
      <c r="E417" s="364">
        <f t="shared" si="164"/>
        <v>1.1159297867942137</v>
      </c>
      <c r="F417" s="365">
        <f t="shared" si="165"/>
        <v>0.45986206109101652</v>
      </c>
      <c r="G417" s="364">
        <f t="shared" si="166"/>
        <v>1.3441622457747306</v>
      </c>
      <c r="H417" s="365">
        <f t="shared" si="167"/>
        <v>-0.73182247911189668</v>
      </c>
      <c r="I417" s="363">
        <f t="shared" si="168"/>
        <v>165142.18527157619</v>
      </c>
      <c r="J417" s="366">
        <f t="shared" si="169"/>
        <v>1.5707902714069388</v>
      </c>
      <c r="K417" s="374">
        <f t="shared" si="185"/>
        <v>49.867910366547157</v>
      </c>
      <c r="L417" s="375">
        <f t="shared" si="186"/>
        <v>1.5507420067905866</v>
      </c>
      <c r="M417" s="363">
        <f t="shared" si="170"/>
        <v>2.1040181077960671</v>
      </c>
      <c r="N417" s="366">
        <f t="shared" si="171"/>
        <v>1.0755128525359909</v>
      </c>
      <c r="O417" s="367">
        <f t="shared" si="172"/>
        <v>1.1372775152708896</v>
      </c>
      <c r="P417" s="368">
        <f t="shared" si="173"/>
        <v>0.6598207241638846</v>
      </c>
      <c r="Q417" s="369">
        <f t="shared" si="174"/>
        <v>-22.446004851543005</v>
      </c>
      <c r="R417" s="370">
        <f t="shared" si="175"/>
        <v>-205.13600766884474</v>
      </c>
      <c r="S417" s="372">
        <f t="shared" si="176"/>
        <v>-25.136007668844741</v>
      </c>
      <c r="U417" s="345">
        <f t="shared" si="182"/>
        <v>39811</v>
      </c>
      <c r="V417" s="345">
        <f t="shared" si="183"/>
        <v>1584915721</v>
      </c>
      <c r="X417" s="371">
        <f t="shared" si="177"/>
        <v>11.234947729641327</v>
      </c>
      <c r="Y417" s="372">
        <f t="shared" si="178"/>
        <v>-62.771028283193161</v>
      </c>
      <c r="AA417" s="371">
        <f t="shared" si="179"/>
        <v>26.879621890820538</v>
      </c>
      <c r="AB417" s="372">
        <f t="shared" si="180"/>
        <v>-142.36497938565157</v>
      </c>
      <c r="AD417">
        <f t="shared" si="184"/>
        <v>0</v>
      </c>
      <c r="AE417">
        <f t="shared" si="187"/>
        <v>0</v>
      </c>
    </row>
    <row r="418" spans="1:31" x14ac:dyDescent="0.2">
      <c r="A418" s="373">
        <v>40042.75</v>
      </c>
      <c r="B418" s="390">
        <f t="shared" si="181"/>
        <v>40.042749999999998</v>
      </c>
      <c r="C418" s="363">
        <f t="shared" si="162"/>
        <v>56.383501714789631</v>
      </c>
      <c r="D418" s="364">
        <f t="shared" si="163"/>
        <v>1.5530597123108947</v>
      </c>
      <c r="E418" s="364">
        <f t="shared" si="164"/>
        <v>1.1172123796095919</v>
      </c>
      <c r="F418" s="365">
        <f t="shared" si="165"/>
        <v>0.46217461879665805</v>
      </c>
      <c r="G418" s="364">
        <f t="shared" si="166"/>
        <v>1.3476618030889054</v>
      </c>
      <c r="H418" s="365">
        <f t="shared" si="167"/>
        <v>-0.73470890289297108</v>
      </c>
      <c r="I418" s="363">
        <f t="shared" si="168"/>
        <v>166103.52011459167</v>
      </c>
      <c r="J418" s="366">
        <f t="shared" si="169"/>
        <v>1.5707903064528874</v>
      </c>
      <c r="K418" s="374">
        <f t="shared" si="185"/>
        <v>50.158087814818643</v>
      </c>
      <c r="L418" s="375">
        <f t="shared" si="186"/>
        <v>1.550858041614757</v>
      </c>
      <c r="M418" s="363">
        <f t="shared" si="170"/>
        <v>2.1135056079234822</v>
      </c>
      <c r="N418" s="366">
        <f t="shared" si="171"/>
        <v>1.0779361929492604</v>
      </c>
      <c r="O418" s="367">
        <f t="shared" si="172"/>
        <v>1.1388360481604387</v>
      </c>
      <c r="P418" s="368">
        <f t="shared" si="173"/>
        <v>0.66327367749096633</v>
      </c>
      <c r="Q418" s="369">
        <f t="shared" si="174"/>
        <v>-22.514837006552966</v>
      </c>
      <c r="R418" s="370">
        <f t="shared" si="175"/>
        <v>-205.5048428074854</v>
      </c>
      <c r="S418" s="372">
        <f t="shared" si="176"/>
        <v>-25.504842807485403</v>
      </c>
      <c r="U418" s="345">
        <f t="shared" si="182"/>
        <v>40042.75</v>
      </c>
      <c r="V418" s="345">
        <f t="shared" si="183"/>
        <v>1603421827.5625</v>
      </c>
      <c r="X418" s="371">
        <f t="shared" si="177"/>
        <v>11.195848946379428</v>
      </c>
      <c r="Y418" s="372">
        <f t="shared" si="178"/>
        <v>-62.903229163631494</v>
      </c>
      <c r="AA418" s="371">
        <f t="shared" si="179"/>
        <v>26.849888519072476</v>
      </c>
      <c r="AB418" s="372">
        <f t="shared" si="180"/>
        <v>-142.60161364385394</v>
      </c>
      <c r="AD418">
        <f t="shared" si="184"/>
        <v>0</v>
      </c>
      <c r="AE418">
        <f t="shared" si="187"/>
        <v>0</v>
      </c>
    </row>
    <row r="419" spans="1:31" x14ac:dyDescent="0.2">
      <c r="A419" s="373">
        <v>40274.5</v>
      </c>
      <c r="B419" s="390">
        <f t="shared" si="181"/>
        <v>40.274500000000003</v>
      </c>
      <c r="C419" s="363">
        <f t="shared" si="162"/>
        <v>56.709722518793406</v>
      </c>
      <c r="D419" s="364">
        <f t="shared" si="163"/>
        <v>1.5531617522075751</v>
      </c>
      <c r="E419" s="364">
        <f t="shared" si="164"/>
        <v>1.1185009334696836</v>
      </c>
      <c r="F419" s="365">
        <f t="shared" si="165"/>
        <v>0.46448186051601675</v>
      </c>
      <c r="G419" s="364">
        <f t="shared" si="166"/>
        <v>1.3511725301539457</v>
      </c>
      <c r="H419" s="365">
        <f t="shared" si="167"/>
        <v>-0.73758035100894659</v>
      </c>
      <c r="I419" s="363">
        <f t="shared" si="168"/>
        <v>167064.85495760728</v>
      </c>
      <c r="J419" s="366">
        <f t="shared" si="169"/>
        <v>1.5707903410955091</v>
      </c>
      <c r="K419" s="374">
        <f t="shared" si="185"/>
        <v>50.448265930653655</v>
      </c>
      <c r="L419" s="375">
        <f t="shared" si="186"/>
        <v>1.5509727415772649</v>
      </c>
      <c r="M419" s="363">
        <f t="shared" si="170"/>
        <v>2.1230054088031793</v>
      </c>
      <c r="N419" s="366">
        <f t="shared" si="171"/>
        <v>1.0803378599449565</v>
      </c>
      <c r="O419" s="367">
        <f t="shared" si="172"/>
        <v>1.140402719592494</v>
      </c>
      <c r="P419" s="368">
        <f t="shared" si="173"/>
        <v>0.66672087978554906</v>
      </c>
      <c r="Q419" s="369">
        <f t="shared" si="174"/>
        <v>-22.583251080624457</v>
      </c>
      <c r="R419" s="370">
        <f t="shared" si="175"/>
        <v>-205.8715615949973</v>
      </c>
      <c r="S419" s="372">
        <f t="shared" si="176"/>
        <v>-25.871561594997303</v>
      </c>
      <c r="U419" s="345">
        <f t="shared" si="182"/>
        <v>40274.5</v>
      </c>
      <c r="V419" s="345">
        <f t="shared" si="183"/>
        <v>1622035350.25</v>
      </c>
      <c r="X419" s="371">
        <f t="shared" si="177"/>
        <v>11.1568752147433</v>
      </c>
      <c r="Y419" s="372">
        <f t="shared" si="178"/>
        <v>-63.034264707544459</v>
      </c>
      <c r="AA419" s="371">
        <f t="shared" si="179"/>
        <v>26.820448176637115</v>
      </c>
      <c r="AB419" s="372">
        <f t="shared" si="180"/>
        <v>-142.83729688745282</v>
      </c>
      <c r="AD419">
        <f t="shared" si="184"/>
        <v>0</v>
      </c>
      <c r="AE419">
        <f t="shared" si="187"/>
        <v>0</v>
      </c>
    </row>
    <row r="420" spans="1:31" x14ac:dyDescent="0.2">
      <c r="A420" s="373">
        <v>40506.25</v>
      </c>
      <c r="B420" s="390">
        <f t="shared" si="181"/>
        <v>40.506250000000001</v>
      </c>
      <c r="C420" s="363">
        <f t="shared" si="162"/>
        <v>57.035943906512323</v>
      </c>
      <c r="D420" s="364">
        <f t="shared" si="163"/>
        <v>1.5532626248555086</v>
      </c>
      <c r="E420" s="364">
        <f t="shared" si="164"/>
        <v>1.1197954277962823</v>
      </c>
      <c r="F420" s="365">
        <f t="shared" si="165"/>
        <v>0.4667837800783724</v>
      </c>
      <c r="G420" s="364">
        <f t="shared" si="166"/>
        <v>1.3546943401297189</v>
      </c>
      <c r="H420" s="365">
        <f t="shared" si="167"/>
        <v>-0.74043689272153124</v>
      </c>
      <c r="I420" s="363">
        <f t="shared" si="168"/>
        <v>168026.18980062316</v>
      </c>
      <c r="J420" s="366">
        <f t="shared" si="169"/>
        <v>1.5707903753417263</v>
      </c>
      <c r="K420" s="374">
        <f t="shared" si="185"/>
        <v>50.738444702598606</v>
      </c>
      <c r="L420" s="375">
        <f t="shared" si="186"/>
        <v>1.5510861295777301</v>
      </c>
      <c r="M420" s="363">
        <f t="shared" si="170"/>
        <v>2.1325173460453697</v>
      </c>
      <c r="N420" s="366">
        <f t="shared" si="171"/>
        <v>1.0827181156491186</v>
      </c>
      <c r="O420" s="367">
        <f t="shared" si="172"/>
        <v>1.1419775175854439</v>
      </c>
      <c r="P420" s="368">
        <f t="shared" si="173"/>
        <v>0.67016232194882164</v>
      </c>
      <c r="Q420" s="369">
        <f t="shared" si="174"/>
        <v>-22.651251436367858</v>
      </c>
      <c r="R420" s="370">
        <f t="shared" si="175"/>
        <v>-206.23618270653537</v>
      </c>
      <c r="S420" s="372">
        <f t="shared" si="176"/>
        <v>-26.236182706535374</v>
      </c>
      <c r="U420" s="345">
        <f t="shared" si="182"/>
        <v>40506.25</v>
      </c>
      <c r="V420" s="345">
        <f t="shared" si="183"/>
        <v>1640756289.0625</v>
      </c>
      <c r="X420" s="371">
        <f t="shared" si="177"/>
        <v>11.118026308046629</v>
      </c>
      <c r="Y420" s="372">
        <f t="shared" si="178"/>
        <v>-63.164148621992936</v>
      </c>
      <c r="AA420" s="371">
        <f t="shared" si="179"/>
        <v>26.791296727590385</v>
      </c>
      <c r="AB420" s="372">
        <f t="shared" si="180"/>
        <v>-143.07203408454242</v>
      </c>
      <c r="AD420">
        <f t="shared" si="184"/>
        <v>0</v>
      </c>
      <c r="AE420">
        <f t="shared" si="187"/>
        <v>0</v>
      </c>
    </row>
    <row r="421" spans="1:31" x14ac:dyDescent="0.2">
      <c r="A421" s="373">
        <v>40738</v>
      </c>
      <c r="B421" s="390">
        <f t="shared" si="181"/>
        <v>40.738</v>
      </c>
      <c r="C421" s="363">
        <f t="shared" si="162"/>
        <v>57.362165867987528</v>
      </c>
      <c r="D421" s="364">
        <f t="shared" si="163"/>
        <v>1.5533623501672582</v>
      </c>
      <c r="E421" s="364">
        <f t="shared" si="164"/>
        <v>1.1210958420115755</v>
      </c>
      <c r="F421" s="365">
        <f t="shared" si="165"/>
        <v>0.46908037156704757</v>
      </c>
      <c r="G421" s="364">
        <f t="shared" si="166"/>
        <v>1.3582271468040528</v>
      </c>
      <c r="H421" s="365">
        <f t="shared" si="167"/>
        <v>-0.74327859754828252</v>
      </c>
      <c r="I421" s="363">
        <f t="shared" si="168"/>
        <v>168987.52464363925</v>
      </c>
      <c r="J421" s="366">
        <f t="shared" si="169"/>
        <v>1.570790409198304</v>
      </c>
      <c r="K421" s="374">
        <f t="shared" si="185"/>
        <v>51.028624119460424</v>
      </c>
      <c r="L421" s="375">
        <f t="shared" si="186"/>
        <v>1.5511982279950252</v>
      </c>
      <c r="M421" s="363">
        <f t="shared" si="170"/>
        <v>2.1420412579720547</v>
      </c>
      <c r="N421" s="366">
        <f t="shared" si="171"/>
        <v>1.0850772185053457</v>
      </c>
      <c r="O421" s="367">
        <f t="shared" si="172"/>
        <v>1.143560430174237</v>
      </c>
      <c r="P421" s="368">
        <f t="shared" si="173"/>
        <v>0.67359799513744212</v>
      </c>
      <c r="Q421" s="369">
        <f t="shared" si="174"/>
        <v>-22.718842380793703</v>
      </c>
      <c r="R421" s="370">
        <f t="shared" si="175"/>
        <v>-206.59872462428277</v>
      </c>
      <c r="S421" s="372">
        <f t="shared" si="176"/>
        <v>-26.598724624282767</v>
      </c>
      <c r="U421" s="345">
        <f t="shared" si="182"/>
        <v>40738</v>
      </c>
      <c r="V421" s="345">
        <f t="shared" si="183"/>
        <v>1659584644</v>
      </c>
      <c r="X421" s="371">
        <f t="shared" si="177"/>
        <v>11.079301986638274</v>
      </c>
      <c r="Y421" s="372">
        <f t="shared" si="178"/>
        <v>-63.292894432877027</v>
      </c>
      <c r="AA421" s="371">
        <f t="shared" si="179"/>
        <v>26.762430104572893</v>
      </c>
      <c r="AB421" s="372">
        <f t="shared" si="180"/>
        <v>-143.3058301914057</v>
      </c>
      <c r="AD421">
        <f t="shared" si="184"/>
        <v>0</v>
      </c>
      <c r="AE421">
        <f t="shared" si="187"/>
        <v>0</v>
      </c>
    </row>
    <row r="422" spans="1:31" x14ac:dyDescent="0.2">
      <c r="A422" s="373">
        <v>40975.25</v>
      </c>
      <c r="B422" s="390">
        <f t="shared" si="181"/>
        <v>40.975250000000003</v>
      </c>
      <c r="C422" s="363">
        <f t="shared" si="162"/>
        <v>57.696130466667483</v>
      </c>
      <c r="D422" s="364">
        <f t="shared" si="163"/>
        <v>1.5534632740213494</v>
      </c>
      <c r="E422" s="364">
        <f t="shared" si="164"/>
        <v>1.1224332290816328</v>
      </c>
      <c r="F422" s="365">
        <f t="shared" si="165"/>
        <v>0.47142594168581087</v>
      </c>
      <c r="G422" s="364">
        <f t="shared" si="166"/>
        <v>1.3618550976179735</v>
      </c>
      <c r="H422" s="365">
        <f t="shared" si="167"/>
        <v>-0.74617244664415938</v>
      </c>
      <c r="I422" s="363">
        <f t="shared" si="168"/>
        <v>169971.67433729878</v>
      </c>
      <c r="J422" s="366">
        <f t="shared" si="169"/>
        <v>1.5707904434616653</v>
      </c>
      <c r="K422" s="374">
        <f t="shared" si="185"/>
        <v>51.325690867360663</v>
      </c>
      <c r="L422" s="375">
        <f t="shared" si="186"/>
        <v>1.5513116737646797</v>
      </c>
      <c r="M422" s="363">
        <f t="shared" si="170"/>
        <v>2.1518034341864896</v>
      </c>
      <c r="N422" s="366">
        <f t="shared" si="171"/>
        <v>1.0874706629022175</v>
      </c>
      <c r="O422" s="367">
        <f t="shared" si="172"/>
        <v>1.1451893024649875</v>
      </c>
      <c r="P422" s="368">
        <f t="shared" si="173"/>
        <v>0.67710922040415444</v>
      </c>
      <c r="Q422" s="369">
        <f t="shared" si="174"/>
        <v>-22.78761776352993</v>
      </c>
      <c r="R422" s="370">
        <f t="shared" si="175"/>
        <v>-206.96773585746382</v>
      </c>
      <c r="S422" s="372">
        <f t="shared" si="176"/>
        <v>-26.967735857463822</v>
      </c>
      <c r="U422" s="345">
        <f t="shared" si="182"/>
        <v>40975.25</v>
      </c>
      <c r="V422" s="345">
        <f t="shared" si="183"/>
        <v>1678971112.5625</v>
      </c>
      <c r="X422" s="371">
        <f t="shared" si="177"/>
        <v>11.039787433593812</v>
      </c>
      <c r="Y422" s="372">
        <f t="shared" si="178"/>
        <v>-63.423530694807454</v>
      </c>
      <c r="AA422" s="371">
        <f t="shared" si="179"/>
        <v>26.733169274881128</v>
      </c>
      <c r="AB422" s="372">
        <f t="shared" si="180"/>
        <v>-143.54420516265637</v>
      </c>
      <c r="AD422">
        <f t="shared" si="184"/>
        <v>0</v>
      </c>
      <c r="AE422">
        <f t="shared" si="187"/>
        <v>0</v>
      </c>
    </row>
    <row r="423" spans="1:31" x14ac:dyDescent="0.2">
      <c r="A423" s="373">
        <v>41212.5</v>
      </c>
      <c r="B423" s="390">
        <f t="shared" si="181"/>
        <v>41.212499999999999</v>
      </c>
      <c r="C423" s="363">
        <f t="shared" si="162"/>
        <v>58.030095646254416</v>
      </c>
      <c r="D423" s="364">
        <f t="shared" si="163"/>
        <v>1.5535630362360024</v>
      </c>
      <c r="E423" s="364">
        <f t="shared" si="164"/>
        <v>1.1237767767236679</v>
      </c>
      <c r="F423" s="365">
        <f t="shared" si="165"/>
        <v>0.47376591609199825</v>
      </c>
      <c r="G423" s="364">
        <f t="shared" si="166"/>
        <v>1.3654943924431298</v>
      </c>
      <c r="H423" s="365">
        <f t="shared" si="167"/>
        <v>-0.74905089445345763</v>
      </c>
      <c r="I423" s="363">
        <f t="shared" si="168"/>
        <v>170955.82403095855</v>
      </c>
      <c r="J423" s="366">
        <f t="shared" si="169"/>
        <v>1.5707904773305355</v>
      </c>
      <c r="K423" s="374">
        <f t="shared" si="185"/>
        <v>51.622758268217126</v>
      </c>
      <c r="L423" s="375">
        <f t="shared" si="186"/>
        <v>1.551423813869772</v>
      </c>
      <c r="M423" s="363">
        <f t="shared" si="170"/>
        <v>2.1615778257886511</v>
      </c>
      <c r="N423" s="366">
        <f t="shared" si="171"/>
        <v>1.0898424750560589</v>
      </c>
      <c r="O423" s="367">
        <f t="shared" si="172"/>
        <v>1.1468266537600891</v>
      </c>
      <c r="P423" s="368">
        <f t="shared" si="173"/>
        <v>0.68061438167959964</v>
      </c>
      <c r="Q423" s="369">
        <f t="shared" si="174"/>
        <v>-22.855973031701904</v>
      </c>
      <c r="R423" s="370">
        <f t="shared" si="175"/>
        <v>-207.33460662473189</v>
      </c>
      <c r="S423" s="372">
        <f t="shared" si="176"/>
        <v>-27.33460662473189</v>
      </c>
      <c r="U423" s="345">
        <f t="shared" si="182"/>
        <v>41212.5</v>
      </c>
      <c r="V423" s="345">
        <f t="shared" si="183"/>
        <v>1698470156.25</v>
      </c>
      <c r="X423" s="371">
        <f t="shared" si="177"/>
        <v>11.000402901781154</v>
      </c>
      <c r="Y423" s="372">
        <f t="shared" si="178"/>
        <v>-63.553002306975721</v>
      </c>
      <c r="AA423" s="371">
        <f t="shared" si="179"/>
        <v>26.704198538521812</v>
      </c>
      <c r="AB423" s="372">
        <f t="shared" si="180"/>
        <v>-143.78160431775615</v>
      </c>
      <c r="AD423">
        <f t="shared" si="184"/>
        <v>0</v>
      </c>
      <c r="AE423">
        <f t="shared" si="187"/>
        <v>0</v>
      </c>
    </row>
    <row r="424" spans="1:31" x14ac:dyDescent="0.2">
      <c r="A424" s="373">
        <v>41449.75</v>
      </c>
      <c r="B424" s="390">
        <f t="shared" si="181"/>
        <v>41.449750000000002</v>
      </c>
      <c r="C424" s="363">
        <f t="shared" si="162"/>
        <v>58.364061396776307</v>
      </c>
      <c r="D424" s="364">
        <f t="shared" si="163"/>
        <v>1.5536616567503103</v>
      </c>
      <c r="E424" s="364">
        <f t="shared" si="164"/>
        <v>1.1251264628681035</v>
      </c>
      <c r="F424" s="365">
        <f t="shared" si="165"/>
        <v>0.47610028925263742</v>
      </c>
      <c r="G424" s="364">
        <f t="shared" si="166"/>
        <v>1.3691449408197056</v>
      </c>
      <c r="H424" s="365">
        <f t="shared" si="167"/>
        <v>-0.75191401628078025</v>
      </c>
      <c r="I424" s="363">
        <f t="shared" si="168"/>
        <v>171939.97372461853</v>
      </c>
      <c r="J424" s="366">
        <f t="shared" si="169"/>
        <v>1.5707905108116884</v>
      </c>
      <c r="K424" s="374">
        <f t="shared" si="185"/>
        <v>51.919826310821854</v>
      </c>
      <c r="L424" s="375">
        <f t="shared" si="186"/>
        <v>1.5515346707191975</v>
      </c>
      <c r="M424" s="363">
        <f t="shared" si="170"/>
        <v>2.1713642678159202</v>
      </c>
      <c r="N424" s="366">
        <f t="shared" si="171"/>
        <v>1.0921929205928591</v>
      </c>
      <c r="O424" s="367">
        <f t="shared" si="172"/>
        <v>1.1484724712809609</v>
      </c>
      <c r="P424" s="368">
        <f t="shared" si="173"/>
        <v>0.68411347029636882</v>
      </c>
      <c r="Q424" s="369">
        <f t="shared" si="174"/>
        <v>-22.923912630789491</v>
      </c>
      <c r="R424" s="370">
        <f t="shared" si="175"/>
        <v>-207.69935613925975</v>
      </c>
      <c r="S424" s="372">
        <f t="shared" si="176"/>
        <v>-27.699356139259748</v>
      </c>
      <c r="U424" s="345">
        <f t="shared" si="182"/>
        <v>41449.75</v>
      </c>
      <c r="V424" s="345">
        <f t="shared" si="183"/>
        <v>1718081775.0625</v>
      </c>
      <c r="X424" s="371">
        <f t="shared" si="177"/>
        <v>10.961148095238748</v>
      </c>
      <c r="Y424" s="372">
        <f t="shared" si="178"/>
        <v>-63.681323205082919</v>
      </c>
      <c r="AA424" s="371">
        <f t="shared" si="179"/>
        <v>26.67551374597663</v>
      </c>
      <c r="AB424" s="372">
        <f t="shared" si="180"/>
        <v>-144.01803293417683</v>
      </c>
      <c r="AD424">
        <f t="shared" si="184"/>
        <v>0</v>
      </c>
      <c r="AE424">
        <f t="shared" si="187"/>
        <v>0</v>
      </c>
    </row>
    <row r="425" spans="1:31" x14ac:dyDescent="0.2">
      <c r="A425" s="373">
        <v>41687</v>
      </c>
      <c r="B425" s="390">
        <f t="shared" si="181"/>
        <v>41.686999999999998</v>
      </c>
      <c r="C425" s="363">
        <f t="shared" si="162"/>
        <v>58.698027708488056</v>
      </c>
      <c r="D425" s="364">
        <f t="shared" si="163"/>
        <v>1.553759155049677</v>
      </c>
      <c r="E425" s="364">
        <f t="shared" si="164"/>
        <v>1.1264822654505402</v>
      </c>
      <c r="F425" s="365">
        <f t="shared" si="165"/>
        <v>0.47842905590539375</v>
      </c>
      <c r="G425" s="364">
        <f t="shared" si="166"/>
        <v>1.3728066529718406</v>
      </c>
      <c r="H425" s="365">
        <f t="shared" si="167"/>
        <v>-0.75476188763606278</v>
      </c>
      <c r="I425" s="363">
        <f t="shared" si="168"/>
        <v>172924.12341827867</v>
      </c>
      <c r="J425" s="366">
        <f t="shared" si="169"/>
        <v>1.570790543911744</v>
      </c>
      <c r="K425" s="374">
        <f t="shared" si="185"/>
        <v>52.216894984221895</v>
      </c>
      <c r="L425" s="375">
        <f t="shared" si="186"/>
        <v>1.5516442662120304</v>
      </c>
      <c r="M425" s="363">
        <f t="shared" si="170"/>
        <v>2.1811625980647333</v>
      </c>
      <c r="N425" s="366">
        <f t="shared" si="171"/>
        <v>1.0945222613187391</v>
      </c>
      <c r="O425" s="367">
        <f t="shared" si="172"/>
        <v>1.1501267422704158</v>
      </c>
      <c r="P425" s="368">
        <f t="shared" si="173"/>
        <v>0.68760647785988871</v>
      </c>
      <c r="Q425" s="369">
        <f t="shared" si="174"/>
        <v>-22.991440948899541</v>
      </c>
      <c r="R425" s="370">
        <f t="shared" si="175"/>
        <v>-208.06200341045607</v>
      </c>
      <c r="S425" s="372">
        <f t="shared" si="176"/>
        <v>-28.062003410456072</v>
      </c>
      <c r="U425" s="345">
        <f t="shared" si="182"/>
        <v>41687</v>
      </c>
      <c r="V425" s="345">
        <f t="shared" si="183"/>
        <v>1737805969</v>
      </c>
      <c r="X425" s="371">
        <f t="shared" si="177"/>
        <v>10.922022705992076</v>
      </c>
      <c r="Y425" s="372">
        <f t="shared" si="178"/>
        <v>-63.808507135169641</v>
      </c>
      <c r="AA425" s="371">
        <f t="shared" si="179"/>
        <v>26.647110817113248</v>
      </c>
      <c r="AB425" s="372">
        <f t="shared" si="180"/>
        <v>-144.25349627528644</v>
      </c>
      <c r="AD425">
        <f t="shared" si="184"/>
        <v>0</v>
      </c>
      <c r="AE425">
        <f t="shared" si="187"/>
        <v>0</v>
      </c>
    </row>
    <row r="426" spans="1:31" x14ac:dyDescent="0.2">
      <c r="A426" s="373">
        <v>41929.75</v>
      </c>
      <c r="B426" s="390">
        <f t="shared" si="181"/>
        <v>41.929749999999999</v>
      </c>
      <c r="C426" s="363">
        <f t="shared" si="162"/>
        <v>59.039736697399555</v>
      </c>
      <c r="D426" s="364">
        <f t="shared" si="163"/>
        <v>1.5538577719054449</v>
      </c>
      <c r="E426" s="364">
        <f t="shared" si="164"/>
        <v>1.1278758064151004</v>
      </c>
      <c r="F426" s="365">
        <f t="shared" si="165"/>
        <v>0.48080600053952205</v>
      </c>
      <c r="G426" s="364">
        <f t="shared" si="166"/>
        <v>1.3765647140773256</v>
      </c>
      <c r="H426" s="365">
        <f t="shared" si="167"/>
        <v>-0.75766007326618401</v>
      </c>
      <c r="I426" s="363">
        <f t="shared" si="168"/>
        <v>173931.08796258236</v>
      </c>
      <c r="J426" s="366">
        <f t="shared" si="169"/>
        <v>1.5707905773914304</v>
      </c>
      <c r="K426" s="374">
        <f t="shared" si="185"/>
        <v>52.520851033619437</v>
      </c>
      <c r="L426" s="375">
        <f t="shared" si="186"/>
        <v>1.5517551191448629</v>
      </c>
      <c r="M426" s="363">
        <f t="shared" si="170"/>
        <v>2.1912002145814631</v>
      </c>
      <c r="N426" s="366">
        <f t="shared" si="171"/>
        <v>1.0968840262700712</v>
      </c>
      <c r="O426" s="367">
        <f t="shared" si="172"/>
        <v>1.1518280994748731</v>
      </c>
      <c r="P426" s="368">
        <f t="shared" si="173"/>
        <v>0.69117415874449706</v>
      </c>
      <c r="Q426" s="369">
        <f t="shared" si="174"/>
        <v>-23.060113553113233</v>
      </c>
      <c r="R426" s="370">
        <f t="shared" si="175"/>
        <v>-208.43090138397909</v>
      </c>
      <c r="S426" s="372">
        <f t="shared" si="176"/>
        <v>-28.430901383979091</v>
      </c>
      <c r="U426" s="345">
        <f t="shared" si="182"/>
        <v>41929.75</v>
      </c>
      <c r="V426" s="345">
        <f t="shared" si="183"/>
        <v>1758103935.0625</v>
      </c>
      <c r="X426" s="371">
        <f t="shared" si="177"/>
        <v>10.882123919416307</v>
      </c>
      <c r="Y426" s="372">
        <f t="shared" si="178"/>
        <v>-63.937476812277026</v>
      </c>
      <c r="AA426" s="371">
        <f t="shared" si="179"/>
        <v>26.618336999475332</v>
      </c>
      <c r="AB426" s="372">
        <f t="shared" si="180"/>
        <v>-144.49342457170209</v>
      </c>
      <c r="AD426">
        <f t="shared" si="184"/>
        <v>0</v>
      </c>
      <c r="AE426">
        <f t="shared" si="187"/>
        <v>0</v>
      </c>
    </row>
    <row r="427" spans="1:31" x14ac:dyDescent="0.2">
      <c r="A427" s="373">
        <v>42172.5</v>
      </c>
      <c r="B427" s="390">
        <f t="shared" si="181"/>
        <v>42.172499999999999</v>
      </c>
      <c r="C427" s="363">
        <f t="shared" si="162"/>
        <v>59.38144625388108</v>
      </c>
      <c r="D427" s="364">
        <f t="shared" si="163"/>
        <v>1.5539552537840007</v>
      </c>
      <c r="E427" s="364">
        <f t="shared" si="164"/>
        <v>1.1292757039785084</v>
      </c>
      <c r="F427" s="365">
        <f t="shared" si="165"/>
        <v>0.48317706542156241</v>
      </c>
      <c r="G427" s="364">
        <f t="shared" si="166"/>
        <v>1.3803342745949361</v>
      </c>
      <c r="H427" s="365">
        <f t="shared" si="167"/>
        <v>-0.76054245366289008</v>
      </c>
      <c r="I427" s="363">
        <f t="shared" si="168"/>
        <v>174938.05250688622</v>
      </c>
      <c r="J427" s="366">
        <f t="shared" si="169"/>
        <v>1.5707906104856908</v>
      </c>
      <c r="K427" s="374">
        <f t="shared" si="185"/>
        <v>52.824807720985497</v>
      </c>
      <c r="L427" s="375">
        <f t="shared" si="186"/>
        <v>1.5518646963719627</v>
      </c>
      <c r="M427" s="363">
        <f t="shared" si="170"/>
        <v>2.201249941961037</v>
      </c>
      <c r="N427" s="366">
        <f t="shared" si="171"/>
        <v>1.0992242390701095</v>
      </c>
      <c r="O427" s="367">
        <f t="shared" si="172"/>
        <v>1.1535382796838944</v>
      </c>
      <c r="P427" s="368">
        <f t="shared" si="173"/>
        <v>0.69473545644793544</v>
      </c>
      <c r="Q427" s="369">
        <f t="shared" si="174"/>
        <v>-23.128364700643765</v>
      </c>
      <c r="R427" s="370">
        <f t="shared" si="175"/>
        <v>-208.79763813372753</v>
      </c>
      <c r="S427" s="372">
        <f t="shared" si="176"/>
        <v>-28.797638133727531</v>
      </c>
      <c r="U427" s="345">
        <f t="shared" si="182"/>
        <v>42172.5</v>
      </c>
      <c r="V427" s="345">
        <f t="shared" si="183"/>
        <v>1778519756.25</v>
      </c>
      <c r="X427" s="371">
        <f t="shared" si="177"/>
        <v>10.842359931458912</v>
      </c>
      <c r="Y427" s="372">
        <f t="shared" si="178"/>
        <v>-64.065284712545619</v>
      </c>
      <c r="AA427" s="371">
        <f t="shared" si="179"/>
        <v>26.589849839902193</v>
      </c>
      <c r="AB427" s="372">
        <f t="shared" si="180"/>
        <v>-144.7323534211819</v>
      </c>
      <c r="AD427">
        <f t="shared" si="184"/>
        <v>0</v>
      </c>
      <c r="AE427">
        <f t="shared" si="187"/>
        <v>0</v>
      </c>
    </row>
    <row r="428" spans="1:31" x14ac:dyDescent="0.2">
      <c r="A428" s="373">
        <v>42415.25</v>
      </c>
      <c r="B428" s="390">
        <f t="shared" si="181"/>
        <v>42.41525</v>
      </c>
      <c r="C428" s="363">
        <f t="shared" si="162"/>
        <v>59.72315636819048</v>
      </c>
      <c r="D428" s="364">
        <f t="shared" si="163"/>
        <v>1.5540516201650239</v>
      </c>
      <c r="E428" s="364">
        <f t="shared" si="164"/>
        <v>1.1306819345304449</v>
      </c>
      <c r="F428" s="365">
        <f t="shared" si="165"/>
        <v>0.48554224578024757</v>
      </c>
      <c r="G428" s="364">
        <f t="shared" si="166"/>
        <v>1.3841152405706556</v>
      </c>
      <c r="H428" s="365">
        <f t="shared" si="167"/>
        <v>-0.76340911026096281</v>
      </c>
      <c r="I428" s="363">
        <f t="shared" si="168"/>
        <v>175945.01705119028</v>
      </c>
      <c r="J428" s="366">
        <f t="shared" si="169"/>
        <v>1.5707906432011423</v>
      </c>
      <c r="K428" s="374">
        <f t="shared" si="185"/>
        <v>53.128765035370378</v>
      </c>
      <c r="L428" s="375">
        <f t="shared" si="186"/>
        <v>1.5519730197861636</v>
      </c>
      <c r="M428" s="363">
        <f t="shared" si="170"/>
        <v>2.2113116150830825</v>
      </c>
      <c r="N428" s="366">
        <f t="shared" si="171"/>
        <v>1.1015431681029437</v>
      </c>
      <c r="O428" s="367">
        <f t="shared" si="172"/>
        <v>1.1552572693069885</v>
      </c>
      <c r="P428" s="368">
        <f t="shared" si="173"/>
        <v>0.69829036285195467</v>
      </c>
      <c r="Q428" s="369">
        <f t="shared" si="174"/>
        <v>-23.196198911128086</v>
      </c>
      <c r="R428" s="370">
        <f t="shared" si="175"/>
        <v>-209.16223337319397</v>
      </c>
      <c r="S428" s="372">
        <f t="shared" si="176"/>
        <v>-29.16223337319397</v>
      </c>
      <c r="U428" s="345">
        <f t="shared" si="182"/>
        <v>42415.25</v>
      </c>
      <c r="V428" s="345">
        <f t="shared" si="183"/>
        <v>1799053432.5625</v>
      </c>
      <c r="X428" s="371">
        <f t="shared" si="177"/>
        <v>10.802730376503993</v>
      </c>
      <c r="Y428" s="372">
        <f t="shared" si="178"/>
        <v>-64.191944959263267</v>
      </c>
      <c r="AA428" s="371">
        <f t="shared" si="179"/>
        <v>26.561645184372793</v>
      </c>
      <c r="AB428" s="372">
        <f t="shared" si="180"/>
        <v>-144.97028841393069</v>
      </c>
      <c r="AD428">
        <f t="shared" si="184"/>
        <v>0</v>
      </c>
      <c r="AE428">
        <f t="shared" si="187"/>
        <v>0</v>
      </c>
    </row>
    <row r="429" spans="1:31" x14ac:dyDescent="0.2">
      <c r="A429" s="373">
        <v>42658</v>
      </c>
      <c r="B429" s="390">
        <f t="shared" si="181"/>
        <v>42.658000000000001</v>
      </c>
      <c r="C429" s="363">
        <f t="shared" si="162"/>
        <v>60.064867030807285</v>
      </c>
      <c r="D429" s="364">
        <f t="shared" si="163"/>
        <v>1.5541468900849966</v>
      </c>
      <c r="E429" s="364">
        <f t="shared" si="164"/>
        <v>1.132094474471355</v>
      </c>
      <c r="F429" s="365">
        <f t="shared" si="165"/>
        <v>0.48790153713130935</v>
      </c>
      <c r="G429" s="364">
        <f t="shared" si="166"/>
        <v>1.3879075187915428</v>
      </c>
      <c r="H429" s="365">
        <f t="shared" si="167"/>
        <v>-0.76626012464286908</v>
      </c>
      <c r="I429" s="363">
        <f t="shared" si="168"/>
        <v>176951.98159549452</v>
      </c>
      <c r="J429" s="366">
        <f t="shared" si="169"/>
        <v>1.5707906755442522</v>
      </c>
      <c r="K429" s="374">
        <f t="shared" si="185"/>
        <v>53.432722966073499</v>
      </c>
      <c r="L429" s="375">
        <f t="shared" si="186"/>
        <v>1.5520801107822604</v>
      </c>
      <c r="M429" s="363">
        <f t="shared" si="170"/>
        <v>2.2213850716243457</v>
      </c>
      <c r="N429" s="366">
        <f t="shared" si="171"/>
        <v>1.1038410778087318</v>
      </c>
      <c r="O429" s="367">
        <f t="shared" si="172"/>
        <v>1.1569850547805169</v>
      </c>
      <c r="P429" s="368">
        <f t="shared" si="173"/>
        <v>0.70183887012841106</v>
      </c>
      <c r="Q429" s="369">
        <f t="shared" si="174"/>
        <v>-23.263620645124028</v>
      </c>
      <c r="R429" s="370">
        <f t="shared" si="175"/>
        <v>-209.52470660167361</v>
      </c>
      <c r="S429" s="372">
        <f t="shared" si="176"/>
        <v>-29.524706601673614</v>
      </c>
      <c r="U429" s="345">
        <f t="shared" si="182"/>
        <v>42658</v>
      </c>
      <c r="V429" s="345">
        <f t="shared" si="183"/>
        <v>1819704964</v>
      </c>
      <c r="X429" s="371">
        <f t="shared" si="177"/>
        <v>10.763234877956711</v>
      </c>
      <c r="Y429" s="372">
        <f t="shared" si="178"/>
        <v>-64.317471478274015</v>
      </c>
      <c r="AA429" s="371">
        <f t="shared" si="179"/>
        <v>26.533718948924133</v>
      </c>
      <c r="AB429" s="372">
        <f t="shared" si="180"/>
        <v>-145.20723512339961</v>
      </c>
      <c r="AD429">
        <f t="shared" si="184"/>
        <v>0</v>
      </c>
      <c r="AE429">
        <f t="shared" si="187"/>
        <v>0</v>
      </c>
    </row>
    <row r="430" spans="1:31" x14ac:dyDescent="0.2">
      <c r="A430" s="373">
        <v>42906.5</v>
      </c>
      <c r="B430" s="390">
        <f t="shared" si="181"/>
        <v>42.906500000000001</v>
      </c>
      <c r="C430" s="363">
        <f t="shared" si="162"/>
        <v>60.414672325021634</v>
      </c>
      <c r="D430" s="364">
        <f t="shared" si="163"/>
        <v>1.5542433003513554</v>
      </c>
      <c r="E430" s="364">
        <f t="shared" si="164"/>
        <v>1.1335469838427445</v>
      </c>
      <c r="F430" s="365">
        <f t="shared" si="165"/>
        <v>0.49031060854840447</v>
      </c>
      <c r="G430" s="364">
        <f t="shared" si="166"/>
        <v>1.3918012452152984</v>
      </c>
      <c r="H430" s="365">
        <f t="shared" si="167"/>
        <v>-0.76916255370500264</v>
      </c>
      <c r="I430" s="363">
        <f t="shared" si="168"/>
        <v>177982.79802910794</v>
      </c>
      <c r="J430" s="366">
        <f t="shared" si="169"/>
        <v>1.570790708274393</v>
      </c>
      <c r="K430" s="374">
        <f t="shared" si="185"/>
        <v>53.743881351649485</v>
      </c>
      <c r="L430" s="375">
        <f t="shared" si="186"/>
        <v>1.552188483709928</v>
      </c>
      <c r="M430" s="363">
        <f t="shared" si="170"/>
        <v>2.2317091761424197</v>
      </c>
      <c r="N430" s="366">
        <f t="shared" si="171"/>
        <v>1.1061719178650067</v>
      </c>
      <c r="O430" s="367">
        <f t="shared" si="172"/>
        <v>1.1587628628782256</v>
      </c>
      <c r="P430" s="368">
        <f t="shared" si="173"/>
        <v>0.70546479445889554</v>
      </c>
      <c r="Q430" s="369">
        <f t="shared" si="174"/>
        <v>-23.332216740430894</v>
      </c>
      <c r="R430" s="370">
        <f t="shared" si="175"/>
        <v>-209.89358783715568</v>
      </c>
      <c r="S430" s="372">
        <f t="shared" si="176"/>
        <v>-29.893587837155678</v>
      </c>
      <c r="U430" s="345">
        <f t="shared" si="182"/>
        <v>42906.5</v>
      </c>
      <c r="V430" s="345">
        <f t="shared" si="183"/>
        <v>1840967742.25</v>
      </c>
      <c r="X430" s="371">
        <f t="shared" si="177"/>
        <v>10.722942305602663</v>
      </c>
      <c r="Y430" s="372">
        <f t="shared" si="178"/>
        <v>-64.44481134029418</v>
      </c>
      <c r="AA430" s="371">
        <f t="shared" si="179"/>
        <v>26.505415425971307</v>
      </c>
      <c r="AB430" s="372">
        <f t="shared" si="180"/>
        <v>-145.44877649686148</v>
      </c>
      <c r="AD430">
        <f t="shared" si="184"/>
        <v>0</v>
      </c>
      <c r="AE430">
        <f t="shared" si="187"/>
        <v>0</v>
      </c>
    </row>
    <row r="431" spans="1:31" x14ac:dyDescent="0.2">
      <c r="A431" s="373">
        <v>43155</v>
      </c>
      <c r="B431" s="390">
        <f t="shared" si="181"/>
        <v>43.155000000000001</v>
      </c>
      <c r="C431" s="363">
        <f t="shared" si="162"/>
        <v>60.764478174321297</v>
      </c>
      <c r="D431" s="364">
        <f t="shared" si="163"/>
        <v>1.5543386005991817</v>
      </c>
      <c r="E431" s="364">
        <f t="shared" si="164"/>
        <v>1.1350060550356478</v>
      </c>
      <c r="F431" s="365">
        <f t="shared" si="165"/>
        <v>0.4927135000698048</v>
      </c>
      <c r="G431" s="364">
        <f t="shared" si="166"/>
        <v>1.3957066308281103</v>
      </c>
      <c r="H431" s="365">
        <f t="shared" si="167"/>
        <v>-0.77204876414929369</v>
      </c>
      <c r="I431" s="363">
        <f t="shared" si="168"/>
        <v>179013.61446272151</v>
      </c>
      <c r="J431" s="366">
        <f t="shared" si="169"/>
        <v>1.5707907406275929</v>
      </c>
      <c r="K431" s="374">
        <f t="shared" si="185"/>
        <v>54.055040361163925</v>
      </c>
      <c r="L431" s="375">
        <f t="shared" si="186"/>
        <v>1.5522956089767326</v>
      </c>
      <c r="M431" s="363">
        <f t="shared" si="170"/>
        <v>2.2420452934254307</v>
      </c>
      <c r="N431" s="366">
        <f t="shared" si="171"/>
        <v>1.1084812794263146</v>
      </c>
      <c r="O431" s="367">
        <f t="shared" si="172"/>
        <v>1.1605498597801607</v>
      </c>
      <c r="P431" s="368">
        <f t="shared" si="173"/>
        <v>0.70908399724058435</v>
      </c>
      <c r="Q431" s="369">
        <f t="shared" si="174"/>
        <v>-23.400389860943474</v>
      </c>
      <c r="R431" s="370">
        <f t="shared" si="175"/>
        <v>-210.26028601746231</v>
      </c>
      <c r="S431" s="372">
        <f t="shared" si="176"/>
        <v>-30.260286017462306</v>
      </c>
      <c r="U431" s="345">
        <f t="shared" si="182"/>
        <v>43155</v>
      </c>
      <c r="V431" s="345">
        <f t="shared" si="183"/>
        <v>1862354025</v>
      </c>
      <c r="X431" s="371">
        <f t="shared" si="177"/>
        <v>10.682789383921172</v>
      </c>
      <c r="Y431" s="372">
        <f t="shared" si="178"/>
        <v>-64.57099203930575</v>
      </c>
      <c r="AA431" s="371">
        <f t="shared" si="179"/>
        <v>26.477395227140224</v>
      </c>
      <c r="AB431" s="372">
        <f t="shared" si="180"/>
        <v>-145.68929397815654</v>
      </c>
      <c r="AD431">
        <f t="shared" si="184"/>
        <v>0</v>
      </c>
      <c r="AE431">
        <f t="shared" si="187"/>
        <v>0</v>
      </c>
    </row>
    <row r="432" spans="1:31" x14ac:dyDescent="0.2">
      <c r="A432" s="373">
        <v>43403.5</v>
      </c>
      <c r="B432" s="390">
        <f t="shared" si="181"/>
        <v>43.403500000000001</v>
      </c>
      <c r="C432" s="363">
        <f t="shared" si="162"/>
        <v>61.114284569174686</v>
      </c>
      <c r="D432" s="364">
        <f t="shared" si="163"/>
        <v>1.5544328098873261</v>
      </c>
      <c r="E432" s="364">
        <f t="shared" si="164"/>
        <v>1.1364716627766731</v>
      </c>
      <c r="F432" s="365">
        <f t="shared" si="165"/>
        <v>0.49511020780333159</v>
      </c>
      <c r="G432" s="364">
        <f t="shared" si="166"/>
        <v>1.3996235780316777</v>
      </c>
      <c r="H432" s="365">
        <f t="shared" si="167"/>
        <v>-0.77491884385586818</v>
      </c>
      <c r="I432" s="363">
        <f t="shared" si="168"/>
        <v>180044.43089633525</v>
      </c>
      <c r="J432" s="366">
        <f t="shared" si="169"/>
        <v>1.5707907726103265</v>
      </c>
      <c r="K432" s="374">
        <f t="shared" si="185"/>
        <v>54.366199983903691</v>
      </c>
      <c r="L432" s="375">
        <f t="shared" si="186"/>
        <v>1.5524015080027886</v>
      </c>
      <c r="M432" s="363">
        <f t="shared" si="170"/>
        <v>2.2523932580954962</v>
      </c>
      <c r="N432" s="366">
        <f t="shared" si="171"/>
        <v>1.1107694337195879</v>
      </c>
      <c r="O432" s="367">
        <f t="shared" si="172"/>
        <v>1.1623460310286891</v>
      </c>
      <c r="P432" s="368">
        <f t="shared" si="173"/>
        <v>0.71269647100538913</v>
      </c>
      <c r="Q432" s="369">
        <f t="shared" si="174"/>
        <v>-23.468144605287744</v>
      </c>
      <c r="R432" s="370">
        <f t="shared" si="175"/>
        <v>-210.62482137810832</v>
      </c>
      <c r="S432" s="372">
        <f t="shared" si="176"/>
        <v>-30.624821378108322</v>
      </c>
      <c r="U432" s="345">
        <f t="shared" si="182"/>
        <v>43403.5</v>
      </c>
      <c r="V432" s="345">
        <f t="shared" si="183"/>
        <v>1883863812.25</v>
      </c>
      <c r="X432" s="371">
        <f t="shared" si="177"/>
        <v>10.6427756764288</v>
      </c>
      <c r="Y432" s="372">
        <f t="shared" si="178"/>
        <v>-64.696027888556003</v>
      </c>
      <c r="AA432" s="371">
        <f t="shared" si="179"/>
        <v>26.449654190288324</v>
      </c>
      <c r="AB432" s="372">
        <f t="shared" si="180"/>
        <v>-145.92879348955225</v>
      </c>
      <c r="AD432">
        <f t="shared" si="184"/>
        <v>0</v>
      </c>
      <c r="AE432">
        <f t="shared" si="187"/>
        <v>0</v>
      </c>
    </row>
    <row r="433" spans="1:31" x14ac:dyDescent="0.2">
      <c r="A433" s="373">
        <v>43652</v>
      </c>
      <c r="B433" s="390">
        <f t="shared" si="181"/>
        <v>43.652000000000001</v>
      </c>
      <c r="C433" s="363">
        <f t="shared" si="162"/>
        <v>61.464091500267187</v>
      </c>
      <c r="D433" s="364">
        <f t="shared" si="163"/>
        <v>1.5545259468408441</v>
      </c>
      <c r="E433" s="364">
        <f t="shared" si="164"/>
        <v>1.1379437818096987</v>
      </c>
      <c r="F433" s="365">
        <f t="shared" si="165"/>
        <v>0.49750072816097918</v>
      </c>
      <c r="G433" s="364">
        <f t="shared" si="166"/>
        <v>1.403551990029859</v>
      </c>
      <c r="H433" s="365">
        <f t="shared" si="167"/>
        <v>-0.77777288078832052</v>
      </c>
      <c r="I433" s="363">
        <f t="shared" si="168"/>
        <v>181075.24732994923</v>
      </c>
      <c r="J433" s="366">
        <f t="shared" si="169"/>
        <v>1.5707908042289207</v>
      </c>
      <c r="K433" s="374">
        <f t="shared" si="185"/>
        <v>54.677360209399495</v>
      </c>
      <c r="L433" s="375">
        <f t="shared" si="186"/>
        <v>1.5525062017207278</v>
      </c>
      <c r="M433" s="363">
        <f t="shared" si="170"/>
        <v>2.2627529076121045</v>
      </c>
      <c r="N433" s="366">
        <f t="shared" si="171"/>
        <v>1.1130366479015013</v>
      </c>
      <c r="O433" s="367">
        <f t="shared" si="172"/>
        <v>1.1641513621992783</v>
      </c>
      <c r="P433" s="368">
        <f t="shared" si="173"/>
        <v>0.7163022085935723</v>
      </c>
      <c r="Q433" s="369">
        <f t="shared" si="174"/>
        <v>-23.535485511140063</v>
      </c>
      <c r="R433" s="370">
        <f t="shared" si="175"/>
        <v>-210.98721392948931</v>
      </c>
      <c r="S433" s="372">
        <f t="shared" si="176"/>
        <v>-30.987213929489315</v>
      </c>
      <c r="U433" s="345">
        <f t="shared" si="182"/>
        <v>43652</v>
      </c>
      <c r="V433" s="345">
        <f t="shared" si="183"/>
        <v>1905497104</v>
      </c>
      <c r="X433" s="371">
        <f t="shared" si="177"/>
        <v>10.602900736728021</v>
      </c>
      <c r="Y433" s="372">
        <f t="shared" si="178"/>
        <v>-64.819932996006003</v>
      </c>
      <c r="AA433" s="371">
        <f t="shared" si="179"/>
        <v>26.422188224136786</v>
      </c>
      <c r="AB433" s="372">
        <f t="shared" si="180"/>
        <v>-146.16728093348331</v>
      </c>
      <c r="AD433">
        <f t="shared" si="184"/>
        <v>0</v>
      </c>
      <c r="AE433">
        <f t="shared" si="187"/>
        <v>0</v>
      </c>
    </row>
    <row r="434" spans="1:31" x14ac:dyDescent="0.2">
      <c r="A434" s="373">
        <v>43906</v>
      </c>
      <c r="B434" s="390">
        <f t="shared" si="181"/>
        <v>43.905999999999999</v>
      </c>
      <c r="C434" s="363">
        <f t="shared" si="162"/>
        <v>61.821641181774709</v>
      </c>
      <c r="D434" s="364">
        <f t="shared" si="163"/>
        <v>1.5546200559264554</v>
      </c>
      <c r="E434" s="364">
        <f t="shared" si="164"/>
        <v>1.1394551857367183</v>
      </c>
      <c r="F434" s="365">
        <f t="shared" si="165"/>
        <v>0.4999377596927535</v>
      </c>
      <c r="G434" s="364">
        <f t="shared" si="166"/>
        <v>1.4075790970620137</v>
      </c>
      <c r="H434" s="365">
        <f t="shared" si="167"/>
        <v>-0.78067359787342627</v>
      </c>
      <c r="I434" s="363">
        <f t="shared" si="168"/>
        <v>182128.87861420671</v>
      </c>
      <c r="J434" s="366">
        <f t="shared" si="169"/>
        <v>1.5707908361774414</v>
      </c>
      <c r="K434" s="374">
        <f t="shared" si="185"/>
        <v>54.995407893195875</v>
      </c>
      <c r="L434" s="375">
        <f t="shared" si="186"/>
        <v>1.5526119882813452</v>
      </c>
      <c r="M434" s="363">
        <f t="shared" si="170"/>
        <v>2.2733537544775881</v>
      </c>
      <c r="N434" s="366">
        <f t="shared" si="171"/>
        <v>1.1153326753738964</v>
      </c>
      <c r="O434" s="367">
        <f t="shared" si="172"/>
        <v>1.1660061016840837</v>
      </c>
      <c r="P434" s="368">
        <f t="shared" si="173"/>
        <v>0.71998078264314491</v>
      </c>
      <c r="Q434" s="369">
        <f t="shared" si="174"/>
        <v>-23.603893841838666</v>
      </c>
      <c r="R434" s="370">
        <f t="shared" si="175"/>
        <v>-211.35543336710055</v>
      </c>
      <c r="S434" s="372">
        <f t="shared" si="176"/>
        <v>-31.355433367100545</v>
      </c>
      <c r="U434" s="345">
        <f t="shared" si="182"/>
        <v>43906</v>
      </c>
      <c r="V434" s="345">
        <f t="shared" si="183"/>
        <v>1927736836</v>
      </c>
      <c r="X434" s="371">
        <f t="shared" si="177"/>
        <v>10.562286187261948</v>
      </c>
      <c r="Y434" s="372">
        <f t="shared" si="178"/>
        <v>-64.945426387026529</v>
      </c>
      <c r="AA434" s="371">
        <f t="shared" si="179"/>
        <v>26.394394442904257</v>
      </c>
      <c r="AB434" s="372">
        <f t="shared" si="180"/>
        <v>-146.41000698007397</v>
      </c>
      <c r="AD434">
        <f t="shared" si="184"/>
        <v>0</v>
      </c>
      <c r="AE434">
        <f t="shared" si="187"/>
        <v>0</v>
      </c>
    </row>
    <row r="435" spans="1:31" x14ac:dyDescent="0.2">
      <c r="A435" s="373">
        <v>44160</v>
      </c>
      <c r="B435" s="390">
        <f t="shared" si="181"/>
        <v>44.16</v>
      </c>
      <c r="C435" s="363">
        <f t="shared" si="162"/>
        <v>62.179191404509957</v>
      </c>
      <c r="D435" s="364">
        <f t="shared" si="163"/>
        <v>1.5547130826982445</v>
      </c>
      <c r="E435" s="364">
        <f t="shared" si="164"/>
        <v>1.1409733390755337</v>
      </c>
      <c r="F435" s="365">
        <f t="shared" si="165"/>
        <v>0.50236832030983625</v>
      </c>
      <c r="G435" s="364">
        <f t="shared" si="166"/>
        <v>1.411617980055869</v>
      </c>
      <c r="H435" s="365">
        <f t="shared" si="167"/>
        <v>-0.78355774020497349</v>
      </c>
      <c r="I435" s="363">
        <f t="shared" si="168"/>
        <v>183182.5098984644</v>
      </c>
      <c r="J435" s="366">
        <f t="shared" si="169"/>
        <v>1.5707908677584386</v>
      </c>
      <c r="K435" s="374">
        <f t="shared" si="185"/>
        <v>55.31345618535719</v>
      </c>
      <c r="L435" s="375">
        <f t="shared" si="186"/>
        <v>1.5527165583132838</v>
      </c>
      <c r="M435" s="363">
        <f t="shared" si="170"/>
        <v>2.2839664745907235</v>
      </c>
      <c r="N435" s="366">
        <f t="shared" si="171"/>
        <v>1.1176073772193551</v>
      </c>
      <c r="O435" s="367">
        <f t="shared" si="172"/>
        <v>1.1678703806832209</v>
      </c>
      <c r="P435" s="368">
        <f t="shared" si="173"/>
        <v>0.72365230488386878</v>
      </c>
      <c r="Q435" s="369">
        <f t="shared" si="174"/>
        <v>-23.671879208188038</v>
      </c>
      <c r="R435" s="370">
        <f t="shared" si="175"/>
        <v>-211.72145565896864</v>
      </c>
      <c r="S435" s="372">
        <f t="shared" si="176"/>
        <v>-31.721455658968637</v>
      </c>
      <c r="U435" s="345">
        <f t="shared" si="182"/>
        <v>44160</v>
      </c>
      <c r="V435" s="345">
        <f t="shared" si="183"/>
        <v>1950105600</v>
      </c>
      <c r="X435" s="371">
        <f t="shared" si="177"/>
        <v>10.52181564355012</v>
      </c>
      <c r="Y435" s="372">
        <f t="shared" si="178"/>
        <v>-65.069767590528258</v>
      </c>
      <c r="AA435" s="371">
        <f t="shared" si="179"/>
        <v>26.366879620266715</v>
      </c>
      <c r="AB435" s="372">
        <f t="shared" si="180"/>
        <v>-146.65168806844039</v>
      </c>
      <c r="AD435">
        <f t="shared" si="184"/>
        <v>0</v>
      </c>
      <c r="AE435">
        <f t="shared" si="187"/>
        <v>0</v>
      </c>
    </row>
    <row r="436" spans="1:31" x14ac:dyDescent="0.2">
      <c r="A436" s="373">
        <v>44414</v>
      </c>
      <c r="B436" s="390">
        <f t="shared" si="181"/>
        <v>44.414000000000001</v>
      </c>
      <c r="C436" s="363">
        <f t="shared" si="162"/>
        <v>62.536742159189615</v>
      </c>
      <c r="D436" s="364">
        <f t="shared" si="163"/>
        <v>1.5548050457188161</v>
      </c>
      <c r="E436" s="364">
        <f t="shared" si="164"/>
        <v>1.1424982149202592</v>
      </c>
      <c r="F436" s="365">
        <f t="shared" si="165"/>
        <v>0.50479240714752893</v>
      </c>
      <c r="G436" s="364">
        <f t="shared" si="166"/>
        <v>1.4156685382214556</v>
      </c>
      <c r="H436" s="365">
        <f t="shared" si="167"/>
        <v>-0.78642540186806287</v>
      </c>
      <c r="I436" s="363">
        <f t="shared" si="168"/>
        <v>184236.14118272226</v>
      </c>
      <c r="J436" s="366">
        <f t="shared" si="169"/>
        <v>1.5707908989782176</v>
      </c>
      <c r="K436" s="374">
        <f t="shared" si="185"/>
        <v>55.631505075449262</v>
      </c>
      <c r="L436" s="375">
        <f t="shared" si="186"/>
        <v>1.5528199326791552</v>
      </c>
      <c r="M436" s="363">
        <f t="shared" si="170"/>
        <v>2.2945909032065228</v>
      </c>
      <c r="N436" s="366">
        <f t="shared" si="171"/>
        <v>1.1198610259596589</v>
      </c>
      <c r="O436" s="367">
        <f t="shared" si="172"/>
        <v>1.1697441839059435</v>
      </c>
      <c r="P436" s="368">
        <f t="shared" si="173"/>
        <v>0.72731676865164629</v>
      </c>
      <c r="Q436" s="369">
        <f t="shared" si="174"/>
        <v>-23.739446264544121</v>
      </c>
      <c r="R436" s="370">
        <f t="shared" si="175"/>
        <v>-212.08530146101188</v>
      </c>
      <c r="S436" s="372">
        <f t="shared" si="176"/>
        <v>-32.085301461011881</v>
      </c>
      <c r="U436" s="345">
        <f t="shared" si="182"/>
        <v>44414</v>
      </c>
      <c r="V436" s="345">
        <f t="shared" si="183"/>
        <v>1972603396</v>
      </c>
      <c r="X436" s="371">
        <f t="shared" si="177"/>
        <v>10.481488599947635</v>
      </c>
      <c r="Y436" s="372">
        <f t="shared" si="178"/>
        <v>-65.192971025880709</v>
      </c>
      <c r="AA436" s="371">
        <f t="shared" si="179"/>
        <v>26.33963960751311</v>
      </c>
      <c r="AB436" s="372">
        <f t="shared" si="180"/>
        <v>-146.89233043513113</v>
      </c>
      <c r="AD436">
        <f t="shared" si="184"/>
        <v>0</v>
      </c>
      <c r="AE436">
        <f t="shared" si="187"/>
        <v>0</v>
      </c>
    </row>
    <row r="437" spans="1:31" x14ac:dyDescent="0.2">
      <c r="A437" s="373">
        <v>44668</v>
      </c>
      <c r="B437" s="390">
        <f t="shared" si="181"/>
        <v>44.667999999999999</v>
      </c>
      <c r="C437" s="363">
        <f t="shared" si="162"/>
        <v>62.894293436741449</v>
      </c>
      <c r="D437" s="364">
        <f t="shared" si="163"/>
        <v>1.5548959631287369</v>
      </c>
      <c r="E437" s="364">
        <f t="shared" si="164"/>
        <v>1.1440297863896365</v>
      </c>
      <c r="F437" s="365">
        <f t="shared" si="165"/>
        <v>0.50721001766070062</v>
      </c>
      <c r="G437" s="364">
        <f t="shared" si="166"/>
        <v>1.4197306716293399</v>
      </c>
      <c r="H437" s="365">
        <f t="shared" si="167"/>
        <v>-0.78927667695988146</v>
      </c>
      <c r="I437" s="363">
        <f t="shared" si="168"/>
        <v>185289.7724669803</v>
      </c>
      <c r="J437" s="366">
        <f t="shared" si="169"/>
        <v>1.5707909298429403</v>
      </c>
      <c r="K437" s="374">
        <f t="shared" si="185"/>
        <v>55.949554553275171</v>
      </c>
      <c r="L437" s="375">
        <f t="shared" si="186"/>
        <v>1.5529221317672932</v>
      </c>
      <c r="M437" s="363">
        <f t="shared" si="170"/>
        <v>2.3052268784370429</v>
      </c>
      <c r="N437" s="366">
        <f t="shared" si="171"/>
        <v>1.1220938899508375</v>
      </c>
      <c r="O437" s="367">
        <f t="shared" si="172"/>
        <v>1.1716274961014235</v>
      </c>
      <c r="P437" s="368">
        <f t="shared" si="173"/>
        <v>0.73097416760734291</v>
      </c>
      <c r="Q437" s="369">
        <f t="shared" si="174"/>
        <v>-23.806599602778583</v>
      </c>
      <c r="R437" s="370">
        <f t="shared" si="175"/>
        <v>-212.44699119445485</v>
      </c>
      <c r="S437" s="372">
        <f t="shared" si="176"/>
        <v>-32.446991194454853</v>
      </c>
      <c r="U437" s="345">
        <f t="shared" si="182"/>
        <v>44668</v>
      </c>
      <c r="V437" s="345">
        <f t="shared" si="183"/>
        <v>1995230224</v>
      </c>
      <c r="X437" s="371">
        <f t="shared" si="177"/>
        <v>10.441304542063399</v>
      </c>
      <c r="Y437" s="372">
        <f t="shared" si="178"/>
        <v>-65.31505090093944</v>
      </c>
      <c r="AA437" s="371">
        <f t="shared" si="179"/>
        <v>26.312670327162891</v>
      </c>
      <c r="AB437" s="372">
        <f t="shared" si="180"/>
        <v>-147.13194029351541</v>
      </c>
      <c r="AD437">
        <f t="shared" si="184"/>
        <v>0</v>
      </c>
      <c r="AE437">
        <f t="shared" si="187"/>
        <v>0</v>
      </c>
    </row>
    <row r="438" spans="1:31" x14ac:dyDescent="0.2">
      <c r="A438" s="373">
        <v>44928.25</v>
      </c>
      <c r="B438" s="390">
        <f t="shared" si="181"/>
        <v>44.928249999999998</v>
      </c>
      <c r="C438" s="363">
        <f t="shared" si="162"/>
        <v>63.260643261070761</v>
      </c>
      <c r="D438" s="364">
        <f t="shared" si="163"/>
        <v>1.5549880516980481</v>
      </c>
      <c r="E438" s="364">
        <f t="shared" si="164"/>
        <v>1.1456059608654685</v>
      </c>
      <c r="F438" s="365">
        <f t="shared" si="165"/>
        <v>0.50968039697023426</v>
      </c>
      <c r="G438" s="364">
        <f t="shared" si="166"/>
        <v>1.4239046614925843</v>
      </c>
      <c r="H438" s="365">
        <f t="shared" si="167"/>
        <v>-0.79218121342067083</v>
      </c>
      <c r="I438" s="363">
        <f t="shared" si="168"/>
        <v>186369.32971787875</v>
      </c>
      <c r="J438" s="366">
        <f t="shared" si="169"/>
        <v>1.5707909611051583</v>
      </c>
      <c r="K438" s="374">
        <f t="shared" si="185"/>
        <v>56.275430650900958</v>
      </c>
      <c r="L438" s="375">
        <f t="shared" si="186"/>
        <v>1.5530256474200226</v>
      </c>
      <c r="M438" s="363">
        <f t="shared" si="170"/>
        <v>2.3161363756019457</v>
      </c>
      <c r="N438" s="366">
        <f t="shared" si="171"/>
        <v>1.1243604145801451</v>
      </c>
      <c r="O438" s="367">
        <f t="shared" si="172"/>
        <v>1.1735669965575779</v>
      </c>
      <c r="P438" s="368">
        <f t="shared" si="173"/>
        <v>0.73471422761674454</v>
      </c>
      <c r="Q438" s="369">
        <f t="shared" si="174"/>
        <v>-23.874980959764592</v>
      </c>
      <c r="R438" s="370">
        <f t="shared" si="175"/>
        <v>-212.81536558391545</v>
      </c>
      <c r="S438" s="372">
        <f t="shared" si="176"/>
        <v>-32.815365583915451</v>
      </c>
      <c r="U438" s="345">
        <f t="shared" si="182"/>
        <v>44928.25</v>
      </c>
      <c r="V438" s="345">
        <f t="shared" si="183"/>
        <v>2018547648.0625</v>
      </c>
      <c r="X438" s="371">
        <f t="shared" si="177"/>
        <v>10.400279463151136</v>
      </c>
      <c r="Y438" s="372">
        <f t="shared" si="178"/>
        <v>-65.438983977681033</v>
      </c>
      <c r="AA438" s="371">
        <f t="shared" si="179"/>
        <v>26.285314049089145</v>
      </c>
      <c r="AB438" s="372">
        <f t="shared" si="180"/>
        <v>-147.37638160623442</v>
      </c>
      <c r="AD438">
        <f t="shared" si="184"/>
        <v>0</v>
      </c>
      <c r="AE438">
        <f t="shared" si="187"/>
        <v>0</v>
      </c>
    </row>
    <row r="439" spans="1:31" x14ac:dyDescent="0.2">
      <c r="A439" s="373">
        <v>45188.5</v>
      </c>
      <c r="B439" s="390">
        <f t="shared" si="181"/>
        <v>45.188499999999998</v>
      </c>
      <c r="C439" s="363">
        <f t="shared" si="162"/>
        <v>63.626993615691852</v>
      </c>
      <c r="D439" s="364">
        <f t="shared" si="163"/>
        <v>1.5550790798163214</v>
      </c>
      <c r="E439" s="364">
        <f t="shared" si="164"/>
        <v>1.1471891074791221</v>
      </c>
      <c r="F439" s="365">
        <f t="shared" si="165"/>
        <v>0.51214397292257774</v>
      </c>
      <c r="G439" s="364">
        <f t="shared" si="166"/>
        <v>1.4280905936095476</v>
      </c>
      <c r="H439" s="365">
        <f t="shared" si="167"/>
        <v>-0.79506874692240836</v>
      </c>
      <c r="I439" s="363">
        <f t="shared" si="168"/>
        <v>187448.88696877734</v>
      </c>
      <c r="J439" s="366">
        <f t="shared" si="169"/>
        <v>1.5707909920072851</v>
      </c>
      <c r="K439" s="374">
        <f t="shared" si="185"/>
        <v>56.601307344601935</v>
      </c>
      <c r="L439" s="375">
        <f t="shared" si="186"/>
        <v>1.5531279711106045</v>
      </c>
      <c r="M439" s="363">
        <f t="shared" si="170"/>
        <v>2.327057659473017</v>
      </c>
      <c r="N439" s="366">
        <f t="shared" si="171"/>
        <v>1.1266056762698631</v>
      </c>
      <c r="O439" s="367">
        <f t="shared" si="172"/>
        <v>1.1755164474224324</v>
      </c>
      <c r="P439" s="368">
        <f t="shared" si="173"/>
        <v>0.73844685841830948</v>
      </c>
      <c r="Q439" s="369">
        <f t="shared" si="174"/>
        <v>-23.942937550932406</v>
      </c>
      <c r="R439" s="370">
        <f t="shared" si="175"/>
        <v>-213.18151915468124</v>
      </c>
      <c r="S439" s="372">
        <f t="shared" si="176"/>
        <v>-33.18151915468124</v>
      </c>
      <c r="U439" s="345">
        <f t="shared" si="182"/>
        <v>45188.5</v>
      </c>
      <c r="V439" s="345">
        <f t="shared" si="183"/>
        <v>2042000532.25</v>
      </c>
      <c r="X439" s="371">
        <f t="shared" si="177"/>
        <v>10.359403373806524</v>
      </c>
      <c r="Y439" s="372">
        <f t="shared" si="178"/>
        <v>-65.561767051491486</v>
      </c>
      <c r="AA439" s="371">
        <f t="shared" si="179"/>
        <v>26.258233547265938</v>
      </c>
      <c r="AB439" s="372">
        <f t="shared" si="180"/>
        <v>-147.6197521031898</v>
      </c>
      <c r="AD439">
        <f t="shared" si="184"/>
        <v>0</v>
      </c>
      <c r="AE439">
        <f t="shared" si="187"/>
        <v>0</v>
      </c>
    </row>
    <row r="440" spans="1:31" x14ac:dyDescent="0.2">
      <c r="A440" s="373">
        <v>45448.75</v>
      </c>
      <c r="B440" s="390">
        <f t="shared" si="181"/>
        <v>45.448749999999997</v>
      </c>
      <c r="C440" s="363">
        <f t="shared" si="162"/>
        <v>63.993344491497247</v>
      </c>
      <c r="D440" s="364">
        <f t="shared" si="163"/>
        <v>1.5551690656947343</v>
      </c>
      <c r="E440" s="364">
        <f t="shared" si="164"/>
        <v>1.1487791974054335</v>
      </c>
      <c r="F440" s="365">
        <f t="shared" si="165"/>
        <v>0.51460074380306875</v>
      </c>
      <c r="G440" s="364">
        <f t="shared" si="166"/>
        <v>1.4322883632747889</v>
      </c>
      <c r="H440" s="365">
        <f t="shared" si="167"/>
        <v>-0.79793937859971065</v>
      </c>
      <c r="I440" s="363">
        <f t="shared" si="168"/>
        <v>188528.44421967614</v>
      </c>
      <c r="J440" s="366">
        <f t="shared" si="169"/>
        <v>1.5707910225555064</v>
      </c>
      <c r="K440" s="374">
        <f t="shared" si="185"/>
        <v>56.92718462414151</v>
      </c>
      <c r="L440" s="375">
        <f t="shared" si="186"/>
        <v>1.5532291233068896</v>
      </c>
      <c r="M440" s="363">
        <f t="shared" si="170"/>
        <v>2.3379905648751342</v>
      </c>
      <c r="N440" s="366">
        <f t="shared" si="171"/>
        <v>1.1288299505116526</v>
      </c>
      <c r="O440" s="367">
        <f t="shared" si="172"/>
        <v>1.1774758324278189</v>
      </c>
      <c r="P440" s="368">
        <f t="shared" si="173"/>
        <v>0.74217205423534083</v>
      </c>
      <c r="Q440" s="369">
        <f t="shared" si="174"/>
        <v>-24.010474117745233</v>
      </c>
      <c r="R440" s="370">
        <f t="shared" si="175"/>
        <v>-213.54547312416764</v>
      </c>
      <c r="S440" s="372">
        <f t="shared" si="176"/>
        <v>-33.545473124167643</v>
      </c>
      <c r="U440" s="345">
        <f t="shared" si="182"/>
        <v>45448.75</v>
      </c>
      <c r="V440" s="345">
        <f t="shared" si="183"/>
        <v>2065588876.5625</v>
      </c>
      <c r="X440" s="371">
        <f t="shared" si="177"/>
        <v>10.318675695235228</v>
      </c>
      <c r="Y440" s="372">
        <f t="shared" si="178"/>
        <v>-65.683414734513221</v>
      </c>
      <c r="AA440" s="371">
        <f t="shared" si="179"/>
        <v>26.231424659024412</v>
      </c>
      <c r="AB440" s="372">
        <f t="shared" si="180"/>
        <v>-147.86205838965438</v>
      </c>
      <c r="AD440">
        <f t="shared" si="184"/>
        <v>0</v>
      </c>
      <c r="AE440">
        <f t="shared" si="187"/>
        <v>0</v>
      </c>
    </row>
    <row r="441" spans="1:31" x14ac:dyDescent="0.2">
      <c r="A441" s="373">
        <v>45709</v>
      </c>
      <c r="B441" s="390">
        <f t="shared" si="181"/>
        <v>45.709000000000003</v>
      </c>
      <c r="C441" s="363">
        <f t="shared" si="162"/>
        <v>64.359695879586837</v>
      </c>
      <c r="D441" s="364">
        <f t="shared" si="163"/>
        <v>1.5552580271298817</v>
      </c>
      <c r="E441" s="364">
        <f t="shared" si="164"/>
        <v>1.1503762018525399</v>
      </c>
      <c r="F441" s="365">
        <f t="shared" si="165"/>
        <v>0.51705070823509092</v>
      </c>
      <c r="G441" s="364">
        <f t="shared" si="166"/>
        <v>1.4364978667123809</v>
      </c>
      <c r="H441" s="365">
        <f t="shared" si="167"/>
        <v>-0.80079320952097965</v>
      </c>
      <c r="I441" s="363">
        <f t="shared" si="168"/>
        <v>189608.00147057514</v>
      </c>
      <c r="J441" s="366">
        <f t="shared" si="169"/>
        <v>1.5707910527558675</v>
      </c>
      <c r="K441" s="374">
        <f t="shared" si="185"/>
        <v>57.25306247951611</v>
      </c>
      <c r="L441" s="375">
        <f t="shared" si="186"/>
        <v>1.5533291240108229</v>
      </c>
      <c r="M441" s="363">
        <f t="shared" si="170"/>
        <v>2.3489349295342046</v>
      </c>
      <c r="N441" s="366">
        <f t="shared" si="171"/>
        <v>1.131033508501665</v>
      </c>
      <c r="O441" s="367">
        <f t="shared" si="172"/>
        <v>1.1794451353535538</v>
      </c>
      <c r="P441" s="368">
        <f t="shared" si="173"/>
        <v>0.74588980963604712</v>
      </c>
      <c r="Q441" s="369">
        <f t="shared" si="174"/>
        <v>-24.077595337011783</v>
      </c>
      <c r="R441" s="370">
        <f t="shared" si="175"/>
        <v>-213.90724846320694</v>
      </c>
      <c r="S441" s="372">
        <f t="shared" si="176"/>
        <v>-33.90724846320694</v>
      </c>
      <c r="U441" s="345">
        <f t="shared" si="182"/>
        <v>45709</v>
      </c>
      <c r="V441" s="345">
        <f t="shared" si="183"/>
        <v>2089312681</v>
      </c>
      <c r="X441" s="371">
        <f t="shared" si="177"/>
        <v>10.278095841023852</v>
      </c>
      <c r="Y441" s="372">
        <f t="shared" si="178"/>
        <v>-65.8039414194605</v>
      </c>
      <c r="AA441" s="371">
        <f t="shared" si="179"/>
        <v>26.204883293969239</v>
      </c>
      <c r="AB441" s="372">
        <f t="shared" si="180"/>
        <v>-148.10330704374644</v>
      </c>
      <c r="AD441">
        <f t="shared" si="184"/>
        <v>0</v>
      </c>
      <c r="AE441">
        <f t="shared" si="187"/>
        <v>0</v>
      </c>
    </row>
    <row r="442" spans="1:31" x14ac:dyDescent="0.2">
      <c r="A442" s="373">
        <v>45975.25</v>
      </c>
      <c r="B442" s="390">
        <f t="shared" si="181"/>
        <v>45.975250000000003</v>
      </c>
      <c r="C442" s="363">
        <f t="shared" si="162"/>
        <v>64.734493930255013</v>
      </c>
      <c r="D442" s="364">
        <f t="shared" si="163"/>
        <v>1.5553479975420097</v>
      </c>
      <c r="E442" s="364">
        <f t="shared" si="164"/>
        <v>1.1520171503355918</v>
      </c>
      <c r="F442" s="365">
        <f t="shared" si="165"/>
        <v>0.51955011127332029</v>
      </c>
      <c r="G442" s="364">
        <f t="shared" si="166"/>
        <v>1.4408164546421405</v>
      </c>
      <c r="H442" s="365">
        <f t="shared" si="167"/>
        <v>-0.80369555389316305</v>
      </c>
      <c r="I442" s="363">
        <f t="shared" si="168"/>
        <v>190712.44764944885</v>
      </c>
      <c r="J442" s="366">
        <f t="shared" si="169"/>
        <v>1.570791083298668</v>
      </c>
      <c r="K442" s="374">
        <f t="shared" si="185"/>
        <v>57.586453954727816</v>
      </c>
      <c r="L442" s="375">
        <f t="shared" si="186"/>
        <v>1.5534302589703346</v>
      </c>
      <c r="M442" s="363">
        <f t="shared" si="170"/>
        <v>2.3601433061881822</v>
      </c>
      <c r="N442" s="366">
        <f t="shared" si="171"/>
        <v>1.1332667091861603</v>
      </c>
      <c r="O442" s="367">
        <f t="shared" si="172"/>
        <v>1.1814700867517538</v>
      </c>
      <c r="P442" s="368">
        <f t="shared" si="173"/>
        <v>0.74968557197158403</v>
      </c>
      <c r="Q442" s="369">
        <f t="shared" si="174"/>
        <v>-24.145839008250782</v>
      </c>
      <c r="R442" s="370">
        <f t="shared" si="175"/>
        <v>-214.27513150587089</v>
      </c>
      <c r="S442" s="372">
        <f t="shared" si="176"/>
        <v>-34.275131505870888</v>
      </c>
      <c r="U442" s="345">
        <f t="shared" si="182"/>
        <v>45975.25</v>
      </c>
      <c r="V442" s="345">
        <f t="shared" si="183"/>
        <v>2113723612.5625</v>
      </c>
      <c r="X442" s="371">
        <f t="shared" si="177"/>
        <v>10.236732784927948</v>
      </c>
      <c r="Y442" s="372">
        <f t="shared" si="178"/>
        <v>-65.92610153725974</v>
      </c>
      <c r="AA442" s="371">
        <f t="shared" si="179"/>
        <v>26.178002678826143</v>
      </c>
      <c r="AB442" s="372">
        <f t="shared" si="180"/>
        <v>-148.34902996861112</v>
      </c>
      <c r="AD442">
        <f t="shared" si="184"/>
        <v>0</v>
      </c>
      <c r="AE442">
        <f t="shared" si="187"/>
        <v>0</v>
      </c>
    </row>
    <row r="443" spans="1:31" x14ac:dyDescent="0.2">
      <c r="A443" s="373">
        <v>46241.5</v>
      </c>
      <c r="B443" s="390">
        <f t="shared" si="181"/>
        <v>46.241500000000002</v>
      </c>
      <c r="C443" s="363">
        <f t="shared" si="162"/>
        <v>65.109292498895101</v>
      </c>
      <c r="D443" s="364">
        <f t="shared" si="163"/>
        <v>1.5554369321339903</v>
      </c>
      <c r="E443" s="364">
        <f t="shared" si="164"/>
        <v>1.1536652749887386</v>
      </c>
      <c r="F443" s="365">
        <f t="shared" si="165"/>
        <v>0.52204238855626084</v>
      </c>
      <c r="G443" s="364">
        <f t="shared" si="166"/>
        <v>1.4451471068399564</v>
      </c>
      <c r="H443" s="365">
        <f t="shared" si="167"/>
        <v>-0.80658052761626597</v>
      </c>
      <c r="I443" s="363">
        <f t="shared" si="168"/>
        <v>191816.89382832279</v>
      </c>
      <c r="J443" s="366">
        <f t="shared" si="169"/>
        <v>1.570791113489749</v>
      </c>
      <c r="K443" s="374">
        <f t="shared" si="185"/>
        <v>57.919846012169103</v>
      </c>
      <c r="L443" s="375">
        <f t="shared" si="186"/>
        <v>1.5535302296462639</v>
      </c>
      <c r="M443" s="363">
        <f t="shared" si="170"/>
        <v>2.3713633420125602</v>
      </c>
      <c r="N443" s="366">
        <f t="shared" si="171"/>
        <v>1.1354787881693547</v>
      </c>
      <c r="O443" s="367">
        <f t="shared" si="172"/>
        <v>1.1835053844654331</v>
      </c>
      <c r="P443" s="368">
        <f t="shared" si="173"/>
        <v>0.75347353645154136</v>
      </c>
      <c r="Q443" s="369">
        <f t="shared" si="174"/>
        <v>-24.213657659589877</v>
      </c>
      <c r="R443" s="370">
        <f t="shared" si="175"/>
        <v>-214.64077793106239</v>
      </c>
      <c r="S443" s="372">
        <f t="shared" si="176"/>
        <v>-34.640777931062388</v>
      </c>
      <c r="U443" s="345">
        <f t="shared" si="182"/>
        <v>46241.5</v>
      </c>
      <c r="V443" s="345">
        <f t="shared" si="183"/>
        <v>2138276322.25</v>
      </c>
      <c r="X443" s="371">
        <f t="shared" si="177"/>
        <v>10.195523183759462</v>
      </c>
      <c r="Y443" s="372">
        <f t="shared" si="178"/>
        <v>-66.047118159100336</v>
      </c>
      <c r="AA443" s="371">
        <f t="shared" si="179"/>
        <v>26.151393628655534</v>
      </c>
      <c r="AB443" s="372">
        <f t="shared" si="180"/>
        <v>-148.59365977196202</v>
      </c>
      <c r="AD443">
        <f t="shared" si="184"/>
        <v>0</v>
      </c>
      <c r="AE443">
        <f t="shared" si="187"/>
        <v>0</v>
      </c>
    </row>
    <row r="444" spans="1:31" x14ac:dyDescent="0.2">
      <c r="A444" s="373">
        <v>46507.75</v>
      </c>
      <c r="B444" s="390">
        <f t="shared" si="181"/>
        <v>46.507750000000001</v>
      </c>
      <c r="C444" s="363">
        <f t="shared" si="162"/>
        <v>65.484091576613196</v>
      </c>
      <c r="D444" s="364">
        <f t="shared" si="163"/>
        <v>1.5555248486899962</v>
      </c>
      <c r="E444" s="364">
        <f t="shared" si="164"/>
        <v>1.155320545100444</v>
      </c>
      <c r="F444" s="365">
        <f t="shared" si="165"/>
        <v>0.52452753968470067</v>
      </c>
      <c r="G444" s="364">
        <f t="shared" si="166"/>
        <v>1.4494897151722987</v>
      </c>
      <c r="H444" s="365">
        <f t="shared" si="167"/>
        <v>-0.80944823857630122</v>
      </c>
      <c r="I444" s="363">
        <f t="shared" si="168"/>
        <v>192921.34000719688</v>
      </c>
      <c r="J444" s="366">
        <f t="shared" si="169"/>
        <v>1.5707911433351509</v>
      </c>
      <c r="K444" s="374">
        <f t="shared" si="185"/>
        <v>58.253238641843417</v>
      </c>
      <c r="L444" s="375">
        <f t="shared" si="186"/>
        <v>1.5536290560267405</v>
      </c>
      <c r="M444" s="363">
        <f t="shared" si="170"/>
        <v>2.3825948722924224</v>
      </c>
      <c r="N444" s="366">
        <f t="shared" si="171"/>
        <v>1.1376700223509577</v>
      </c>
      <c r="O444" s="367">
        <f t="shared" si="172"/>
        <v>1.1855510112886576</v>
      </c>
      <c r="P444" s="368">
        <f t="shared" si="173"/>
        <v>0.75725369835831202</v>
      </c>
      <c r="Q444" s="369">
        <f t="shared" si="174"/>
        <v>-24.281056095305075</v>
      </c>
      <c r="R444" s="370">
        <f t="shared" si="175"/>
        <v>-215.00420941202219</v>
      </c>
      <c r="S444" s="372">
        <f t="shared" si="176"/>
        <v>-35.004209412022192</v>
      </c>
      <c r="U444" s="345">
        <f t="shared" si="182"/>
        <v>46507.75</v>
      </c>
      <c r="V444" s="345">
        <f t="shared" si="183"/>
        <v>2162970810.0625</v>
      </c>
      <c r="X444" s="371">
        <f t="shared" si="177"/>
        <v>10.154466387819971</v>
      </c>
      <c r="Y444" s="372">
        <f t="shared" si="178"/>
        <v>-66.167006005277685</v>
      </c>
      <c r="AA444" s="371">
        <f t="shared" si="179"/>
        <v>26.125051988879825</v>
      </c>
      <c r="AB444" s="372">
        <f t="shared" si="180"/>
        <v>-148.83720340674452</v>
      </c>
      <c r="AD444">
        <f t="shared" si="184"/>
        <v>0</v>
      </c>
      <c r="AE444">
        <f t="shared" si="187"/>
        <v>0</v>
      </c>
    </row>
    <row r="445" spans="1:31" x14ac:dyDescent="0.2">
      <c r="A445" s="373">
        <v>46774</v>
      </c>
      <c r="B445" s="390">
        <f t="shared" si="181"/>
        <v>46.774000000000001</v>
      </c>
      <c r="C445" s="363">
        <f t="shared" si="162"/>
        <v>65.858891154717952</v>
      </c>
      <c r="D445" s="364">
        <f t="shared" si="163"/>
        <v>1.5556117645894283</v>
      </c>
      <c r="E445" s="364">
        <f t="shared" si="164"/>
        <v>1.1569829300021566</v>
      </c>
      <c r="F445" s="365">
        <f t="shared" si="165"/>
        <v>0.527005564613793</v>
      </c>
      <c r="G445" s="364">
        <f t="shared" si="166"/>
        <v>1.4538441725008462</v>
      </c>
      <c r="H445" s="365">
        <f t="shared" si="167"/>
        <v>-0.81229879450779607</v>
      </c>
      <c r="I445" s="363">
        <f t="shared" si="168"/>
        <v>194025.78618607117</v>
      </c>
      <c r="J445" s="366">
        <f t="shared" si="169"/>
        <v>1.5707911728407771</v>
      </c>
      <c r="K445" s="374">
        <f t="shared" si="185"/>
        <v>58.58663183398172</v>
      </c>
      <c r="L445" s="375">
        <f t="shared" si="186"/>
        <v>1.5537267576450065</v>
      </c>
      <c r="M445" s="363">
        <f t="shared" si="170"/>
        <v>2.3938377352369526</v>
      </c>
      <c r="N445" s="366">
        <f t="shared" si="171"/>
        <v>1.1398406842374413</v>
      </c>
      <c r="O445" s="367">
        <f t="shared" si="172"/>
        <v>1.1876069500722148</v>
      </c>
      <c r="P445" s="368">
        <f t="shared" si="173"/>
        <v>0.76102605333715923</v>
      </c>
      <c r="Q445" s="369">
        <f t="shared" si="174"/>
        <v>-24.348039053213096</v>
      </c>
      <c r="R445" s="370">
        <f t="shared" si="175"/>
        <v>-215.36544736494861</v>
      </c>
      <c r="S445" s="372">
        <f t="shared" si="176"/>
        <v>-35.365447364948608</v>
      </c>
      <c r="U445" s="345">
        <f t="shared" si="182"/>
        <v>46774</v>
      </c>
      <c r="V445" s="345">
        <f t="shared" si="183"/>
        <v>2187807076</v>
      </c>
      <c r="X445" s="371">
        <f t="shared" si="177"/>
        <v>10.113561741010075</v>
      </c>
      <c r="Y445" s="372">
        <f t="shared" si="178"/>
        <v>-66.285779570428431</v>
      </c>
      <c r="AA445" s="371">
        <f t="shared" si="179"/>
        <v>26.0989736777817</v>
      </c>
      <c r="AB445" s="372">
        <f t="shared" si="180"/>
        <v>-149.07966779452016</v>
      </c>
      <c r="AD445">
        <f t="shared" si="184"/>
        <v>0</v>
      </c>
      <c r="AE445">
        <f t="shared" si="187"/>
        <v>0</v>
      </c>
    </row>
    <row r="446" spans="1:31" x14ac:dyDescent="0.2">
      <c r="A446" s="373">
        <v>47046.25</v>
      </c>
      <c r="B446" s="390">
        <f t="shared" si="181"/>
        <v>47.046250000000001</v>
      </c>
      <c r="C446" s="363">
        <f t="shared" si="162"/>
        <v>66.242137429077644</v>
      </c>
      <c r="D446" s="364">
        <f t="shared" si="163"/>
        <v>1.5556996221156016</v>
      </c>
      <c r="E446" s="364">
        <f t="shared" si="164"/>
        <v>1.1586901022908134</v>
      </c>
      <c r="F446" s="365">
        <f t="shared" si="165"/>
        <v>0.52953206378405537</v>
      </c>
      <c r="G446" s="364">
        <f t="shared" si="166"/>
        <v>1.4583089003965539</v>
      </c>
      <c r="H446" s="365">
        <f t="shared" si="167"/>
        <v>-0.81519596110900205</v>
      </c>
      <c r="I446" s="363">
        <f t="shared" si="168"/>
        <v>195155.12129292026</v>
      </c>
      <c r="J446" s="366">
        <f t="shared" si="169"/>
        <v>1.5707912026659812</v>
      </c>
      <c r="K446" s="374">
        <f t="shared" si="185"/>
        <v>58.927538683813708</v>
      </c>
      <c r="L446" s="375">
        <f t="shared" si="186"/>
        <v>1.5538255178091045</v>
      </c>
      <c r="M446" s="363">
        <f t="shared" si="170"/>
        <v>2.4053455115336027</v>
      </c>
      <c r="N446" s="366">
        <f t="shared" si="171"/>
        <v>1.1420392689087937</v>
      </c>
      <c r="O446" s="367">
        <f t="shared" si="172"/>
        <v>1.189719865216655</v>
      </c>
      <c r="P446" s="368">
        <f t="shared" si="173"/>
        <v>0.76487534216534958</v>
      </c>
      <c r="Q446" s="369">
        <f t="shared" si="174"/>
        <v>-24.416106726054917</v>
      </c>
      <c r="R446" s="370">
        <f t="shared" si="175"/>
        <v>-215.73257970503661</v>
      </c>
      <c r="S446" s="372">
        <f t="shared" si="176"/>
        <v>-35.732579705036613</v>
      </c>
      <c r="U446" s="345">
        <f t="shared" si="182"/>
        <v>47046.25</v>
      </c>
      <c r="V446" s="345">
        <f t="shared" si="183"/>
        <v>2213349639.0625</v>
      </c>
      <c r="X446" s="371">
        <f t="shared" si="177"/>
        <v>10.071891940397128</v>
      </c>
      <c r="Y446" s="372">
        <f t="shared" si="178"/>
        <v>-66.406092361408056</v>
      </c>
      <c r="AA446" s="371">
        <f t="shared" si="179"/>
        <v>26.072575805552827</v>
      </c>
      <c r="AB446" s="372">
        <f t="shared" si="180"/>
        <v>-149.32648734362857</v>
      </c>
      <c r="AD446">
        <f t="shared" si="184"/>
        <v>0</v>
      </c>
      <c r="AE446">
        <f t="shared" si="187"/>
        <v>0</v>
      </c>
    </row>
    <row r="447" spans="1:31" x14ac:dyDescent="0.2">
      <c r="A447" s="373">
        <v>47318.5</v>
      </c>
      <c r="B447" s="390">
        <f t="shared" si="181"/>
        <v>47.3185</v>
      </c>
      <c r="C447" s="363">
        <f t="shared" si="162"/>
        <v>66.625384208874266</v>
      </c>
      <c r="D447" s="364">
        <f t="shared" si="163"/>
        <v>1.5557864688831198</v>
      </c>
      <c r="E447" s="364">
        <f t="shared" si="164"/>
        <v>1.1604046489381519</v>
      </c>
      <c r="F447" s="365">
        <f t="shared" si="165"/>
        <v>0.53205111297695551</v>
      </c>
      <c r="G447" s="364">
        <f t="shared" si="166"/>
        <v>1.4627857939360065</v>
      </c>
      <c r="H447" s="365">
        <f t="shared" si="167"/>
        <v>-0.81807541805038875</v>
      </c>
      <c r="I447" s="363">
        <f t="shared" si="168"/>
        <v>196284.45639976949</v>
      </c>
      <c r="J447" s="366">
        <f t="shared" si="169"/>
        <v>1.5707912321479829</v>
      </c>
      <c r="K447" s="374">
        <f t="shared" si="185"/>
        <v>59.268446101787696</v>
      </c>
      <c r="L447" s="375">
        <f t="shared" si="186"/>
        <v>1.5539231418528279</v>
      </c>
      <c r="M447" s="363">
        <f t="shared" si="170"/>
        <v>2.4168648039738421</v>
      </c>
      <c r="N447" s="366">
        <f t="shared" si="171"/>
        <v>1.1442169061772631</v>
      </c>
      <c r="O447" s="367">
        <f t="shared" si="172"/>
        <v>1.1918435262426297</v>
      </c>
      <c r="P447" s="368">
        <f t="shared" si="173"/>
        <v>0.76871646017523854</v>
      </c>
      <c r="Q447" s="369">
        <f t="shared" si="174"/>
        <v>-24.483749795322176</v>
      </c>
      <c r="R447" s="370">
        <f t="shared" si="175"/>
        <v>-216.09746302047077</v>
      </c>
      <c r="S447" s="372">
        <f t="shared" si="176"/>
        <v>-36.097463020470769</v>
      </c>
      <c r="U447" s="345">
        <f t="shared" si="182"/>
        <v>47318.5</v>
      </c>
      <c r="V447" s="345">
        <f t="shared" si="183"/>
        <v>2239040442.25</v>
      </c>
      <c r="X447" s="371">
        <f t="shared" si="177"/>
        <v>10.030379817554277</v>
      </c>
      <c r="Y447" s="372">
        <f t="shared" si="178"/>
        <v>-66.525270029847832</v>
      </c>
      <c r="AA447" s="371">
        <f t="shared" si="179"/>
        <v>26.046444859128425</v>
      </c>
      <c r="AB447" s="372">
        <f t="shared" si="180"/>
        <v>-149.57219299062291</v>
      </c>
      <c r="AD447">
        <f t="shared" si="184"/>
        <v>0</v>
      </c>
      <c r="AE447">
        <f t="shared" si="187"/>
        <v>0</v>
      </c>
    </row>
    <row r="448" spans="1:31" x14ac:dyDescent="0.2">
      <c r="A448" s="373">
        <v>47590.75</v>
      </c>
      <c r="B448" s="390">
        <f t="shared" si="181"/>
        <v>47.59075</v>
      </c>
      <c r="C448" s="363">
        <f t="shared" si="162"/>
        <v>67.008631485435458</v>
      </c>
      <c r="D448" s="364">
        <f t="shared" si="163"/>
        <v>1.555872322233375</v>
      </c>
      <c r="E448" s="364">
        <f t="shared" si="164"/>
        <v>1.1621265373048297</v>
      </c>
      <c r="F448" s="365">
        <f t="shared" si="165"/>
        <v>0.53456271326752014</v>
      </c>
      <c r="G448" s="364">
        <f t="shared" si="166"/>
        <v>1.4672747417611438</v>
      </c>
      <c r="H448" s="365">
        <f t="shared" si="167"/>
        <v>-0.82093727990605847</v>
      </c>
      <c r="I448" s="363">
        <f t="shared" si="168"/>
        <v>197413.79150661893</v>
      </c>
      <c r="J448" s="366">
        <f t="shared" si="169"/>
        <v>1.5707912612926722</v>
      </c>
      <c r="K448" s="374">
        <f t="shared" si="185"/>
        <v>59.609354078156045</v>
      </c>
      <c r="L448" s="375">
        <f t="shared" si="186"/>
        <v>1.5540196492668361</v>
      </c>
      <c r="M448" s="363">
        <f t="shared" si="170"/>
        <v>2.4283954486743697</v>
      </c>
      <c r="N448" s="366">
        <f t="shared" si="171"/>
        <v>1.1463738736325038</v>
      </c>
      <c r="O448" s="367">
        <f t="shared" si="172"/>
        <v>1.1939779150056546</v>
      </c>
      <c r="P448" s="368">
        <f t="shared" si="173"/>
        <v>0.77254940386315396</v>
      </c>
      <c r="Q448" s="369">
        <f t="shared" si="174"/>
        <v>-24.550973117642826</v>
      </c>
      <c r="R448" s="370">
        <f t="shared" si="175"/>
        <v>-216.46011939543251</v>
      </c>
      <c r="S448" s="372">
        <f t="shared" si="176"/>
        <v>-36.460119395432514</v>
      </c>
      <c r="U448" s="345">
        <f t="shared" si="182"/>
        <v>47590.75</v>
      </c>
      <c r="V448" s="345">
        <f t="shared" si="183"/>
        <v>2264879485.5625</v>
      </c>
      <c r="X448" s="371">
        <f t="shared" si="177"/>
        <v>9.9890246530992783</v>
      </c>
      <c r="Y448" s="372">
        <f t="shared" si="178"/>
        <v>-66.643327364068398</v>
      </c>
      <c r="AA448" s="371">
        <f t="shared" si="179"/>
        <v>26.020576701262762</v>
      </c>
      <c r="AB448" s="372">
        <f t="shared" si="180"/>
        <v>-149.81679203136412</v>
      </c>
      <c r="AD448">
        <f t="shared" si="184"/>
        <v>0</v>
      </c>
      <c r="AE448">
        <f t="shared" si="187"/>
        <v>0</v>
      </c>
    </row>
    <row r="449" spans="1:31" x14ac:dyDescent="0.2">
      <c r="A449" s="373">
        <v>47863</v>
      </c>
      <c r="B449" s="390">
        <f t="shared" si="181"/>
        <v>47.863</v>
      </c>
      <c r="C449" s="363">
        <f t="shared" si="162"/>
        <v>67.391879250286195</v>
      </c>
      <c r="D449" s="364">
        <f t="shared" si="163"/>
        <v>1.555957199113347</v>
      </c>
      <c r="E449" s="364">
        <f t="shared" si="164"/>
        <v>1.1638557348053111</v>
      </c>
      <c r="F449" s="365">
        <f t="shared" si="165"/>
        <v>0.53706686610033516</v>
      </c>
      <c r="G449" s="364">
        <f t="shared" si="166"/>
        <v>1.4717756335744658</v>
      </c>
      <c r="H449" s="365">
        <f t="shared" si="167"/>
        <v>-0.82378166100708083</v>
      </c>
      <c r="I449" s="363">
        <f t="shared" si="168"/>
        <v>198543.12661346848</v>
      </c>
      <c r="J449" s="366">
        <f t="shared" si="169"/>
        <v>1.5707912901058052</v>
      </c>
      <c r="K449" s="374">
        <f t="shared" si="185"/>
        <v>59.95026260339278</v>
      </c>
      <c r="L449" s="375">
        <f t="shared" si="186"/>
        <v>1.554115059098536</v>
      </c>
      <c r="M449" s="363">
        <f t="shared" si="170"/>
        <v>2.4399372846898078</v>
      </c>
      <c r="N449" s="366">
        <f t="shared" si="171"/>
        <v>1.148510444388855</v>
      </c>
      <c r="O449" s="367">
        <f t="shared" si="172"/>
        <v>1.1961230134275416</v>
      </c>
      <c r="P449" s="368">
        <f t="shared" si="173"/>
        <v>0.77637417010534637</v>
      </c>
      <c r="Q449" s="369">
        <f t="shared" si="174"/>
        <v>-24.617781481509795</v>
      </c>
      <c r="R449" s="370">
        <f t="shared" si="175"/>
        <v>-216.82057064714652</v>
      </c>
      <c r="S449" s="372">
        <f t="shared" si="176"/>
        <v>-36.820570647146525</v>
      </c>
      <c r="U449" s="345">
        <f t="shared" si="182"/>
        <v>47863</v>
      </c>
      <c r="V449" s="345">
        <f t="shared" si="183"/>
        <v>2290866769</v>
      </c>
      <c r="X449" s="371">
        <f t="shared" si="177"/>
        <v>9.9478257225091866</v>
      </c>
      <c r="Y449" s="372">
        <f t="shared" si="178"/>
        <v>-66.760278921362499</v>
      </c>
      <c r="AA449" s="371">
        <f t="shared" si="179"/>
        <v>25.994967267985885</v>
      </c>
      <c r="AB449" s="372">
        <f t="shared" si="180"/>
        <v>-150.06029172578405</v>
      </c>
      <c r="AD449">
        <f t="shared" si="184"/>
        <v>0</v>
      </c>
      <c r="AE449">
        <f t="shared" si="187"/>
        <v>0</v>
      </c>
    </row>
    <row r="450" spans="1:31" x14ac:dyDescent="0.2">
      <c r="A450" s="373">
        <v>48141.75</v>
      </c>
      <c r="B450" s="390">
        <f t="shared" si="181"/>
        <v>48.141750000000002</v>
      </c>
      <c r="C450" s="363">
        <f t="shared" si="162"/>
        <v>67.784277596779617</v>
      </c>
      <c r="D450" s="364">
        <f t="shared" si="163"/>
        <v>1.556043108015845</v>
      </c>
      <c r="E450" s="364">
        <f t="shared" si="164"/>
        <v>1.1656337560989802</v>
      </c>
      <c r="F450" s="365">
        <f t="shared" si="165"/>
        <v>0.53962309146789345</v>
      </c>
      <c r="G450" s="364">
        <f t="shared" si="166"/>
        <v>1.4763962457531279</v>
      </c>
      <c r="H450" s="365">
        <f t="shared" si="167"/>
        <v>-0.82667595939062877</v>
      </c>
      <c r="I450" s="363">
        <f t="shared" si="168"/>
        <v>199699.42472562409</v>
      </c>
      <c r="J450" s="366">
        <f t="shared" si="169"/>
        <v>1.5707913192692045</v>
      </c>
      <c r="K450" s="374">
        <f t="shared" si="185"/>
        <v>60.299310917759684</v>
      </c>
      <c r="L450" s="375">
        <f t="shared" si="186"/>
        <v>1.5542116290880186</v>
      </c>
      <c r="M450" s="363">
        <f t="shared" si="170"/>
        <v>2.4517661135995485</v>
      </c>
      <c r="N450" s="366">
        <f t="shared" si="171"/>
        <v>1.1506771736520824</v>
      </c>
      <c r="O450" s="367">
        <f t="shared" si="172"/>
        <v>1.1983304037641</v>
      </c>
      <c r="P450" s="368">
        <f t="shared" si="173"/>
        <v>0.78028177758042327</v>
      </c>
      <c r="Q450" s="369">
        <f t="shared" si="174"/>
        <v>-24.685759895639702</v>
      </c>
      <c r="R450" s="370">
        <f t="shared" si="175"/>
        <v>-217.1873654986457</v>
      </c>
      <c r="S450" s="372">
        <f t="shared" si="176"/>
        <v>-37.187365498645704</v>
      </c>
      <c r="U450" s="345">
        <f t="shared" si="182"/>
        <v>48141.75</v>
      </c>
      <c r="V450" s="345">
        <f t="shared" si="183"/>
        <v>2317628093.0625</v>
      </c>
      <c r="X450" s="371">
        <f t="shared" si="177"/>
        <v>9.9058042746635238</v>
      </c>
      <c r="Y450" s="372">
        <f t="shared" si="178"/>
        <v>-66.878891981743152</v>
      </c>
      <c r="AA450" s="371">
        <f t="shared" si="179"/>
        <v>25.969010301701644</v>
      </c>
      <c r="AB450" s="372">
        <f t="shared" si="180"/>
        <v>-150.3084735169025</v>
      </c>
      <c r="AD450">
        <f t="shared" si="184"/>
        <v>0</v>
      </c>
      <c r="AE450">
        <f t="shared" si="187"/>
        <v>0</v>
      </c>
    </row>
    <row r="451" spans="1:31" x14ac:dyDescent="0.2">
      <c r="A451" s="373">
        <v>48420.5</v>
      </c>
      <c r="B451" s="390">
        <f t="shared" si="181"/>
        <v>48.420499999999997</v>
      </c>
      <c r="C451" s="363">
        <f t="shared" si="162"/>
        <v>68.176676437785318</v>
      </c>
      <c r="D451" s="364">
        <f t="shared" si="163"/>
        <v>1.5561280280014766</v>
      </c>
      <c r="E451" s="364">
        <f t="shared" si="164"/>
        <v>1.1674193707498182</v>
      </c>
      <c r="F451" s="365">
        <f t="shared" si="165"/>
        <v>0.5421715137472205</v>
      </c>
      <c r="G451" s="364">
        <f t="shared" si="166"/>
        <v>1.4810291484172589</v>
      </c>
      <c r="H451" s="365">
        <f t="shared" si="167"/>
        <v>-0.82955217406045234</v>
      </c>
      <c r="I451" s="363">
        <f t="shared" si="168"/>
        <v>200855.7228377799</v>
      </c>
      <c r="J451" s="366">
        <f t="shared" si="169"/>
        <v>1.5707913480968247</v>
      </c>
      <c r="K451" s="374">
        <f t="shared" si="185"/>
        <v>60.648359787990827</v>
      </c>
      <c r="L451" s="375">
        <f t="shared" si="186"/>
        <v>1.5543070875018838</v>
      </c>
      <c r="M451" s="363">
        <f t="shared" si="170"/>
        <v>2.4636063422906207</v>
      </c>
      <c r="N451" s="366">
        <f t="shared" si="171"/>
        <v>1.1528230860672775</v>
      </c>
      <c r="O451" s="367">
        <f t="shared" si="172"/>
        <v>1.2005489831143326</v>
      </c>
      <c r="P451" s="368">
        <f t="shared" si="173"/>
        <v>0.78418080704801507</v>
      </c>
      <c r="Q451" s="369">
        <f t="shared" si="174"/>
        <v>-24.753313245842605</v>
      </c>
      <c r="R451" s="370">
        <f t="shared" si="175"/>
        <v>-217.55189412112026</v>
      </c>
      <c r="S451" s="372">
        <f t="shared" si="176"/>
        <v>-37.551894121120256</v>
      </c>
      <c r="U451" s="345">
        <f t="shared" si="182"/>
        <v>48420.5</v>
      </c>
      <c r="V451" s="345">
        <f t="shared" si="183"/>
        <v>2344544820.25</v>
      </c>
      <c r="X451" s="371">
        <f t="shared" si="177"/>
        <v>9.8639450580417503</v>
      </c>
      <c r="Y451" s="372">
        <f t="shared" si="178"/>
        <v>-66.996375993940305</v>
      </c>
      <c r="AA451" s="371">
        <f t="shared" si="179"/>
        <v>25.943316168120518</v>
      </c>
      <c r="AB451" s="372">
        <f t="shared" si="180"/>
        <v>-150.55551812717991</v>
      </c>
      <c r="AD451">
        <f t="shared" si="184"/>
        <v>0</v>
      </c>
      <c r="AE451">
        <f t="shared" si="187"/>
        <v>0</v>
      </c>
    </row>
    <row r="452" spans="1:31" x14ac:dyDescent="0.2">
      <c r="A452" s="373">
        <v>48699.25</v>
      </c>
      <c r="B452" s="390">
        <f t="shared" si="181"/>
        <v>48.699249999999999</v>
      </c>
      <c r="C452" s="363">
        <f t="shared" si="162"/>
        <v>68.569075764813448</v>
      </c>
      <c r="D452" s="364">
        <f t="shared" si="163"/>
        <v>1.5562119760467901</v>
      </c>
      <c r="E452" s="364">
        <f t="shared" si="164"/>
        <v>1.1692125439682322</v>
      </c>
      <c r="F452" s="365">
        <f t="shared" si="165"/>
        <v>0.54471213566344068</v>
      </c>
      <c r="G452" s="364">
        <f t="shared" si="166"/>
        <v>1.4856742265875051</v>
      </c>
      <c r="H452" s="365">
        <f t="shared" si="167"/>
        <v>-0.83241042682651312</v>
      </c>
      <c r="I452" s="363">
        <f t="shared" si="168"/>
        <v>202012.02094993586</v>
      </c>
      <c r="J452" s="366">
        <f t="shared" si="169"/>
        <v>1.5707913765944319</v>
      </c>
      <c r="K452" s="374">
        <f t="shared" si="185"/>
        <v>60.997409204543679</v>
      </c>
      <c r="L452" s="375">
        <f t="shared" si="186"/>
        <v>1.5544014534208996</v>
      </c>
      <c r="M452" s="363">
        <f t="shared" si="170"/>
        <v>2.4754578071859927</v>
      </c>
      <c r="N452" s="366">
        <f t="shared" si="171"/>
        <v>1.1549484607152041</v>
      </c>
      <c r="O452" s="367">
        <f t="shared" si="172"/>
        <v>1.2027787322967116</v>
      </c>
      <c r="P452" s="368">
        <f t="shared" si="173"/>
        <v>0.78807125636531139</v>
      </c>
      <c r="Q452" s="369">
        <f t="shared" si="174"/>
        <v>-24.820446456904619</v>
      </c>
      <c r="R452" s="370">
        <f t="shared" si="175"/>
        <v>-217.91417908477212</v>
      </c>
      <c r="S452" s="372">
        <f t="shared" si="176"/>
        <v>-37.914179084772115</v>
      </c>
      <c r="U452" s="345">
        <f t="shared" si="182"/>
        <v>48699.25</v>
      </c>
      <c r="V452" s="345">
        <f t="shared" si="183"/>
        <v>2371616950.5625</v>
      </c>
      <c r="X452" s="371">
        <f t="shared" si="177"/>
        <v>9.8222472809403012</v>
      </c>
      <c r="Y452" s="372">
        <f t="shared" si="178"/>
        <v>-67.112745855186688</v>
      </c>
      <c r="AA452" s="371">
        <f t="shared" si="179"/>
        <v>25.917880734159947</v>
      </c>
      <c r="AB452" s="372">
        <f t="shared" si="180"/>
        <v>-150.8014332295854</v>
      </c>
      <c r="AD452">
        <f t="shared" si="184"/>
        <v>0</v>
      </c>
      <c r="AE452">
        <f t="shared" si="187"/>
        <v>0</v>
      </c>
    </row>
    <row r="453" spans="1:31" x14ac:dyDescent="0.2">
      <c r="A453" s="373">
        <v>48978</v>
      </c>
      <c r="B453" s="390">
        <f t="shared" si="181"/>
        <v>48.978000000000002</v>
      </c>
      <c r="C453" s="363">
        <f t="shared" si="162"/>
        <v>68.96147556956744</v>
      </c>
      <c r="D453" s="364">
        <f t="shared" si="163"/>
        <v>1.5562949687419942</v>
      </c>
      <c r="E453" s="364">
        <f t="shared" si="164"/>
        <v>1.1710132410309062</v>
      </c>
      <c r="F453" s="365">
        <f t="shared" si="165"/>
        <v>0.54724496032781489</v>
      </c>
      <c r="G453" s="364">
        <f t="shared" si="166"/>
        <v>1.4903313664176914</v>
      </c>
      <c r="H453" s="365">
        <f t="shared" si="167"/>
        <v>-0.8352508391561061</v>
      </c>
      <c r="I453" s="363">
        <f t="shared" si="168"/>
        <v>203168.31906209199</v>
      </c>
      <c r="J453" s="366">
        <f t="shared" si="169"/>
        <v>1.5707914047676601</v>
      </c>
      <c r="K453" s="374">
        <f t="shared" si="185"/>
        <v>61.346459158092841</v>
      </c>
      <c r="L453" s="375">
        <f t="shared" si="186"/>
        <v>1.5544947454916491</v>
      </c>
      <c r="M453" s="363">
        <f t="shared" si="170"/>
        <v>2.4873203476724859</v>
      </c>
      <c r="N453" s="366">
        <f t="shared" si="171"/>
        <v>1.1570535721024313</v>
      </c>
      <c r="O453" s="367">
        <f t="shared" si="172"/>
        <v>1.2050196322069791</v>
      </c>
      <c r="P453" s="368">
        <f t="shared" si="173"/>
        <v>0.79195312378817484</v>
      </c>
      <c r="Q453" s="369">
        <f t="shared" si="174"/>
        <v>-24.887164383442904</v>
      </c>
      <c r="R453" s="370">
        <f t="shared" si="175"/>
        <v>-218.27424268154004</v>
      </c>
      <c r="S453" s="372">
        <f t="shared" si="176"/>
        <v>-38.274242681540045</v>
      </c>
      <c r="U453" s="345">
        <f t="shared" si="182"/>
        <v>48978</v>
      </c>
      <c r="V453" s="345">
        <f t="shared" si="183"/>
        <v>2398844484</v>
      </c>
      <c r="X453" s="371">
        <f t="shared" si="177"/>
        <v>9.7807101477780005</v>
      </c>
      <c r="Y453" s="372">
        <f t="shared" si="178"/>
        <v>-67.228016225502572</v>
      </c>
      <c r="AA453" s="371">
        <f t="shared" si="179"/>
        <v>25.892699940783967</v>
      </c>
      <c r="AB453" s="372">
        <f t="shared" si="180"/>
        <v>-151.04622645603746</v>
      </c>
      <c r="AD453">
        <f t="shared" si="184"/>
        <v>0</v>
      </c>
      <c r="AE453">
        <f t="shared" si="187"/>
        <v>0</v>
      </c>
    </row>
    <row r="454" spans="1:31" x14ac:dyDescent="0.2">
      <c r="A454" s="373">
        <v>49263.25</v>
      </c>
      <c r="B454" s="390">
        <f t="shared" si="181"/>
        <v>49.263249999999999</v>
      </c>
      <c r="C454" s="363">
        <f t="shared" si="162"/>
        <v>69.363025990404424</v>
      </c>
      <c r="D454" s="364">
        <f t="shared" si="163"/>
        <v>1.5563789245817985</v>
      </c>
      <c r="E454" s="364">
        <f t="shared" si="164"/>
        <v>1.1728636803424402</v>
      </c>
      <c r="F454" s="365">
        <f t="shared" si="165"/>
        <v>0.54982877791965445</v>
      </c>
      <c r="G454" s="364">
        <f t="shared" si="166"/>
        <v>1.4951094724623235</v>
      </c>
      <c r="H454" s="365">
        <f t="shared" si="167"/>
        <v>-0.83813914236217291</v>
      </c>
      <c r="I454" s="363">
        <f t="shared" si="168"/>
        <v>204351.58017955412</v>
      </c>
      <c r="J454" s="366">
        <f t="shared" si="169"/>
        <v>1.5707914332677748</v>
      </c>
      <c r="K454" s="374">
        <f t="shared" si="185"/>
        <v>61.703648939487444</v>
      </c>
      <c r="L454" s="375">
        <f t="shared" si="186"/>
        <v>1.5545891202932818</v>
      </c>
      <c r="M454" s="363">
        <f t="shared" si="170"/>
        <v>2.4994708049290257</v>
      </c>
      <c r="N454" s="366">
        <f t="shared" si="171"/>
        <v>1.1591870754386679</v>
      </c>
      <c r="O454" s="367">
        <f t="shared" si="172"/>
        <v>1.2073243102212903</v>
      </c>
      <c r="P454" s="368">
        <f t="shared" si="173"/>
        <v>0.79591662428483023</v>
      </c>
      <c r="Q454" s="369">
        <f t="shared" si="174"/>
        <v>-24.955013133614035</v>
      </c>
      <c r="R454" s="370">
        <f t="shared" si="175"/>
        <v>-218.64042568027253</v>
      </c>
      <c r="S454" s="372">
        <f t="shared" si="176"/>
        <v>-38.640425680272529</v>
      </c>
      <c r="U454" s="345">
        <f t="shared" si="182"/>
        <v>49263.25</v>
      </c>
      <c r="V454" s="345">
        <f t="shared" si="183"/>
        <v>2426867800.5625</v>
      </c>
      <c r="X454" s="371">
        <f t="shared" si="177"/>
        <v>9.7383699086046267</v>
      </c>
      <c r="Y454" s="372">
        <f t="shared" si="178"/>
        <v>-67.344851317489855</v>
      </c>
      <c r="AA454" s="371">
        <f t="shared" si="179"/>
        <v>25.86719142978621</v>
      </c>
      <c r="AB454" s="372">
        <f t="shared" si="180"/>
        <v>-151.29557436278267</v>
      </c>
      <c r="AD454">
        <f t="shared" si="184"/>
        <v>0</v>
      </c>
      <c r="AE454">
        <f t="shared" si="187"/>
        <v>0</v>
      </c>
    </row>
    <row r="455" spans="1:31" x14ac:dyDescent="0.2">
      <c r="A455" s="373">
        <v>49548.5</v>
      </c>
      <c r="B455" s="390">
        <f t="shared" si="181"/>
        <v>49.548499999999997</v>
      </c>
      <c r="C455" s="363">
        <f t="shared" si="162"/>
        <v>69.764576894524296</v>
      </c>
      <c r="D455" s="364">
        <f t="shared" si="163"/>
        <v>1.5564619139562512</v>
      </c>
      <c r="E455" s="364">
        <f t="shared" si="164"/>
        <v>1.1747219251260057</v>
      </c>
      <c r="F455" s="365">
        <f t="shared" si="165"/>
        <v>0.5524044381899812</v>
      </c>
      <c r="G455" s="364">
        <f t="shared" si="166"/>
        <v>1.499899971625247</v>
      </c>
      <c r="H455" s="365">
        <f t="shared" si="167"/>
        <v>-0.84100901960001528</v>
      </c>
      <c r="I455" s="363">
        <f t="shared" si="168"/>
        <v>205534.84129701645</v>
      </c>
      <c r="J455" s="366">
        <f t="shared" si="169"/>
        <v>1.5707914614397398</v>
      </c>
      <c r="K455" s="374">
        <f t="shared" si="185"/>
        <v>62.060839264125882</v>
      </c>
      <c r="L455" s="375">
        <f t="shared" si="186"/>
        <v>1.5546824087499378</v>
      </c>
      <c r="M455" s="363">
        <f t="shared" si="170"/>
        <v>2.5116325292597517</v>
      </c>
      <c r="N455" s="366">
        <f t="shared" si="171"/>
        <v>1.161299926789598</v>
      </c>
      <c r="O455" s="367">
        <f t="shared" si="172"/>
        <v>1.209640624835213</v>
      </c>
      <c r="P455" s="368">
        <f t="shared" si="173"/>
        <v>0.79987113555143585</v>
      </c>
      <c r="Q455" s="369">
        <f t="shared" si="174"/>
        <v>-25.022437071625482</v>
      </c>
      <c r="R455" s="370">
        <f t="shared" si="175"/>
        <v>-219.00432886213997</v>
      </c>
      <c r="S455" s="372">
        <f t="shared" si="176"/>
        <v>-39.004328862139971</v>
      </c>
      <c r="U455" s="345">
        <f t="shared" si="182"/>
        <v>49548.5</v>
      </c>
      <c r="V455" s="345">
        <f t="shared" si="183"/>
        <v>2455053852.25</v>
      </c>
      <c r="X455" s="371">
        <f t="shared" si="177"/>
        <v>9.6961961962551371</v>
      </c>
      <c r="Y455" s="372">
        <f t="shared" si="178"/>
        <v>-67.46056536205991</v>
      </c>
      <c r="AA455" s="371">
        <f t="shared" si="179"/>
        <v>25.84194120412425</v>
      </c>
      <c r="AB455" s="372">
        <f t="shared" si="180"/>
        <v>-151.54376350008005</v>
      </c>
      <c r="AD455">
        <f t="shared" si="184"/>
        <v>0</v>
      </c>
      <c r="AE455">
        <f t="shared" si="187"/>
        <v>0</v>
      </c>
    </row>
    <row r="456" spans="1:31" x14ac:dyDescent="0.2">
      <c r="A456" s="373">
        <v>49833.75</v>
      </c>
      <c r="B456" s="390">
        <f t="shared" si="181"/>
        <v>49.833750000000002</v>
      </c>
      <c r="C456" s="363">
        <f t="shared" si="162"/>
        <v>70.166128273629795</v>
      </c>
      <c r="D456" s="364">
        <f t="shared" si="163"/>
        <v>1.5565439534570555</v>
      </c>
      <c r="E456" s="364">
        <f t="shared" si="164"/>
        <v>1.1765879383988747</v>
      </c>
      <c r="F456" s="365">
        <f t="shared" si="165"/>
        <v>0.55497194569559649</v>
      </c>
      <c r="G456" s="364">
        <f t="shared" si="166"/>
        <v>1.5047027455391222</v>
      </c>
      <c r="H456" s="365">
        <f t="shared" si="167"/>
        <v>-0.84386059980810535</v>
      </c>
      <c r="I456" s="363">
        <f t="shared" si="168"/>
        <v>206718.10241447896</v>
      </c>
      <c r="J456" s="366">
        <f t="shared" si="169"/>
        <v>1.5707914892891903</v>
      </c>
      <c r="K456" s="374">
        <f t="shared" si="185"/>
        <v>62.418030122681955</v>
      </c>
      <c r="L456" s="375">
        <f t="shared" si="186"/>
        <v>1.5547746295099987</v>
      </c>
      <c r="M456" s="363">
        <f t="shared" si="170"/>
        <v>2.5238053577831892</v>
      </c>
      <c r="N456" s="366">
        <f t="shared" si="171"/>
        <v>1.1633924059798466</v>
      </c>
      <c r="O456" s="367">
        <f t="shared" si="172"/>
        <v>1.2119685558347464</v>
      </c>
      <c r="P456" s="368">
        <f t="shared" si="173"/>
        <v>0.80381665698435767</v>
      </c>
      <c r="Q456" s="369">
        <f t="shared" si="174"/>
        <v>-25.089441178838872</v>
      </c>
      <c r="R456" s="370">
        <f t="shared" si="175"/>
        <v>-219.36597523435535</v>
      </c>
      <c r="S456" s="372">
        <f t="shared" si="176"/>
        <v>-39.365975234355346</v>
      </c>
      <c r="U456" s="345">
        <f t="shared" si="182"/>
        <v>49833.75</v>
      </c>
      <c r="V456" s="345">
        <f t="shared" si="183"/>
        <v>2483402639.0625</v>
      </c>
      <c r="X456" s="371">
        <f t="shared" si="177"/>
        <v>9.6541881481458827</v>
      </c>
      <c r="Y456" s="372">
        <f t="shared" si="178"/>
        <v>-67.575173323832061</v>
      </c>
      <c r="AA456" s="371">
        <f t="shared" si="179"/>
        <v>25.816945145020114</v>
      </c>
      <c r="AB456" s="372">
        <f t="shared" si="180"/>
        <v>-151.7908019105233</v>
      </c>
      <c r="AD456">
        <f t="shared" si="184"/>
        <v>0</v>
      </c>
      <c r="AE456">
        <f t="shared" si="187"/>
        <v>0</v>
      </c>
    </row>
    <row r="457" spans="1:31" x14ac:dyDescent="0.2">
      <c r="A457" s="373">
        <v>50119</v>
      </c>
      <c r="B457" s="390">
        <f t="shared" si="181"/>
        <v>50.119</v>
      </c>
      <c r="C457" s="363">
        <f t="shared" si="162"/>
        <v>70.567680119612476</v>
      </c>
      <c r="D457" s="364">
        <f t="shared" si="163"/>
        <v>1.5566250592983188</v>
      </c>
      <c r="E457" s="364">
        <f t="shared" si="164"/>
        <v>1.1784616832584367</v>
      </c>
      <c r="F457" s="365">
        <f t="shared" si="165"/>
        <v>0.55753130539444895</v>
      </c>
      <c r="G457" s="364">
        <f t="shared" si="166"/>
        <v>1.5095176770416545</v>
      </c>
      <c r="H457" s="365">
        <f t="shared" si="167"/>
        <v>-0.84669401147636425</v>
      </c>
      <c r="I457" s="363">
        <f t="shared" si="168"/>
        <v>207901.36353194161</v>
      </c>
      <c r="J457" s="366">
        <f t="shared" si="169"/>
        <v>1.5707915168216333</v>
      </c>
      <c r="K457" s="374">
        <f t="shared" si="185"/>
        <v>62.77522150604166</v>
      </c>
      <c r="L457" s="375">
        <f t="shared" si="186"/>
        <v>1.5548658007974823</v>
      </c>
      <c r="M457" s="363">
        <f t="shared" si="170"/>
        <v>2.535989130597907</v>
      </c>
      <c r="N457" s="366">
        <f t="shared" si="171"/>
        <v>1.1654647881775069</v>
      </c>
      <c r="O457" s="367">
        <f t="shared" si="172"/>
        <v>1.2143080830951221</v>
      </c>
      <c r="P457" s="368">
        <f t="shared" si="173"/>
        <v>0.80775318839608168</v>
      </c>
      <c r="Q457" s="369">
        <f t="shared" si="174"/>
        <v>-25.156030364569798</v>
      </c>
      <c r="R457" s="370">
        <f t="shared" si="175"/>
        <v>-219.72538751516211</v>
      </c>
      <c r="S457" s="372">
        <f t="shared" si="176"/>
        <v>-39.725387515162112</v>
      </c>
      <c r="U457" s="345">
        <f t="shared" si="182"/>
        <v>50119</v>
      </c>
      <c r="V457" s="345">
        <f t="shared" si="183"/>
        <v>2511914161</v>
      </c>
      <c r="X457" s="371">
        <f t="shared" si="177"/>
        <v>9.6123448991173781</v>
      </c>
      <c r="Y457" s="372">
        <f t="shared" si="178"/>
        <v>-67.688689924932945</v>
      </c>
      <c r="AA457" s="371">
        <f t="shared" si="179"/>
        <v>25.792199208317697</v>
      </c>
      <c r="AB457" s="372">
        <f t="shared" si="180"/>
        <v>-152.03669759022921</v>
      </c>
      <c r="AD457">
        <f t="shared" si="184"/>
        <v>0</v>
      </c>
      <c r="AE457">
        <f t="shared" si="187"/>
        <v>0</v>
      </c>
    </row>
    <row r="458" spans="1:31" x14ac:dyDescent="0.2">
      <c r="A458" s="373">
        <v>50410.75</v>
      </c>
      <c r="B458" s="390">
        <f t="shared" si="181"/>
        <v>50.41075</v>
      </c>
      <c r="C458" s="363">
        <f t="shared" si="162"/>
        <v>70.978382613820699</v>
      </c>
      <c r="D458" s="364">
        <f t="shared" si="163"/>
        <v>1.5567070640011591</v>
      </c>
      <c r="E458" s="364">
        <f t="shared" si="164"/>
        <v>1.1803860846825138</v>
      </c>
      <c r="F458" s="365">
        <f t="shared" si="165"/>
        <v>0.56014056246044297</v>
      </c>
      <c r="G458" s="364">
        <f t="shared" si="166"/>
        <v>1.5144547819606853</v>
      </c>
      <c r="H458" s="365">
        <f t="shared" si="167"/>
        <v>-0.84957332734790503</v>
      </c>
      <c r="I458" s="363">
        <f t="shared" si="168"/>
        <v>209111.58765471028</v>
      </c>
      <c r="J458" s="366">
        <f t="shared" si="169"/>
        <v>1.5707915446591421</v>
      </c>
      <c r="K458" s="374">
        <f t="shared" si="185"/>
        <v>63.140552753379346</v>
      </c>
      <c r="L458" s="375">
        <f t="shared" si="186"/>
        <v>1.5549579825537916</v>
      </c>
      <c r="M458" s="363">
        <f t="shared" si="170"/>
        <v>2.5484616930019173</v>
      </c>
      <c r="N458" s="366">
        <f t="shared" si="171"/>
        <v>1.1675638866890881</v>
      </c>
      <c r="O458" s="367">
        <f t="shared" si="172"/>
        <v>1.2167128959875189</v>
      </c>
      <c r="P458" s="368">
        <f t="shared" si="173"/>
        <v>0.81177012225906597</v>
      </c>
      <c r="Q458" s="369">
        <f t="shared" si="174"/>
        <v>-25.223712751244285</v>
      </c>
      <c r="R458" s="370">
        <f t="shared" si="175"/>
        <v>-220.09070208054584</v>
      </c>
      <c r="S458" s="372">
        <f t="shared" si="176"/>
        <v>-40.090702080545839</v>
      </c>
      <c r="U458" s="345">
        <f t="shared" si="182"/>
        <v>50410.75</v>
      </c>
      <c r="V458" s="345">
        <f t="shared" si="183"/>
        <v>2541243715.5625</v>
      </c>
      <c r="X458" s="371">
        <f t="shared" si="177"/>
        <v>9.569717737497573</v>
      </c>
      <c r="Y458" s="372">
        <f t="shared" si="178"/>
        <v>-67.803679379947283</v>
      </c>
      <c r="AA458" s="371">
        <f t="shared" si="179"/>
        <v>25.767143983263008</v>
      </c>
      <c r="AB458" s="372">
        <f t="shared" si="180"/>
        <v>-152.28702270059856</v>
      </c>
      <c r="AD458">
        <f t="shared" si="184"/>
        <v>0</v>
      </c>
      <c r="AE458">
        <f t="shared" si="187"/>
        <v>0</v>
      </c>
    </row>
    <row r="459" spans="1:31" x14ac:dyDescent="0.2">
      <c r="A459" s="373">
        <v>50702.5</v>
      </c>
      <c r="B459" s="390">
        <f t="shared" si="181"/>
        <v>50.702500000000001</v>
      </c>
      <c r="C459" s="363">
        <f t="shared" si="162"/>
        <v>71.389085579850345</v>
      </c>
      <c r="D459" s="364">
        <f t="shared" si="163"/>
        <v>1.5567881251548521</v>
      </c>
      <c r="E459" s="364">
        <f t="shared" si="164"/>
        <v>1.1823184962450819</v>
      </c>
      <c r="F459" s="365">
        <f t="shared" si="165"/>
        <v>0.56274130791193044</v>
      </c>
      <c r="G459" s="364">
        <f t="shared" si="166"/>
        <v>1.519404360750777</v>
      </c>
      <c r="H459" s="365">
        <f t="shared" si="167"/>
        <v>-0.85243390761228433</v>
      </c>
      <c r="I459" s="363">
        <f t="shared" si="168"/>
        <v>210321.81177747916</v>
      </c>
      <c r="J459" s="366">
        <f t="shared" si="169"/>
        <v>1.5707915721762884</v>
      </c>
      <c r="K459" s="374">
        <f t="shared" si="185"/>
        <v>63.50588453107931</v>
      </c>
      <c r="L459" s="375">
        <f t="shared" si="186"/>
        <v>1.5550491037186047</v>
      </c>
      <c r="M459" s="363">
        <f t="shared" si="170"/>
        <v>2.5609453750684659</v>
      </c>
      <c r="N459" s="366">
        <f t="shared" si="171"/>
        <v>1.1696425295939421</v>
      </c>
      <c r="O459" s="367">
        <f t="shared" si="172"/>
        <v>1.2191297973565611</v>
      </c>
      <c r="P459" s="368">
        <f t="shared" si="173"/>
        <v>0.81577765263396818</v>
      </c>
      <c r="Q459" s="369">
        <f t="shared" si="174"/>
        <v>-25.290971253918038</v>
      </c>
      <c r="R459" s="370">
        <f t="shared" si="175"/>
        <v>-220.45372674186251</v>
      </c>
      <c r="S459" s="372">
        <f t="shared" si="176"/>
        <v>-40.453726741862511</v>
      </c>
      <c r="U459" s="345">
        <f t="shared" si="182"/>
        <v>50702.5</v>
      </c>
      <c r="V459" s="345">
        <f t="shared" si="183"/>
        <v>2570743506.25</v>
      </c>
      <c r="X459" s="371">
        <f t="shared" si="177"/>
        <v>9.527261133759513</v>
      </c>
      <c r="Y459" s="372">
        <f t="shared" si="178"/>
        <v>-67.917557564088582</v>
      </c>
      <c r="AA459" s="371">
        <f t="shared" si="179"/>
        <v>25.742342084327319</v>
      </c>
      <c r="AB459" s="372">
        <f t="shared" si="180"/>
        <v>-152.53616917777398</v>
      </c>
      <c r="AD459">
        <f t="shared" si="184"/>
        <v>0</v>
      </c>
      <c r="AE459">
        <f t="shared" si="187"/>
        <v>0</v>
      </c>
    </row>
    <row r="460" spans="1:31" x14ac:dyDescent="0.2">
      <c r="A460" s="373">
        <v>50994.25</v>
      </c>
      <c r="B460" s="390">
        <f t="shared" si="181"/>
        <v>50.994250000000001</v>
      </c>
      <c r="C460" s="363">
        <f t="shared" si="162"/>
        <v>71.799789009604766</v>
      </c>
      <c r="D460" s="364">
        <f t="shared" si="163"/>
        <v>1.5568682589499669</v>
      </c>
      <c r="E460" s="364">
        <f t="shared" si="164"/>
        <v>1.1842588787345694</v>
      </c>
      <c r="F460" s="365">
        <f t="shared" si="165"/>
        <v>0.56533354831921345</v>
      </c>
      <c r="G460" s="364">
        <f t="shared" si="166"/>
        <v>1.524366291904903</v>
      </c>
      <c r="H460" s="365">
        <f t="shared" si="167"/>
        <v>-0.85527588818282974</v>
      </c>
      <c r="I460" s="363">
        <f t="shared" si="168"/>
        <v>211532.03590024819</v>
      </c>
      <c r="J460" s="366">
        <f t="shared" si="169"/>
        <v>1.5707915993785706</v>
      </c>
      <c r="K460" s="374">
        <f t="shared" si="185"/>
        <v>63.871216830040815</v>
      </c>
      <c r="L460" s="375">
        <f t="shared" si="186"/>
        <v>1.5551391824895942</v>
      </c>
      <c r="M460" s="363">
        <f t="shared" si="170"/>
        <v>2.5734400149740875</v>
      </c>
      <c r="N460" s="366">
        <f t="shared" si="171"/>
        <v>1.1717009967476089</v>
      </c>
      <c r="O460" s="367">
        <f t="shared" si="172"/>
        <v>1.221558765966684</v>
      </c>
      <c r="P460" s="368">
        <f t="shared" si="173"/>
        <v>0.81977578063635614</v>
      </c>
      <c r="Q460" s="369">
        <f t="shared" si="174"/>
        <v>-25.357810898979736</v>
      </c>
      <c r="R460" s="370">
        <f t="shared" si="175"/>
        <v>-220.81448489369694</v>
      </c>
      <c r="S460" s="372">
        <f t="shared" si="176"/>
        <v>-40.814484893696942</v>
      </c>
      <c r="U460" s="345">
        <f t="shared" si="182"/>
        <v>50994.25</v>
      </c>
      <c r="V460" s="345">
        <f t="shared" si="183"/>
        <v>2600413533.0625</v>
      </c>
      <c r="X460" s="371">
        <f t="shared" si="177"/>
        <v>9.484974156293223</v>
      </c>
      <c r="Y460" s="372">
        <f t="shared" si="178"/>
        <v>-68.030339469563415</v>
      </c>
      <c r="AA460" s="371">
        <f t="shared" si="179"/>
        <v>25.717789416731911</v>
      </c>
      <c r="AB460" s="372">
        <f t="shared" si="180"/>
        <v>-152.78414542413356</v>
      </c>
      <c r="AD460">
        <f t="shared" si="184"/>
        <v>0</v>
      </c>
      <c r="AE460">
        <f t="shared" si="187"/>
        <v>0</v>
      </c>
    </row>
    <row r="461" spans="1:31" x14ac:dyDescent="0.2">
      <c r="A461" s="373">
        <v>51286</v>
      </c>
      <c r="B461" s="390">
        <f t="shared" si="181"/>
        <v>51.286000000000001</v>
      </c>
      <c r="C461" s="363">
        <f t="shared" ref="C461:C524" si="188">SQRT(1+(A461/pole1)^2)</f>
        <v>72.210492895171555</v>
      </c>
      <c r="D461" s="364">
        <f t="shared" ref="D461:D524" si="189">ATAN(A461/pole1)</f>
        <v>1.55694748120878</v>
      </c>
      <c r="E461" s="364">
        <f t="shared" ref="E461:E524" si="190">SQRT(1+(A461/Zero1)^2)</f>
        <v>1.1862071930347571</v>
      </c>
      <c r="F461" s="365">
        <f t="shared" ref="F461:F524" si="191">ATAN(A461/Zero1)</f>
        <v>0.56791729066690155</v>
      </c>
      <c r="G461" s="364">
        <f t="shared" ref="G461:G524" si="192">IF(VIN_nom&gt;Vout, 1, SQRT(1+(A461/z_RHP)^2))</f>
        <v>1.5293404551916709</v>
      </c>
      <c r="H461" s="365">
        <f t="shared" ref="H461:H524" si="193">IF(VIN_nom&gt;Vout, 0, -ATAN(A461/z_RHP))</f>
        <v>-0.85809940441305221</v>
      </c>
      <c r="I461" s="363">
        <f t="shared" ref="I461:I524" si="194">SQRT(1+(A461/Pole2)^2)</f>
        <v>212742.26002301736</v>
      </c>
      <c r="J461" s="366">
        <f t="shared" ref="J461:J524" si="195">ATAN(A461/Pole2)</f>
        <v>1.5707916262713622</v>
      </c>
      <c r="K461" s="374">
        <f t="shared" si="185"/>
        <v>64.236549641370161</v>
      </c>
      <c r="L461" s="375">
        <f t="shared" si="186"/>
        <v>1.5552282366505186</v>
      </c>
      <c r="M461" s="363">
        <f t="shared" ref="M461:M524" si="196">SQRT(1+(A461/pole4)^2)</f>
        <v>2.5859454538821955</v>
      </c>
      <c r="N461" s="366">
        <f t="shared" ref="N461:N524" si="197">ATAN(A461/pole4)</f>
        <v>1.1737395632832501</v>
      </c>
      <c r="O461" s="367">
        <f t="shared" ref="O461:O524" si="198">SQRT((1-(V461/pterm2))^2+(A461/pterm1)^2)</f>
        <v>1.2239997806844995</v>
      </c>
      <c r="P461" s="368">
        <f t="shared" ref="P461:P524" si="199">IF((ATAN((A461/pterm1)/(1-A461^2/pterm2))&gt;0),ATAN((A461/pterm1)/(1-A461^2/pterm2)),PI()+ATAN((A461/pterm1)/(1-A461^2/pterm2)))</f>
        <v>0.82376450781378896</v>
      </c>
      <c r="Q461" s="369">
        <f t="shared" ref="Q461:Q524" si="200">20*LOG10(((E461*K461*G461)/(C461*I461*O461*M461))*Adc)</f>
        <v>-25.424236639063416</v>
      </c>
      <c r="R461" s="370">
        <f t="shared" ref="R461:R524" si="201">((F461+L461+H461)-(D461+J461+P461+N461))*radconv</f>
        <v>-221.17299963160605</v>
      </c>
      <c r="S461" s="372">
        <f t="shared" ref="S461:S524" si="202">IF(R461&gt;0,R461,R461+180)</f>
        <v>-41.172999631606046</v>
      </c>
      <c r="U461" s="345">
        <f t="shared" si="182"/>
        <v>51286</v>
      </c>
      <c r="V461" s="345">
        <f t="shared" si="183"/>
        <v>2630253796</v>
      </c>
      <c r="X461" s="371">
        <f t="shared" ref="X461:X524" si="203">20*LOG10((K461/(I461*M461))*AEA)</f>
        <v>9.4428558722398606</v>
      </c>
      <c r="Y461" s="372">
        <f t="shared" ref="Y461:Y524" si="204">(L461-(J461+N461))*radconv</f>
        <v>-68.142039841714308</v>
      </c>
      <c r="AA461" s="371">
        <f t="shared" ref="AA461:AA524" si="205">20*LOG10((E461*G461/(C461*O461))*Acs*Am)</f>
        <v>25.693481960701593</v>
      </c>
      <c r="AB461" s="372">
        <f t="shared" ref="AB461:AB524" si="206">(F461+H461-(D461+P461))*radconv</f>
        <v>-153.03095978989174</v>
      </c>
      <c r="AD461">
        <f t="shared" si="184"/>
        <v>0</v>
      </c>
      <c r="AE461">
        <f t="shared" si="187"/>
        <v>0</v>
      </c>
    </row>
    <row r="462" spans="1:31" x14ac:dyDescent="0.2">
      <c r="A462" s="373">
        <v>51584.75</v>
      </c>
      <c r="B462" s="390">
        <f t="shared" ref="B462:B525" si="207">A462/1000</f>
        <v>51.58475</v>
      </c>
      <c r="C462" s="363">
        <f t="shared" si="188"/>
        <v>72.631051322812283</v>
      </c>
      <c r="D462" s="364">
        <f t="shared" si="189"/>
        <v>1.5570276758054942</v>
      </c>
      <c r="E462" s="364">
        <f t="shared" si="190"/>
        <v>1.1882104323221696</v>
      </c>
      <c r="F462" s="365">
        <f t="shared" si="191"/>
        <v>0.57055422649522514</v>
      </c>
      <c r="G462" s="364">
        <f t="shared" si="192"/>
        <v>1.5344465159223089</v>
      </c>
      <c r="H462" s="365">
        <f t="shared" si="193"/>
        <v>-0.86097167227654958</v>
      </c>
      <c r="I462" s="363">
        <f t="shared" si="194"/>
        <v>213981.52122842384</v>
      </c>
      <c r="J462" s="366">
        <f t="shared" si="195"/>
        <v>1.5707916534941637</v>
      </c>
      <c r="K462" s="374">
        <f t="shared" si="185"/>
        <v>64.610648457624265</v>
      </c>
      <c r="L462" s="375">
        <f t="shared" si="186"/>
        <v>1.5553183838741094</v>
      </c>
      <c r="M462" s="363">
        <f t="shared" si="196"/>
        <v>2.5987619655155876</v>
      </c>
      <c r="N462" s="366">
        <f t="shared" si="197"/>
        <v>1.1758067014043416</v>
      </c>
      <c r="O462" s="367">
        <f t="shared" si="198"/>
        <v>1.2265118241662263</v>
      </c>
      <c r="P462" s="368">
        <f t="shared" si="199"/>
        <v>0.82783919730042532</v>
      </c>
      <c r="Q462" s="369">
        <f t="shared" si="200"/>
        <v>-25.491832318252001</v>
      </c>
      <c r="R462" s="370">
        <f t="shared" si="201"/>
        <v>-221.53781528107888</v>
      </c>
      <c r="S462" s="372">
        <f t="shared" si="202"/>
        <v>-41.537815281078878</v>
      </c>
      <c r="U462" s="345">
        <f t="shared" ref="U462:U525" si="208">IF(Q462&lt;0,A462,1000000000)</f>
        <v>51584.75</v>
      </c>
      <c r="V462" s="345">
        <f t="shared" ref="V462:V525" si="209">A462^2</f>
        <v>2660986432.5625</v>
      </c>
      <c r="X462" s="371">
        <f t="shared" si="203"/>
        <v>9.3999008759234961</v>
      </c>
      <c r="Y462" s="372">
        <f t="shared" si="204"/>
        <v>-68.255314636157948</v>
      </c>
      <c r="AA462" s="371">
        <f t="shared" si="205"/>
        <v>25.668841277829372</v>
      </c>
      <c r="AB462" s="372">
        <f t="shared" si="206"/>
        <v>-153.28250064492093</v>
      </c>
      <c r="AD462">
        <f t="shared" ref="AD462:AD525" si="210">SUM((Q463&lt;0)*(Q462&gt;0))*A462</f>
        <v>0</v>
      </c>
      <c r="AE462">
        <f t="shared" si="187"/>
        <v>0</v>
      </c>
    </row>
    <row r="463" spans="1:31" x14ac:dyDescent="0.2">
      <c r="A463" s="373">
        <v>51883.5</v>
      </c>
      <c r="B463" s="390">
        <f t="shared" si="207"/>
        <v>51.883499999999998</v>
      </c>
      <c r="C463" s="363">
        <f t="shared" si="188"/>
        <v>73.05161021217765</v>
      </c>
      <c r="D463" s="364">
        <f t="shared" si="189"/>
        <v>1.5571069470404375</v>
      </c>
      <c r="E463" s="364">
        <f t="shared" si="190"/>
        <v>1.19022190590318</v>
      </c>
      <c r="F463" s="365">
        <f t="shared" si="191"/>
        <v>0.5731822677093894</v>
      </c>
      <c r="G463" s="364">
        <f t="shared" si="192"/>
        <v>1.5395651516882649</v>
      </c>
      <c r="H463" s="365">
        <f t="shared" si="193"/>
        <v>-0.86382486452828233</v>
      </c>
      <c r="I463" s="363">
        <f t="shared" si="194"/>
        <v>215220.78243383046</v>
      </c>
      <c r="J463" s="366">
        <f t="shared" si="195"/>
        <v>1.5707916804034623</v>
      </c>
      <c r="K463" s="374">
        <f t="shared" si="185"/>
        <v>64.984747792892989</v>
      </c>
      <c r="L463" s="375">
        <f t="shared" si="186"/>
        <v>1.5554074931928297</v>
      </c>
      <c r="M463" s="363">
        <f t="shared" si="196"/>
        <v>2.6115894727938378</v>
      </c>
      <c r="N463" s="366">
        <f t="shared" si="197"/>
        <v>1.1778535416171982</v>
      </c>
      <c r="O463" s="367">
        <f t="shared" si="198"/>
        <v>1.2290364542201131</v>
      </c>
      <c r="P463" s="368">
        <f t="shared" si="199"/>
        <v>0.83190403408671354</v>
      </c>
      <c r="Q463" s="369">
        <f t="shared" si="200"/>
        <v>-25.559004271598063</v>
      </c>
      <c r="R463" s="370">
        <f t="shared" si="201"/>
        <v>-221.90032664460725</v>
      </c>
      <c r="S463" s="372">
        <f t="shared" si="202"/>
        <v>-41.900326644607247</v>
      </c>
      <c r="U463" s="345">
        <f t="shared" si="208"/>
        <v>51883.5</v>
      </c>
      <c r="V463" s="345">
        <f t="shared" si="209"/>
        <v>2691897572.25</v>
      </c>
      <c r="X463" s="371">
        <f t="shared" si="203"/>
        <v>9.357120782807657</v>
      </c>
      <c r="Y463" s="372">
        <f t="shared" si="204"/>
        <v>-68.367485895731733</v>
      </c>
      <c r="AA463" s="371">
        <f t="shared" si="205"/>
        <v>25.644449417599148</v>
      </c>
      <c r="AB463" s="372">
        <f t="shared" si="206"/>
        <v>-153.53284074887551</v>
      </c>
      <c r="AD463">
        <f t="shared" si="210"/>
        <v>0</v>
      </c>
      <c r="AE463">
        <f t="shared" si="187"/>
        <v>0</v>
      </c>
    </row>
    <row r="464" spans="1:31" x14ac:dyDescent="0.2">
      <c r="A464" s="373">
        <v>52182.25</v>
      </c>
      <c r="B464" s="390">
        <f t="shared" si="207"/>
        <v>52.182250000000003</v>
      </c>
      <c r="C464" s="363">
        <f t="shared" si="188"/>
        <v>73.472169555338866</v>
      </c>
      <c r="D464" s="364">
        <f t="shared" si="189"/>
        <v>1.5571853107687486</v>
      </c>
      <c r="E464" s="364">
        <f t="shared" si="190"/>
        <v>1.1922415721006718</v>
      </c>
      <c r="F464" s="365">
        <f t="shared" si="191"/>
        <v>0.57580142311887128</v>
      </c>
      <c r="G464" s="364">
        <f t="shared" si="192"/>
        <v>1.5446962374804507</v>
      </c>
      <c r="H464" s="365">
        <f t="shared" si="193"/>
        <v>-0.86665912457574634</v>
      </c>
      <c r="I464" s="363">
        <f t="shared" si="194"/>
        <v>216460.04363923724</v>
      </c>
      <c r="J464" s="366">
        <f t="shared" si="195"/>
        <v>1.5707917070046424</v>
      </c>
      <c r="K464" s="374">
        <f t="shared" si="185"/>
        <v>65.358847638264152</v>
      </c>
      <c r="L464" s="375">
        <f t="shared" si="186"/>
        <v>1.5554955824274783</v>
      </c>
      <c r="M464" s="363">
        <f t="shared" si="196"/>
        <v>2.6244278144855619</v>
      </c>
      <c r="N464" s="366">
        <f t="shared" si="197"/>
        <v>1.1798803645280849</v>
      </c>
      <c r="O464" s="367">
        <f t="shared" si="198"/>
        <v>1.2315736484947666</v>
      </c>
      <c r="P464" s="368">
        <f t="shared" si="199"/>
        <v>0.83595902120396914</v>
      </c>
      <c r="Q464" s="369">
        <f t="shared" si="200"/>
        <v>-25.625757584392623</v>
      </c>
      <c r="R464" s="370">
        <f t="shared" si="201"/>
        <v>-222.26055757301046</v>
      </c>
      <c r="S464" s="372">
        <f t="shared" si="202"/>
        <v>-42.260557573010459</v>
      </c>
      <c r="U464" s="345">
        <f t="shared" si="208"/>
        <v>52182.25</v>
      </c>
      <c r="V464" s="345">
        <f t="shared" si="209"/>
        <v>2722987215.0625</v>
      </c>
      <c r="X464" s="371">
        <f t="shared" si="203"/>
        <v>9.3145145894463734</v>
      </c>
      <c r="Y464" s="372">
        <f t="shared" si="204"/>
        <v>-68.478568677242336</v>
      </c>
      <c r="AA464" s="371">
        <f t="shared" si="205"/>
        <v>25.620302298165875</v>
      </c>
      <c r="AB464" s="372">
        <f t="shared" si="206"/>
        <v>-153.78198889576808</v>
      </c>
      <c r="AD464">
        <f t="shared" si="210"/>
        <v>0</v>
      </c>
      <c r="AE464">
        <f t="shared" si="187"/>
        <v>0</v>
      </c>
    </row>
    <row r="465" spans="1:31" x14ac:dyDescent="0.2">
      <c r="A465" s="373">
        <v>52481</v>
      </c>
      <c r="B465" s="390">
        <f t="shared" si="207"/>
        <v>52.481000000000002</v>
      </c>
      <c r="C465" s="363">
        <f t="shared" si="188"/>
        <v>73.892729344547604</v>
      </c>
      <c r="D465" s="364">
        <f t="shared" si="189"/>
        <v>1.5572627824846534</v>
      </c>
      <c r="E465" s="364">
        <f t="shared" si="190"/>
        <v>1.1942693893502785</v>
      </c>
      <c r="F465" s="365">
        <f t="shared" si="191"/>
        <v>0.57841170196132607</v>
      </c>
      <c r="G465" s="364">
        <f t="shared" si="192"/>
        <v>1.5498396496432028</v>
      </c>
      <c r="H465" s="365">
        <f t="shared" si="193"/>
        <v>-0.86947459514633119</v>
      </c>
      <c r="I465" s="363">
        <f t="shared" si="194"/>
        <v>217699.30484464418</v>
      </c>
      <c r="J465" s="366">
        <f t="shared" si="195"/>
        <v>1.5707917333029664</v>
      </c>
      <c r="K465" s="374">
        <f t="shared" si="185"/>
        <v>65.732947985028446</v>
      </c>
      <c r="L465" s="375">
        <f t="shared" si="186"/>
        <v>1.5555826689932299</v>
      </c>
      <c r="M465" s="363">
        <f t="shared" si="196"/>
        <v>2.6372768323640279</v>
      </c>
      <c r="N465" s="366">
        <f t="shared" si="197"/>
        <v>1.1818874459395152</v>
      </c>
      <c r="O465" s="367">
        <f t="shared" si="198"/>
        <v>1.2341233847556663</v>
      </c>
      <c r="P465" s="368">
        <f t="shared" si="199"/>
        <v>0.84000416213250584</v>
      </c>
      <c r="Q465" s="369">
        <f t="shared" si="200"/>
        <v>-25.692097266139822</v>
      </c>
      <c r="R465" s="370">
        <f t="shared" si="201"/>
        <v>-222.61853160665333</v>
      </c>
      <c r="S465" s="372">
        <f t="shared" si="202"/>
        <v>-42.618531606653335</v>
      </c>
      <c r="U465" s="345">
        <f t="shared" si="208"/>
        <v>52481</v>
      </c>
      <c r="V465" s="345">
        <f t="shared" si="209"/>
        <v>2754255361</v>
      </c>
      <c r="X465" s="371">
        <f t="shared" si="203"/>
        <v>9.2720812924858347</v>
      </c>
      <c r="Y465" s="372">
        <f t="shared" si="204"/>
        <v>-68.588577785495303</v>
      </c>
      <c r="AA465" s="371">
        <f t="shared" si="205"/>
        <v>25.596395913379215</v>
      </c>
      <c r="AB465" s="372">
        <f t="shared" si="206"/>
        <v>-154.02995382115805</v>
      </c>
      <c r="AD465">
        <f t="shared" si="210"/>
        <v>0</v>
      </c>
      <c r="AE465">
        <f t="shared" si="187"/>
        <v>0</v>
      </c>
    </row>
    <row r="466" spans="1:31" x14ac:dyDescent="0.2">
      <c r="A466" s="373">
        <v>52786.5</v>
      </c>
      <c r="B466" s="390">
        <f t="shared" si="207"/>
        <v>52.786499999999997</v>
      </c>
      <c r="C466" s="363">
        <f t="shared" si="188"/>
        <v>74.322791774851282</v>
      </c>
      <c r="D466" s="364">
        <f t="shared" si="189"/>
        <v>1.557341097912607</v>
      </c>
      <c r="E466" s="364">
        <f t="shared" si="190"/>
        <v>1.1963514095857559</v>
      </c>
      <c r="F466" s="365">
        <f t="shared" si="191"/>
        <v>0.58107178821139804</v>
      </c>
      <c r="G466" s="364">
        <f t="shared" si="192"/>
        <v>1.5551118926284038</v>
      </c>
      <c r="H466" s="365">
        <f t="shared" si="193"/>
        <v>-0.8723343957733517</v>
      </c>
      <c r="I466" s="363">
        <f t="shared" si="194"/>
        <v>218966.5660940228</v>
      </c>
      <c r="J466" s="366">
        <f t="shared" si="195"/>
        <v>1.5707917598876384</v>
      </c>
      <c r="K466" s="374">
        <f t="shared" si="185"/>
        <v>66.115501317892793</v>
      </c>
      <c r="L466" s="375">
        <f t="shared" si="186"/>
        <v>1.5556707040312807</v>
      </c>
      <c r="M466" s="363">
        <f t="shared" si="196"/>
        <v>2.6504270417375975</v>
      </c>
      <c r="N466" s="366">
        <f t="shared" si="197"/>
        <v>1.1839197424652399</v>
      </c>
      <c r="O466" s="367">
        <f t="shared" si="198"/>
        <v>1.2367436773277094</v>
      </c>
      <c r="P466" s="368">
        <f t="shared" si="199"/>
        <v>0.84413052123930576</v>
      </c>
      <c r="Q466" s="369">
        <f t="shared" si="200"/>
        <v>-25.75951322252358</v>
      </c>
      <c r="R466" s="370">
        <f t="shared" si="201"/>
        <v>-222.98228400374677</v>
      </c>
      <c r="S466" s="372">
        <f t="shared" si="202"/>
        <v>-42.98228400374677</v>
      </c>
      <c r="U466" s="345">
        <f t="shared" si="208"/>
        <v>52786.5</v>
      </c>
      <c r="V466" s="345">
        <f t="shared" si="209"/>
        <v>2786414582.25</v>
      </c>
      <c r="X466" s="371">
        <f t="shared" si="203"/>
        <v>9.2288670067904519</v>
      </c>
      <c r="Y466" s="372">
        <f t="shared" si="204"/>
        <v>-68.699977286325634</v>
      </c>
      <c r="AA466" s="371">
        <f t="shared" si="205"/>
        <v>25.572194242690838</v>
      </c>
      <c r="AB466" s="372">
        <f t="shared" si="206"/>
        <v>-154.28230671742116</v>
      </c>
      <c r="AD466">
        <f t="shared" si="210"/>
        <v>0</v>
      </c>
      <c r="AE466">
        <f t="shared" si="187"/>
        <v>0</v>
      </c>
    </row>
    <row r="467" spans="1:31" x14ac:dyDescent="0.2">
      <c r="A467" s="373">
        <v>53092</v>
      </c>
      <c r="B467" s="390">
        <f t="shared" si="207"/>
        <v>53.091999999999999</v>
      </c>
      <c r="C467" s="363">
        <f t="shared" si="188"/>
        <v>74.752854655754362</v>
      </c>
      <c r="D467" s="364">
        <f t="shared" si="189"/>
        <v>1.557418512223375</v>
      </c>
      <c r="E467" s="364">
        <f t="shared" si="190"/>
        <v>1.1984418658257501</v>
      </c>
      <c r="F467" s="365">
        <f t="shared" si="191"/>
        <v>0.58372261312501261</v>
      </c>
      <c r="G467" s="364">
        <f t="shared" si="192"/>
        <v>1.5603967680274173</v>
      </c>
      <c r="H467" s="365">
        <f t="shared" si="193"/>
        <v>-0.87517484790140954</v>
      </c>
      <c r="I467" s="363">
        <f t="shared" si="194"/>
        <v>220233.82734340156</v>
      </c>
      <c r="J467" s="366">
        <f t="shared" si="195"/>
        <v>1.5707917861663652</v>
      </c>
      <c r="K467" s="374">
        <f t="shared" si="185"/>
        <v>66.498055157267785</v>
      </c>
      <c r="L467" s="375">
        <f t="shared" si="186"/>
        <v>1.5557577261639313</v>
      </c>
      <c r="M467" s="363">
        <f t="shared" si="196"/>
        <v>2.6635880898659994</v>
      </c>
      <c r="N467" s="366">
        <f t="shared" si="197"/>
        <v>1.1859319636835464</v>
      </c>
      <c r="O467" s="367">
        <f t="shared" si="198"/>
        <v>1.2393770383914664</v>
      </c>
      <c r="P467" s="368">
        <f t="shared" si="199"/>
        <v>0.84824659296857308</v>
      </c>
      <c r="Q467" s="369">
        <f t="shared" si="200"/>
        <v>-25.826507003572516</v>
      </c>
      <c r="R467" s="370">
        <f t="shared" si="201"/>
        <v>-223.3437251827599</v>
      </c>
      <c r="S467" s="372">
        <f t="shared" si="202"/>
        <v>-43.343725182759897</v>
      </c>
      <c r="U467" s="345">
        <f t="shared" si="208"/>
        <v>53092</v>
      </c>
      <c r="V467" s="345">
        <f t="shared" si="209"/>
        <v>2818760464</v>
      </c>
      <c r="X467" s="371">
        <f t="shared" si="203"/>
        <v>9.1858313982198254</v>
      </c>
      <c r="Y467" s="372">
        <f t="shared" si="204"/>
        <v>-68.810284574442335</v>
      </c>
      <c r="AA467" s="371">
        <f t="shared" si="205"/>
        <v>25.548236070212532</v>
      </c>
      <c r="AB467" s="372">
        <f t="shared" si="206"/>
        <v>-154.53344060831759</v>
      </c>
      <c r="AD467">
        <f t="shared" si="210"/>
        <v>0</v>
      </c>
      <c r="AE467">
        <f t="shared" si="187"/>
        <v>0</v>
      </c>
    </row>
    <row r="468" spans="1:31" x14ac:dyDescent="0.2">
      <c r="A468" s="373">
        <v>53397.5</v>
      </c>
      <c r="B468" s="390">
        <f t="shared" si="207"/>
        <v>53.397500000000001</v>
      </c>
      <c r="C468" s="363">
        <f t="shared" si="188"/>
        <v>75.18291797952422</v>
      </c>
      <c r="D468" s="364">
        <f t="shared" si="189"/>
        <v>1.5574950408798054</v>
      </c>
      <c r="E468" s="364">
        <f t="shared" si="190"/>
        <v>1.2005407140023729</v>
      </c>
      <c r="F468" s="365">
        <f t="shared" si="191"/>
        <v>0.58636418792468759</v>
      </c>
      <c r="G468" s="364">
        <f t="shared" si="192"/>
        <v>1.5656941479211404</v>
      </c>
      <c r="H468" s="365">
        <f t="shared" si="193"/>
        <v>-0.87799610185488963</v>
      </c>
      <c r="I468" s="363">
        <f t="shared" si="194"/>
        <v>221501.08859278049</v>
      </c>
      <c r="J468" s="366">
        <f t="shared" si="195"/>
        <v>1.5707918121443982</v>
      </c>
      <c r="K468" s="374">
        <f t="shared" si="185"/>
        <v>66.880609494461766</v>
      </c>
      <c r="L468" s="375">
        <f t="shared" si="186"/>
        <v>1.5558437527711835</v>
      </c>
      <c r="M468" s="363">
        <f t="shared" si="196"/>
        <v>2.67675981687381</v>
      </c>
      <c r="N468" s="366">
        <f t="shared" si="197"/>
        <v>1.1879243895362035</v>
      </c>
      <c r="O468" s="367">
        <f t="shared" si="198"/>
        <v>1.2420234445569338</v>
      </c>
      <c r="P468" s="368">
        <f t="shared" si="199"/>
        <v>0.85235238245606137</v>
      </c>
      <c r="Q468" s="369">
        <f t="shared" si="200"/>
        <v>-25.893083728482349</v>
      </c>
      <c r="R468" s="370">
        <f t="shared" si="201"/>
        <v>-223.7028793378376</v>
      </c>
      <c r="S468" s="372">
        <f t="shared" si="202"/>
        <v>-43.702879337837601</v>
      </c>
      <c r="U468" s="345">
        <f t="shared" si="208"/>
        <v>53397.5</v>
      </c>
      <c r="V468" s="345">
        <f t="shared" si="209"/>
        <v>2851293006.25</v>
      </c>
      <c r="X468" s="371">
        <f t="shared" si="203"/>
        <v>9.1429733962394515</v>
      </c>
      <c r="Y468" s="372">
        <f t="shared" si="204"/>
        <v>-68.919514693827438</v>
      </c>
      <c r="AA468" s="371">
        <f t="shared" si="205"/>
        <v>25.524517347283076</v>
      </c>
      <c r="AB468" s="372">
        <f t="shared" si="206"/>
        <v>-154.78336464401019</v>
      </c>
      <c r="AD468">
        <f t="shared" si="210"/>
        <v>0</v>
      </c>
      <c r="AE468">
        <f t="shared" si="187"/>
        <v>0</v>
      </c>
    </row>
    <row r="469" spans="1:31" x14ac:dyDescent="0.2">
      <c r="A469" s="373">
        <v>53703</v>
      </c>
      <c r="B469" s="390">
        <f t="shared" si="207"/>
        <v>53.703000000000003</v>
      </c>
      <c r="C469" s="363">
        <f t="shared" si="188"/>
        <v>75.612981738604219</v>
      </c>
      <c r="D469" s="364">
        <f t="shared" si="189"/>
        <v>1.5575706989929954</v>
      </c>
      <c r="E469" s="364">
        <f t="shared" si="190"/>
        <v>1.2026479101790728</v>
      </c>
      <c r="F469" s="365">
        <f t="shared" si="191"/>
        <v>0.58899652427112636</v>
      </c>
      <c r="G469" s="364">
        <f t="shared" si="192"/>
        <v>1.571003905815191</v>
      </c>
      <c r="H469" s="365">
        <f t="shared" si="193"/>
        <v>-0.88079830715552876</v>
      </c>
      <c r="I469" s="363">
        <f t="shared" si="194"/>
        <v>222768.34984215957</v>
      </c>
      <c r="J469" s="366">
        <f t="shared" si="195"/>
        <v>1.570791837826869</v>
      </c>
      <c r="K469" s="374">
        <f t="shared" si="185"/>
        <v>67.263164320980792</v>
      </c>
      <c r="L469" s="375">
        <f t="shared" si="186"/>
        <v>1.555928800837709</v>
      </c>
      <c r="M469" s="363">
        <f t="shared" si="196"/>
        <v>2.6899420658885651</v>
      </c>
      <c r="N469" s="366">
        <f t="shared" si="197"/>
        <v>1.1898972951128379</v>
      </c>
      <c r="O469" s="367">
        <f t="shared" si="198"/>
        <v>1.244682872566353</v>
      </c>
      <c r="P469" s="368">
        <f t="shared" si="199"/>
        <v>0.85644789529991583</v>
      </c>
      <c r="Q469" s="369">
        <f t="shared" si="200"/>
        <v>-25.959248439077566</v>
      </c>
      <c r="R469" s="370">
        <f t="shared" si="201"/>
        <v>-224.05977034300611</v>
      </c>
      <c r="S469" s="372">
        <f t="shared" si="202"/>
        <v>-44.059770343006107</v>
      </c>
      <c r="U469" s="345">
        <f t="shared" si="208"/>
        <v>53703</v>
      </c>
      <c r="V469" s="345">
        <f t="shared" si="209"/>
        <v>2884012209</v>
      </c>
      <c r="X469" s="371">
        <f t="shared" si="203"/>
        <v>9.100291931762408</v>
      </c>
      <c r="Y469" s="372">
        <f t="shared" si="204"/>
        <v>-69.027682433099528</v>
      </c>
      <c r="AA469" s="371">
        <f t="shared" si="205"/>
        <v>25.501034101164898</v>
      </c>
      <c r="AB469" s="372">
        <f t="shared" si="206"/>
        <v>-155.03208790990658</v>
      </c>
      <c r="AD469">
        <f t="shared" si="210"/>
        <v>0</v>
      </c>
      <c r="AE469">
        <f t="shared" si="187"/>
        <v>0</v>
      </c>
    </row>
    <row r="470" spans="1:31" x14ac:dyDescent="0.2">
      <c r="A470" s="373">
        <v>54015.75</v>
      </c>
      <c r="B470" s="390">
        <f t="shared" si="207"/>
        <v>54.015749999999997</v>
      </c>
      <c r="C470" s="363">
        <f t="shared" si="188"/>
        <v>76.053252036658193</v>
      </c>
      <c r="D470" s="364">
        <f t="shared" si="189"/>
        <v>1.5576472662340386</v>
      </c>
      <c r="E470" s="364">
        <f t="shared" si="190"/>
        <v>1.2048137152510874</v>
      </c>
      <c r="F470" s="365">
        <f t="shared" si="191"/>
        <v>0.59168177284553147</v>
      </c>
      <c r="G470" s="364">
        <f t="shared" si="192"/>
        <v>1.5764523642161328</v>
      </c>
      <c r="H470" s="365">
        <f t="shared" si="193"/>
        <v>-0.88364743639263299</v>
      </c>
      <c r="I470" s="363">
        <f t="shared" si="194"/>
        <v>224065.68521284158</v>
      </c>
      <c r="J470" s="366">
        <f t="shared" si="195"/>
        <v>1.5707918638178948</v>
      </c>
      <c r="K470" s="374">
        <f t="shared" si="185"/>
        <v>67.654798279077426</v>
      </c>
      <c r="L470" s="375">
        <f t="shared" si="186"/>
        <v>1.5560148709099382</v>
      </c>
      <c r="M470" s="363">
        <f t="shared" si="196"/>
        <v>2.7034478894226925</v>
      </c>
      <c r="N470" s="366">
        <f t="shared" si="197"/>
        <v>1.1918970824465249</v>
      </c>
      <c r="O470" s="367">
        <f t="shared" si="198"/>
        <v>1.2474188779359843</v>
      </c>
      <c r="P470" s="368">
        <f t="shared" si="199"/>
        <v>0.86062996212933229</v>
      </c>
      <c r="Q470" s="369">
        <f t="shared" si="200"/>
        <v>-26.026561730502227</v>
      </c>
      <c r="R470" s="370">
        <f t="shared" si="201"/>
        <v>-224.42281118390434</v>
      </c>
      <c r="S470" s="372">
        <f t="shared" si="202"/>
        <v>-44.422811183904344</v>
      </c>
      <c r="U470" s="345">
        <f t="shared" si="208"/>
        <v>54015.75</v>
      </c>
      <c r="V470" s="345">
        <f t="shared" si="209"/>
        <v>2917701248.0625</v>
      </c>
      <c r="X470" s="371">
        <f t="shared" si="203"/>
        <v>9.0567793254928421</v>
      </c>
      <c r="Y470" s="372">
        <f t="shared" si="204"/>
        <v>-69.137331844663763</v>
      </c>
      <c r="AA470" s="371">
        <f t="shared" si="205"/>
        <v>25.477233416009799</v>
      </c>
      <c r="AB470" s="372">
        <f t="shared" si="206"/>
        <v>-155.28547933924054</v>
      </c>
      <c r="AD470">
        <f t="shared" si="210"/>
        <v>0</v>
      </c>
      <c r="AE470">
        <f t="shared" si="187"/>
        <v>0</v>
      </c>
    </row>
    <row r="471" spans="1:31" x14ac:dyDescent="0.2">
      <c r="A471" s="373">
        <v>54328.5</v>
      </c>
      <c r="B471" s="390">
        <f t="shared" si="207"/>
        <v>54.328499999999998</v>
      </c>
      <c r="C471" s="363">
        <f t="shared" si="188"/>
        <v>76.493522775445101</v>
      </c>
      <c r="D471" s="364">
        <f t="shared" si="189"/>
        <v>1.557722952085449</v>
      </c>
      <c r="E471" s="364">
        <f t="shared" si="190"/>
        <v>1.2069881764910411</v>
      </c>
      <c r="F471" s="365">
        <f t="shared" si="191"/>
        <v>0.59435736538351869</v>
      </c>
      <c r="G471" s="364">
        <f t="shared" si="192"/>
        <v>1.5819135313170041</v>
      </c>
      <c r="H471" s="365">
        <f t="shared" si="193"/>
        <v>-0.88647691663147954</v>
      </c>
      <c r="I471" s="363">
        <f t="shared" si="194"/>
        <v>225363.02058352373</v>
      </c>
      <c r="J471" s="366">
        <f t="shared" si="195"/>
        <v>1.5707918895096782</v>
      </c>
      <c r="K471" s="374">
        <f t="shared" ref="K471:K534" si="211">SQRT(1+(A471/Zero2)^2)</f>
        <v>68.046432732595591</v>
      </c>
      <c r="L471" s="375">
        <f t="shared" ref="L471:L534" si="212">ATAN(A471/Zero2)</f>
        <v>1.5560999502473671</v>
      </c>
      <c r="M471" s="363">
        <f t="shared" si="196"/>
        <v>2.7169644169374862</v>
      </c>
      <c r="N471" s="366">
        <f t="shared" si="197"/>
        <v>1.1938769802939961</v>
      </c>
      <c r="O471" s="367">
        <f t="shared" si="198"/>
        <v>1.2501684816424317</v>
      </c>
      <c r="P471" s="368">
        <f t="shared" si="199"/>
        <v>0.86480127209241298</v>
      </c>
      <c r="Q471" s="369">
        <f t="shared" si="200"/>
        <v>-26.093453670659969</v>
      </c>
      <c r="R471" s="370">
        <f t="shared" si="201"/>
        <v>-224.78352981147424</v>
      </c>
      <c r="S471" s="372">
        <f t="shared" si="202"/>
        <v>-44.783529811474239</v>
      </c>
      <c r="U471" s="345">
        <f t="shared" si="208"/>
        <v>54328.5</v>
      </c>
      <c r="V471" s="345">
        <f t="shared" si="209"/>
        <v>2951585912.25</v>
      </c>
      <c r="X471" s="371">
        <f t="shared" si="203"/>
        <v>9.0134494736500823</v>
      </c>
      <c r="Y471" s="372">
        <f t="shared" si="204"/>
        <v>-69.245898420387277</v>
      </c>
      <c r="AA471" s="371">
        <f t="shared" si="205"/>
        <v>25.453671327694817</v>
      </c>
      <c r="AB471" s="372">
        <f t="shared" si="206"/>
        <v>-155.53763139108696</v>
      </c>
      <c r="AD471">
        <f t="shared" si="210"/>
        <v>0</v>
      </c>
      <c r="AE471">
        <f t="shared" si="187"/>
        <v>0</v>
      </c>
    </row>
    <row r="472" spans="1:31" x14ac:dyDescent="0.2">
      <c r="A472" s="373">
        <v>54641.25</v>
      </c>
      <c r="B472" s="390">
        <f t="shared" si="207"/>
        <v>54.641249999999999</v>
      </c>
      <c r="C472" s="363">
        <f t="shared" si="188"/>
        <v>76.933793947398343</v>
      </c>
      <c r="D472" s="364">
        <f t="shared" si="189"/>
        <v>1.5577977716782112</v>
      </c>
      <c r="E472" s="364">
        <f t="shared" si="190"/>
        <v>1.2091712471995899</v>
      </c>
      <c r="F472" s="365">
        <f t="shared" si="191"/>
        <v>0.59702331577390788</v>
      </c>
      <c r="G472" s="364">
        <f t="shared" si="192"/>
        <v>1.5873872759507002</v>
      </c>
      <c r="H472" s="365">
        <f t="shared" si="193"/>
        <v>-0.88928690559755796</v>
      </c>
      <c r="I472" s="363">
        <f t="shared" si="194"/>
        <v>226660.35595420602</v>
      </c>
      <c r="J472" s="366">
        <f t="shared" si="195"/>
        <v>1.5707919149073577</v>
      </c>
      <c r="K472" s="374">
        <f t="shared" si="211"/>
        <v>68.43806767303019</v>
      </c>
      <c r="L472" s="375">
        <f t="shared" si="212"/>
        <v>1.5561840558571109</v>
      </c>
      <c r="M472" s="363">
        <f t="shared" si="196"/>
        <v>2.7304914894718437</v>
      </c>
      <c r="N472" s="366">
        <f t="shared" si="197"/>
        <v>1.1958372686189109</v>
      </c>
      <c r="O472" s="367">
        <f t="shared" si="198"/>
        <v>1.2529316591697948</v>
      </c>
      <c r="P472" s="368">
        <f t="shared" si="199"/>
        <v>0.86896183265457061</v>
      </c>
      <c r="Q472" s="369">
        <f t="shared" si="200"/>
        <v>-26.159929425530951</v>
      </c>
      <c r="R472" s="370">
        <f t="shared" si="201"/>
        <v>-225.14195082822278</v>
      </c>
      <c r="S472" s="372">
        <f t="shared" si="202"/>
        <v>-45.141950828222775</v>
      </c>
      <c r="U472" s="345">
        <f t="shared" si="208"/>
        <v>54641.25</v>
      </c>
      <c r="V472" s="345">
        <f t="shared" si="209"/>
        <v>2985666201.5625</v>
      </c>
      <c r="X472" s="371">
        <f t="shared" si="203"/>
        <v>8.9703012358281953</v>
      </c>
      <c r="Y472" s="372">
        <f t="shared" si="204"/>
        <v>-69.353397226864658</v>
      </c>
      <c r="AA472" s="371">
        <f t="shared" si="205"/>
        <v>25.430343810645727</v>
      </c>
      <c r="AB472" s="372">
        <f t="shared" si="206"/>
        <v>-155.7885536013581</v>
      </c>
      <c r="AD472">
        <f t="shared" si="210"/>
        <v>0</v>
      </c>
      <c r="AE472">
        <f t="shared" si="187"/>
        <v>0</v>
      </c>
    </row>
    <row r="473" spans="1:31" x14ac:dyDescent="0.2">
      <c r="A473" s="373">
        <v>54954</v>
      </c>
      <c r="B473" s="390">
        <f t="shared" si="207"/>
        <v>54.954000000000001</v>
      </c>
      <c r="C473" s="363">
        <f t="shared" si="188"/>
        <v>77.374065545123571</v>
      </c>
      <c r="D473" s="364">
        <f t="shared" si="189"/>
        <v>1.5578717397989579</v>
      </c>
      <c r="E473" s="364">
        <f t="shared" si="190"/>
        <v>1.2113628808297943</v>
      </c>
      <c r="F473" s="365">
        <f t="shared" si="191"/>
        <v>0.59967963835383253</v>
      </c>
      <c r="G473" s="364">
        <f t="shared" si="192"/>
        <v>1.592873468453061</v>
      </c>
      <c r="H473" s="365">
        <f t="shared" si="193"/>
        <v>-0.89207756008211259</v>
      </c>
      <c r="I473" s="363">
        <f t="shared" si="194"/>
        <v>227957.69132488847</v>
      </c>
      <c r="J473" s="366">
        <f t="shared" si="195"/>
        <v>1.5707919400159545</v>
      </c>
      <c r="K473" s="374">
        <f t="shared" si="211"/>
        <v>68.829703092069664</v>
      </c>
      <c r="L473" s="375">
        <f t="shared" si="212"/>
        <v>1.5562672043592636</v>
      </c>
      <c r="M473" s="363">
        <f t="shared" si="196"/>
        <v>2.7440289510763467</v>
      </c>
      <c r="N473" s="366">
        <f t="shared" si="197"/>
        <v>1.1977782224695206</v>
      </c>
      <c r="O473" s="367">
        <f t="shared" si="198"/>
        <v>1.2557083861517346</v>
      </c>
      <c r="P473" s="368">
        <f t="shared" si="199"/>
        <v>0.87311165175762229</v>
      </c>
      <c r="Q473" s="369">
        <f t="shared" si="200"/>
        <v>-26.225994081838778</v>
      </c>
      <c r="R473" s="370">
        <f t="shared" si="201"/>
        <v>-225.49809850554399</v>
      </c>
      <c r="S473" s="372">
        <f t="shared" si="202"/>
        <v>-45.498098505543993</v>
      </c>
      <c r="U473" s="345">
        <f t="shared" si="208"/>
        <v>54954</v>
      </c>
      <c r="V473" s="345">
        <f t="shared" si="209"/>
        <v>3019942116</v>
      </c>
      <c r="X473" s="371">
        <f t="shared" si="203"/>
        <v>8.9273334744404398</v>
      </c>
      <c r="Y473" s="372">
        <f t="shared" si="204"/>
        <v>-69.459843071226331</v>
      </c>
      <c r="AA473" s="371">
        <f t="shared" si="205"/>
        <v>25.407246915725654</v>
      </c>
      <c r="AB473" s="372">
        <f t="shared" si="206"/>
        <v>-156.03825543431765</v>
      </c>
      <c r="AD473">
        <f t="shared" si="210"/>
        <v>0</v>
      </c>
      <c r="AE473">
        <f t="shared" si="187"/>
        <v>0</v>
      </c>
    </row>
    <row r="474" spans="1:31" x14ac:dyDescent="0.2">
      <c r="A474" s="373">
        <v>55274</v>
      </c>
      <c r="B474" s="390">
        <f t="shared" si="207"/>
        <v>55.274000000000001</v>
      </c>
      <c r="C474" s="363">
        <f t="shared" si="188"/>
        <v>77.824543712161415</v>
      </c>
      <c r="D474" s="364">
        <f t="shared" si="189"/>
        <v>1.5579465563720578</v>
      </c>
      <c r="E474" s="364">
        <f t="shared" si="190"/>
        <v>1.2136141343015603</v>
      </c>
      <c r="F474" s="365">
        <f t="shared" si="191"/>
        <v>0.60238758859418939</v>
      </c>
      <c r="G474" s="364">
        <f t="shared" si="192"/>
        <v>1.59849958924752</v>
      </c>
      <c r="H474" s="365">
        <f t="shared" si="193"/>
        <v>-0.89491305656625209</v>
      </c>
      <c r="I474" s="363">
        <f t="shared" si="194"/>
        <v>229285.10081687386</v>
      </c>
      <c r="J474" s="366">
        <f t="shared" si="195"/>
        <v>1.5707919654125109</v>
      </c>
      <c r="K474" s="374">
        <f t="shared" si="211"/>
        <v>69.230417676791504</v>
      </c>
      <c r="L474" s="375">
        <f t="shared" si="212"/>
        <v>1.5563513066601085</v>
      </c>
      <c r="M474" s="363">
        <f t="shared" si="196"/>
        <v>2.7578908242744613</v>
      </c>
      <c r="N474" s="366">
        <f t="shared" si="197"/>
        <v>1.1997444403168938</v>
      </c>
      <c r="O474" s="367">
        <f t="shared" si="198"/>
        <v>1.2585634806869859</v>
      </c>
      <c r="P474" s="368">
        <f t="shared" si="199"/>
        <v>0.87734656063073169</v>
      </c>
      <c r="Q474" s="369">
        <f t="shared" si="200"/>
        <v>-26.29316993313499</v>
      </c>
      <c r="R474" s="370">
        <f t="shared" si="201"/>
        <v>-225.8601741788346</v>
      </c>
      <c r="S474" s="372">
        <f t="shared" si="202"/>
        <v>-45.860174178834598</v>
      </c>
      <c r="U474" s="345">
        <f t="shared" si="208"/>
        <v>55274</v>
      </c>
      <c r="V474" s="345">
        <f t="shared" si="209"/>
        <v>3055215076</v>
      </c>
      <c r="X474" s="371">
        <f t="shared" si="203"/>
        <v>8.8835552750144249</v>
      </c>
      <c r="Y474" s="372">
        <f t="shared" si="204"/>
        <v>-69.567681803837075</v>
      </c>
      <c r="AA474" s="371">
        <f t="shared" si="205"/>
        <v>25.383849263855453</v>
      </c>
      <c r="AB474" s="372">
        <f t="shared" si="206"/>
        <v>-156.29249237499755</v>
      </c>
      <c r="AD474">
        <f t="shared" si="210"/>
        <v>0</v>
      </c>
      <c r="AE474">
        <f t="shared" ref="AE474:AE537" si="213">IF(AD474&gt;0,S474,0)</f>
        <v>0</v>
      </c>
    </row>
    <row r="475" spans="1:31" x14ac:dyDescent="0.2">
      <c r="A475" s="373">
        <v>55594</v>
      </c>
      <c r="B475" s="390">
        <f t="shared" si="207"/>
        <v>55.594000000000001</v>
      </c>
      <c r="C475" s="363">
        <f t="shared" si="188"/>
        <v>78.275022309809572</v>
      </c>
      <c r="D475" s="364">
        <f t="shared" si="189"/>
        <v>1.5580205117956396</v>
      </c>
      <c r="E475" s="364">
        <f t="shared" si="190"/>
        <v>1.2158742542056311</v>
      </c>
      <c r="F475" s="365">
        <f t="shared" si="191"/>
        <v>0.60508549124593214</v>
      </c>
      <c r="G475" s="364">
        <f t="shared" si="192"/>
        <v>1.6041384718326224</v>
      </c>
      <c r="H475" s="365">
        <f t="shared" si="193"/>
        <v>-0.89772864082788539</v>
      </c>
      <c r="I475" s="363">
        <f t="shared" si="194"/>
        <v>230612.51030885938</v>
      </c>
      <c r="J475" s="366">
        <f t="shared" si="195"/>
        <v>1.5707919905167014</v>
      </c>
      <c r="K475" s="374">
        <f t="shared" si="211"/>
        <v>69.631132745557693</v>
      </c>
      <c r="L475" s="375">
        <f t="shared" si="212"/>
        <v>1.5564344409732829</v>
      </c>
      <c r="M475" s="363">
        <f t="shared" si="196"/>
        <v>2.7717632528454859</v>
      </c>
      <c r="N475" s="366">
        <f t="shared" si="197"/>
        <v>1.201690984136087</v>
      </c>
      <c r="O475" s="367">
        <f t="shared" si="198"/>
        <v>1.2614327090242137</v>
      </c>
      <c r="P475" s="368">
        <f t="shared" si="199"/>
        <v>0.88157024258201955</v>
      </c>
      <c r="Q475" s="369">
        <f t="shared" si="200"/>
        <v>-26.359925931094427</v>
      </c>
      <c r="R475" s="370">
        <f t="shared" si="201"/>
        <v>-226.21992026083998</v>
      </c>
      <c r="S475" s="372">
        <f t="shared" si="202"/>
        <v>-46.219920260839984</v>
      </c>
      <c r="U475" s="345">
        <f t="shared" si="208"/>
        <v>55594</v>
      </c>
      <c r="V475" s="345">
        <f t="shared" si="209"/>
        <v>3090692836</v>
      </c>
      <c r="X475" s="371">
        <f t="shared" si="203"/>
        <v>8.8399636171199276</v>
      </c>
      <c r="Y475" s="372">
        <f t="shared" si="204"/>
        <v>-69.674448742522671</v>
      </c>
      <c r="AA475" s="371">
        <f t="shared" si="205"/>
        <v>25.360684923790515</v>
      </c>
      <c r="AB475" s="372">
        <f t="shared" si="206"/>
        <v>-156.54547151831733</v>
      </c>
      <c r="AD475">
        <f t="shared" si="210"/>
        <v>0</v>
      </c>
      <c r="AE475">
        <f t="shared" si="213"/>
        <v>0</v>
      </c>
    </row>
    <row r="476" spans="1:31" x14ac:dyDescent="0.2">
      <c r="A476" s="373">
        <v>55914</v>
      </c>
      <c r="B476" s="390">
        <f t="shared" si="207"/>
        <v>55.914000000000001</v>
      </c>
      <c r="C476" s="363">
        <f t="shared" si="188"/>
        <v>78.725501330675996</v>
      </c>
      <c r="D476" s="364">
        <f t="shared" si="189"/>
        <v>1.5580936208517633</v>
      </c>
      <c r="E476" s="364">
        <f t="shared" si="190"/>
        <v>1.2181431911901741</v>
      </c>
      <c r="F476" s="365">
        <f t="shared" si="191"/>
        <v>0.6077733630702985</v>
      </c>
      <c r="G476" s="364">
        <f t="shared" si="192"/>
        <v>1.6097899820997519</v>
      </c>
      <c r="H476" s="365">
        <f t="shared" si="193"/>
        <v>-0.90052447770886834</v>
      </c>
      <c r="I476" s="363">
        <f t="shared" si="194"/>
        <v>231939.91980084503</v>
      </c>
      <c r="J476" s="366">
        <f t="shared" si="195"/>
        <v>1.5707920153335455</v>
      </c>
      <c r="K476" s="374">
        <f t="shared" si="211"/>
        <v>70.031848290059244</v>
      </c>
      <c r="L476" s="375">
        <f t="shared" si="212"/>
        <v>1.5565166239138264</v>
      </c>
      <c r="M476" s="363">
        <f t="shared" si="196"/>
        <v>2.7856460790931639</v>
      </c>
      <c r="N476" s="366">
        <f t="shared" si="197"/>
        <v>1.2036181332133051</v>
      </c>
      <c r="O476" s="367">
        <f t="shared" si="198"/>
        <v>1.2643160455554157</v>
      </c>
      <c r="P476" s="368">
        <f t="shared" si="199"/>
        <v>0.88578270761591593</v>
      </c>
      <c r="Q476" s="369">
        <f t="shared" si="200"/>
        <v>-26.426267275753172</v>
      </c>
      <c r="R476" s="370">
        <f t="shared" si="201"/>
        <v>-226.57736170635266</v>
      </c>
      <c r="S476" s="372">
        <f t="shared" si="202"/>
        <v>-46.577361706352661</v>
      </c>
      <c r="U476" s="345">
        <f t="shared" si="208"/>
        <v>55914</v>
      </c>
      <c r="V476" s="345">
        <f t="shared" si="209"/>
        <v>3126375396</v>
      </c>
      <c r="X476" s="371">
        <f t="shared" si="203"/>
        <v>8.7965572930870763</v>
      </c>
      <c r="Y476" s="372">
        <f t="shared" si="204"/>
        <v>-69.780158937519914</v>
      </c>
      <c r="AA476" s="371">
        <f t="shared" si="205"/>
        <v>25.337749903164621</v>
      </c>
      <c r="AB476" s="372">
        <f t="shared" si="206"/>
        <v>-156.79720276883279</v>
      </c>
      <c r="AD476">
        <f t="shared" si="210"/>
        <v>0</v>
      </c>
      <c r="AE476">
        <f t="shared" si="213"/>
        <v>0</v>
      </c>
    </row>
    <row r="477" spans="1:31" x14ac:dyDescent="0.2">
      <c r="A477" s="373">
        <v>56234</v>
      </c>
      <c r="B477" s="390">
        <f t="shared" si="207"/>
        <v>56.234000000000002</v>
      </c>
      <c r="C477" s="363">
        <f t="shared" si="188"/>
        <v>79.175980767536871</v>
      </c>
      <c r="D477" s="364">
        <f t="shared" si="189"/>
        <v>1.5581658979861108</v>
      </c>
      <c r="E477" s="364">
        <f t="shared" si="190"/>
        <v>1.2204208960785494</v>
      </c>
      <c r="F477" s="365">
        <f t="shared" si="191"/>
        <v>0.61045122128387608</v>
      </c>
      <c r="G477" s="364">
        <f t="shared" si="192"/>
        <v>1.615453987518723</v>
      </c>
      <c r="H477" s="365">
        <f t="shared" si="193"/>
        <v>-0.90330073098184149</v>
      </c>
      <c r="I477" s="363">
        <f t="shared" si="194"/>
        <v>233267.32929283087</v>
      </c>
      <c r="J477" s="366">
        <f t="shared" si="195"/>
        <v>1.5707920398679487</v>
      </c>
      <c r="K477" s="374">
        <f t="shared" si="211"/>
        <v>70.432564302176303</v>
      </c>
      <c r="L477" s="375">
        <f t="shared" si="212"/>
        <v>1.5565978717187157</v>
      </c>
      <c r="M477" s="363">
        <f t="shared" si="196"/>
        <v>2.7995391483322489</v>
      </c>
      <c r="N477" s="366">
        <f t="shared" si="197"/>
        <v>1.2055261618732676</v>
      </c>
      <c r="O477" s="367">
        <f t="shared" si="198"/>
        <v>1.2672134648405922</v>
      </c>
      <c r="P477" s="368">
        <f t="shared" si="199"/>
        <v>0.88998396622454268</v>
      </c>
      <c r="Q477" s="369">
        <f t="shared" si="200"/>
        <v>-26.492199086224648</v>
      </c>
      <c r="R477" s="370">
        <f t="shared" si="201"/>
        <v>-226.93252312886631</v>
      </c>
      <c r="S477" s="372">
        <f t="shared" si="202"/>
        <v>-46.932523128866308</v>
      </c>
      <c r="U477" s="345">
        <f t="shared" si="208"/>
        <v>56234</v>
      </c>
      <c r="V477" s="345">
        <f t="shared" si="209"/>
        <v>3162262756</v>
      </c>
      <c r="X477" s="371">
        <f t="shared" si="203"/>
        <v>8.7533350994403474</v>
      </c>
      <c r="Y477" s="372">
        <f t="shared" si="204"/>
        <v>-69.884827176448269</v>
      </c>
      <c r="AA477" s="371">
        <f t="shared" si="205"/>
        <v>25.315040286339872</v>
      </c>
      <c r="AB477" s="372">
        <f t="shared" si="206"/>
        <v>-157.04769595241808</v>
      </c>
      <c r="AD477">
        <f t="shared" si="210"/>
        <v>0</v>
      </c>
      <c r="AE477">
        <f t="shared" si="213"/>
        <v>0</v>
      </c>
    </row>
    <row r="478" spans="1:31" x14ac:dyDescent="0.2">
      <c r="A478" s="373">
        <v>56561.5</v>
      </c>
      <c r="B478" s="390">
        <f t="shared" si="207"/>
        <v>56.561500000000002</v>
      </c>
      <c r="C478" s="363">
        <f t="shared" si="188"/>
        <v>79.637018739566045</v>
      </c>
      <c r="D478" s="364">
        <f t="shared" si="189"/>
        <v>1.5582390224495908</v>
      </c>
      <c r="E478" s="364">
        <f t="shared" si="190"/>
        <v>1.22276101210296</v>
      </c>
      <c r="F478" s="365">
        <f t="shared" si="191"/>
        <v>0.61318149183160653</v>
      </c>
      <c r="G478" s="364">
        <f t="shared" si="192"/>
        <v>1.6212635442717891</v>
      </c>
      <c r="H478" s="365">
        <f t="shared" si="193"/>
        <v>-0.9061219449856821</v>
      </c>
      <c r="I478" s="363">
        <f t="shared" si="194"/>
        <v>234625.84994478524</v>
      </c>
      <c r="J478" s="366">
        <f t="shared" si="195"/>
        <v>1.5707920646899314</v>
      </c>
      <c r="K478" s="374">
        <f t="shared" si="211"/>
        <v>70.842672571730489</v>
      </c>
      <c r="L478" s="375">
        <f t="shared" si="212"/>
        <v>1.5566800720587297</v>
      </c>
      <c r="M478" s="363">
        <f t="shared" si="196"/>
        <v>2.81376828396245</v>
      </c>
      <c r="N478" s="366">
        <f t="shared" si="197"/>
        <v>1.2074593932469961</v>
      </c>
      <c r="O478" s="367">
        <f t="shared" si="198"/>
        <v>1.2701933477391558</v>
      </c>
      <c r="P478" s="368">
        <f t="shared" si="199"/>
        <v>0.89427209980432276</v>
      </c>
      <c r="Q478" s="369">
        <f t="shared" si="200"/>
        <v>-26.559257387616494</v>
      </c>
      <c r="R478" s="370">
        <f t="shared" si="201"/>
        <v>-227.29367317290914</v>
      </c>
      <c r="S478" s="372">
        <f t="shared" si="202"/>
        <v>-47.293673172909138</v>
      </c>
      <c r="U478" s="345">
        <f t="shared" si="208"/>
        <v>56561.5</v>
      </c>
      <c r="V478" s="345">
        <f t="shared" si="209"/>
        <v>3199203282.25</v>
      </c>
      <c r="X478" s="371">
        <f t="shared" si="203"/>
        <v>8.7092892887284314</v>
      </c>
      <c r="Y478" s="372">
        <f t="shared" si="204"/>
        <v>-69.990884864743862</v>
      </c>
      <c r="AA478" s="371">
        <f t="shared" si="205"/>
        <v>25.292027795659948</v>
      </c>
      <c r="AB478" s="372">
        <f t="shared" si="206"/>
        <v>-157.30278830816528</v>
      </c>
      <c r="AD478">
        <f t="shared" si="210"/>
        <v>0</v>
      </c>
      <c r="AE478">
        <f t="shared" si="213"/>
        <v>0</v>
      </c>
    </row>
    <row r="479" spans="1:31" x14ac:dyDescent="0.2">
      <c r="A479" s="373">
        <v>56889</v>
      </c>
      <c r="B479" s="390">
        <f t="shared" si="207"/>
        <v>56.889000000000003</v>
      </c>
      <c r="C479" s="363">
        <f t="shared" si="188"/>
        <v>80.098057132527131</v>
      </c>
      <c r="D479" s="364">
        <f t="shared" si="189"/>
        <v>1.5583113051156288</v>
      </c>
      <c r="E479" s="364">
        <f t="shared" si="190"/>
        <v>1.2251102081883947</v>
      </c>
      <c r="F479" s="365">
        <f t="shared" si="191"/>
        <v>0.61590131179106533</v>
      </c>
      <c r="G479" s="364">
        <f t="shared" si="192"/>
        <v>1.6270859128560682</v>
      </c>
      <c r="H479" s="365">
        <f t="shared" si="193"/>
        <v>-0.90892299027161605</v>
      </c>
      <c r="I479" s="363">
        <f t="shared" si="194"/>
        <v>235984.37059673975</v>
      </c>
      <c r="J479" s="366">
        <f t="shared" si="195"/>
        <v>1.5707920892261227</v>
      </c>
      <c r="K479" s="374">
        <f t="shared" si="211"/>
        <v>71.252781314450999</v>
      </c>
      <c r="L479" s="375">
        <f t="shared" si="212"/>
        <v>1.5567613261603486</v>
      </c>
      <c r="M479" s="363">
        <f t="shared" si="196"/>
        <v>2.8280078298772051</v>
      </c>
      <c r="N479" s="366">
        <f t="shared" si="197"/>
        <v>1.2093731633535802</v>
      </c>
      <c r="O479" s="367">
        <f t="shared" si="198"/>
        <v>1.2731879278820617</v>
      </c>
      <c r="P479" s="368">
        <f t="shared" si="199"/>
        <v>0.89854851926646828</v>
      </c>
      <c r="Q479" s="369">
        <f t="shared" si="200"/>
        <v>-26.625897328908824</v>
      </c>
      <c r="R479" s="370">
        <f t="shared" si="201"/>
        <v>-227.65248615881509</v>
      </c>
      <c r="S479" s="372">
        <f t="shared" si="202"/>
        <v>-47.652486158815094</v>
      </c>
      <c r="U479" s="345">
        <f t="shared" si="208"/>
        <v>56889</v>
      </c>
      <c r="V479" s="345">
        <f t="shared" si="209"/>
        <v>3236358321</v>
      </c>
      <c r="X479" s="371">
        <f t="shared" si="203"/>
        <v>8.6654338044952937</v>
      </c>
      <c r="Y479" s="372">
        <f t="shared" si="204"/>
        <v>-70.095881703658748</v>
      </c>
      <c r="AA479" s="371">
        <f t="shared" si="205"/>
        <v>25.269243338600759</v>
      </c>
      <c r="AB479" s="372">
        <f t="shared" si="206"/>
        <v>-157.55660445515639</v>
      </c>
      <c r="AD479">
        <f t="shared" si="210"/>
        <v>0</v>
      </c>
      <c r="AE479">
        <f t="shared" si="213"/>
        <v>0</v>
      </c>
    </row>
    <row r="480" spans="1:31" x14ac:dyDescent="0.2">
      <c r="A480" s="373">
        <v>57216.5</v>
      </c>
      <c r="B480" s="390">
        <f t="shared" si="207"/>
        <v>57.216500000000003</v>
      </c>
      <c r="C480" s="363">
        <f t="shared" si="188"/>
        <v>80.559095939193156</v>
      </c>
      <c r="D480" s="364">
        <f t="shared" si="189"/>
        <v>1.558382760436255</v>
      </c>
      <c r="E480" s="364">
        <f t="shared" si="190"/>
        <v>1.2274684322011051</v>
      </c>
      <c r="F480" s="365">
        <f t="shared" si="191"/>
        <v>0.61861070104111127</v>
      </c>
      <c r="G480" s="364">
        <f t="shared" si="192"/>
        <v>1.6329209562253675</v>
      </c>
      <c r="H480" s="365">
        <f t="shared" si="193"/>
        <v>-0.91170403886196039</v>
      </c>
      <c r="I480" s="363">
        <f t="shared" si="194"/>
        <v>237342.89124869439</v>
      </c>
      <c r="J480" s="366">
        <f t="shared" si="195"/>
        <v>1.5707921134814296</v>
      </c>
      <c r="K480" s="374">
        <f t="shared" si="211"/>
        <v>71.662890522214425</v>
      </c>
      <c r="L480" s="375">
        <f t="shared" si="212"/>
        <v>1.5568416502677633</v>
      </c>
      <c r="M480" s="363">
        <f t="shared" si="196"/>
        <v>2.8422576296117534</v>
      </c>
      <c r="N480" s="366">
        <f t="shared" si="197"/>
        <v>1.2112677507783918</v>
      </c>
      <c r="O480" s="367">
        <f t="shared" si="198"/>
        <v>1.2761971785507416</v>
      </c>
      <c r="P480" s="368">
        <f t="shared" si="199"/>
        <v>0.90281323738902197</v>
      </c>
      <c r="Q480" s="369">
        <f t="shared" si="200"/>
        <v>-26.692124143642868</v>
      </c>
      <c r="R480" s="370">
        <f t="shared" si="201"/>
        <v>-228.00898739525417</v>
      </c>
      <c r="S480" s="372">
        <f t="shared" si="202"/>
        <v>-48.008987395254167</v>
      </c>
      <c r="U480" s="345">
        <f t="shared" si="208"/>
        <v>57216.5</v>
      </c>
      <c r="V480" s="345">
        <f t="shared" si="209"/>
        <v>3273727872.25</v>
      </c>
      <c r="X480" s="371">
        <f t="shared" si="203"/>
        <v>8.6217673718142969</v>
      </c>
      <c r="Y480" s="372">
        <f t="shared" si="204"/>
        <v>-70.199832724516469</v>
      </c>
      <c r="AA480" s="371">
        <f t="shared" si="205"/>
        <v>25.246682956547705</v>
      </c>
      <c r="AB480" s="372">
        <f t="shared" si="206"/>
        <v>-157.80915467073766</v>
      </c>
      <c r="AD480">
        <f t="shared" si="210"/>
        <v>0</v>
      </c>
      <c r="AE480">
        <f t="shared" si="213"/>
        <v>0</v>
      </c>
    </row>
    <row r="481" spans="1:31" x14ac:dyDescent="0.2">
      <c r="A481" s="373">
        <v>57544</v>
      </c>
      <c r="B481" s="390">
        <f t="shared" si="207"/>
        <v>57.543999999999997</v>
      </c>
      <c r="C481" s="363">
        <f t="shared" si="188"/>
        <v>81.020135152501666</v>
      </c>
      <c r="D481" s="364">
        <f t="shared" si="189"/>
        <v>1.5584534025345811</v>
      </c>
      <c r="E481" s="364">
        <f t="shared" si="190"/>
        <v>1.2298356322076283</v>
      </c>
      <c r="F481" s="365">
        <f t="shared" si="191"/>
        <v>0.62130967992098074</v>
      </c>
      <c r="G481" s="364">
        <f t="shared" si="192"/>
        <v>1.6387685389891502</v>
      </c>
      <c r="H481" s="365">
        <f t="shared" si="193"/>
        <v>-0.9144652615690062</v>
      </c>
      <c r="I481" s="363">
        <f t="shared" si="194"/>
        <v>238701.4119006492</v>
      </c>
      <c r="J481" s="366">
        <f t="shared" si="195"/>
        <v>1.5707921374606484</v>
      </c>
      <c r="K481" s="374">
        <f t="shared" si="211"/>
        <v>72.073000187082201</v>
      </c>
      <c r="L481" s="375">
        <f t="shared" si="212"/>
        <v>1.5569210602554828</v>
      </c>
      <c r="M481" s="363">
        <f t="shared" si="196"/>
        <v>2.856517529711891</v>
      </c>
      <c r="N481" s="366">
        <f t="shared" si="197"/>
        <v>1.2131434291008107</v>
      </c>
      <c r="O481" s="367">
        <f t="shared" si="198"/>
        <v>1.2792210732147056</v>
      </c>
      <c r="P481" s="368">
        <f t="shared" si="199"/>
        <v>0.9070662674474802</v>
      </c>
      <c r="Q481" s="369">
        <f t="shared" si="200"/>
        <v>-26.757942982747679</v>
      </c>
      <c r="R481" s="370">
        <f t="shared" si="201"/>
        <v>-228.3632018391981</v>
      </c>
      <c r="S481" s="372">
        <f t="shared" si="202"/>
        <v>-48.363201839198098</v>
      </c>
      <c r="U481" s="345">
        <f t="shared" si="208"/>
        <v>57544</v>
      </c>
      <c r="V481" s="345">
        <f t="shared" si="209"/>
        <v>3311311936</v>
      </c>
      <c r="X481" s="371">
        <f t="shared" si="203"/>
        <v>8.578288721336941</v>
      </c>
      <c r="Y481" s="372">
        <f t="shared" si="204"/>
        <v>-70.30275269299338</v>
      </c>
      <c r="AA481" s="371">
        <f t="shared" si="205"/>
        <v>25.224342767920248</v>
      </c>
      <c r="AB481" s="372">
        <f t="shared" si="206"/>
        <v>-158.06044914620472</v>
      </c>
      <c r="AD481">
        <f t="shared" si="210"/>
        <v>0</v>
      </c>
      <c r="AE481">
        <f t="shared" si="213"/>
        <v>0</v>
      </c>
    </row>
    <row r="482" spans="1:31" x14ac:dyDescent="0.2">
      <c r="A482" s="373">
        <v>57879</v>
      </c>
      <c r="B482" s="390">
        <f t="shared" si="207"/>
        <v>57.878999999999998</v>
      </c>
      <c r="C482" s="363">
        <f t="shared" si="188"/>
        <v>81.491732929255889</v>
      </c>
      <c r="D482" s="364">
        <f t="shared" si="189"/>
        <v>1.5585248354086572</v>
      </c>
      <c r="E482" s="364">
        <f t="shared" si="190"/>
        <v>1.2322662756552656</v>
      </c>
      <c r="F482" s="365">
        <f t="shared" si="191"/>
        <v>0.62405971844570252</v>
      </c>
      <c r="G482" s="364">
        <f t="shared" si="192"/>
        <v>1.6447628698569521</v>
      </c>
      <c r="H482" s="365">
        <f t="shared" si="193"/>
        <v>-0.91726938305724803</v>
      </c>
      <c r="I482" s="363">
        <f t="shared" si="194"/>
        <v>240091.04371257257</v>
      </c>
      <c r="J482" s="366">
        <f t="shared" si="195"/>
        <v>1.5707921617082505</v>
      </c>
      <c r="K482" s="374">
        <f t="shared" si="211"/>
        <v>72.492502141174853</v>
      </c>
      <c r="L482" s="375">
        <f t="shared" si="212"/>
        <v>1.5570013592048442</v>
      </c>
      <c r="M482" s="363">
        <f t="shared" si="196"/>
        <v>2.8711142854888205</v>
      </c>
      <c r="N482" s="366">
        <f t="shared" si="197"/>
        <v>1.21504277834942</v>
      </c>
      <c r="O482" s="367">
        <f t="shared" si="198"/>
        <v>1.2823293407877989</v>
      </c>
      <c r="P482" s="368">
        <f t="shared" si="199"/>
        <v>0.91140461686511531</v>
      </c>
      <c r="Q482" s="369">
        <f t="shared" si="200"/>
        <v>-26.824852311318985</v>
      </c>
      <c r="R482" s="370">
        <f t="shared" si="201"/>
        <v>-228.72318777320348</v>
      </c>
      <c r="S482" s="372">
        <f t="shared" si="202"/>
        <v>-48.723187773203477</v>
      </c>
      <c r="U482" s="345">
        <f t="shared" si="208"/>
        <v>57879</v>
      </c>
      <c r="V482" s="345">
        <f t="shared" si="209"/>
        <v>3349978641</v>
      </c>
      <c r="X482" s="371">
        <f t="shared" si="203"/>
        <v>8.5340073413118773</v>
      </c>
      <c r="Y482" s="372">
        <f t="shared" si="204"/>
        <v>-70.406977987266643</v>
      </c>
      <c r="AA482" s="371">
        <f t="shared" si="205"/>
        <v>25.201714819374011</v>
      </c>
      <c r="AB482" s="372">
        <f t="shared" si="206"/>
        <v>-158.31620978593682</v>
      </c>
      <c r="AD482">
        <f t="shared" si="210"/>
        <v>0</v>
      </c>
      <c r="AE482">
        <f t="shared" si="213"/>
        <v>0</v>
      </c>
    </row>
    <row r="483" spans="1:31" x14ac:dyDescent="0.2">
      <c r="A483" s="373">
        <v>58214</v>
      </c>
      <c r="B483" s="390">
        <f t="shared" si="207"/>
        <v>58.213999999999999</v>
      </c>
      <c r="C483" s="363">
        <f t="shared" si="188"/>
        <v>81.96333111704925</v>
      </c>
      <c r="D483" s="364">
        <f t="shared" si="189"/>
        <v>1.5585954462663782</v>
      </c>
      <c r="E483" s="364">
        <f t="shared" si="190"/>
        <v>1.234706201644834</v>
      </c>
      <c r="F483" s="365">
        <f t="shared" si="191"/>
        <v>0.62679890881307476</v>
      </c>
      <c r="G483" s="364">
        <f t="shared" si="192"/>
        <v>1.6507700396712262</v>
      </c>
      <c r="H483" s="365">
        <f t="shared" si="193"/>
        <v>-0.92005311784571175</v>
      </c>
      <c r="I483" s="363">
        <f t="shared" si="194"/>
        <v>241480.67552449607</v>
      </c>
      <c r="J483" s="366">
        <f t="shared" si="195"/>
        <v>1.570792185676781</v>
      </c>
      <c r="K483" s="374">
        <f t="shared" si="211"/>
        <v>72.912004557314745</v>
      </c>
      <c r="L483" s="375">
        <f t="shared" si="212"/>
        <v>1.557080734147658</v>
      </c>
      <c r="M483" s="363">
        <f t="shared" si="196"/>
        <v>2.8857212940847128</v>
      </c>
      <c r="N483" s="366">
        <f t="shared" si="197"/>
        <v>1.2169229059865299</v>
      </c>
      <c r="O483" s="367">
        <f t="shared" si="198"/>
        <v>1.2854528752046404</v>
      </c>
      <c r="P483" s="368">
        <f t="shared" si="199"/>
        <v>0.9157307664102432</v>
      </c>
      <c r="Q483" s="369">
        <f t="shared" si="200"/>
        <v>-26.891345408650743</v>
      </c>
      <c r="R483" s="370">
        <f t="shared" si="201"/>
        <v>-229.08083269818061</v>
      </c>
      <c r="S483" s="372">
        <f t="shared" si="202"/>
        <v>-49.080832698180615</v>
      </c>
      <c r="U483" s="345">
        <f t="shared" si="208"/>
        <v>58214</v>
      </c>
      <c r="V483" s="345">
        <f t="shared" si="209"/>
        <v>3388869796</v>
      </c>
      <c r="X483" s="371">
        <f t="shared" si="203"/>
        <v>8.4899197747206081</v>
      </c>
      <c r="Y483" s="372">
        <f t="shared" si="204"/>
        <v>-70.51015489001017</v>
      </c>
      <c r="AA483" s="371">
        <f t="shared" si="205"/>
        <v>25.179309288633519</v>
      </c>
      <c r="AB483" s="372">
        <f t="shared" si="206"/>
        <v>-158.5706778081705</v>
      </c>
      <c r="AD483">
        <f t="shared" si="210"/>
        <v>0</v>
      </c>
      <c r="AE483">
        <f t="shared" si="213"/>
        <v>0</v>
      </c>
    </row>
    <row r="484" spans="1:31" x14ac:dyDescent="0.2">
      <c r="A484" s="373">
        <v>58549</v>
      </c>
      <c r="B484" s="390">
        <f t="shared" si="207"/>
        <v>58.548999999999999</v>
      </c>
      <c r="C484" s="363">
        <f t="shared" si="188"/>
        <v>82.434929708827241</v>
      </c>
      <c r="D484" s="364">
        <f t="shared" si="189"/>
        <v>1.5586652492149529</v>
      </c>
      <c r="E484" s="364">
        <f t="shared" si="190"/>
        <v>1.237155355255062</v>
      </c>
      <c r="F484" s="365">
        <f t="shared" si="191"/>
        <v>0.62952727422383636</v>
      </c>
      <c r="G484" s="364">
        <f t="shared" si="192"/>
        <v>1.6567899087780644</v>
      </c>
      <c r="H484" s="365">
        <f t="shared" si="193"/>
        <v>-0.92281664477800018</v>
      </c>
      <c r="I484" s="363">
        <f t="shared" si="194"/>
        <v>242870.3073364197</v>
      </c>
      <c r="J484" s="366">
        <f t="shared" si="195"/>
        <v>1.5707922093710296</v>
      </c>
      <c r="K484" s="374">
        <f t="shared" si="211"/>
        <v>73.331507427572276</v>
      </c>
      <c r="L484" s="375">
        <f t="shared" si="212"/>
        <v>1.5571592009406316</v>
      </c>
      <c r="M484" s="363">
        <f t="shared" si="196"/>
        <v>2.9003384005903925</v>
      </c>
      <c r="N484" s="366">
        <f t="shared" si="197"/>
        <v>1.2187840892376236</v>
      </c>
      <c r="O484" s="367">
        <f t="shared" si="198"/>
        <v>1.2885916486859779</v>
      </c>
      <c r="P484" s="368">
        <f t="shared" si="199"/>
        <v>0.92004473184622249</v>
      </c>
      <c r="Q484" s="369">
        <f t="shared" si="200"/>
        <v>-26.957427529028884</v>
      </c>
      <c r="R484" s="370">
        <f t="shared" si="201"/>
        <v>-229.43616221886845</v>
      </c>
      <c r="S484" s="372">
        <f t="shared" si="202"/>
        <v>-49.436162218868446</v>
      </c>
      <c r="U484" s="345">
        <f t="shared" si="208"/>
        <v>58549</v>
      </c>
      <c r="V484" s="345">
        <f t="shared" si="209"/>
        <v>3427985401</v>
      </c>
      <c r="X484" s="371">
        <f t="shared" si="203"/>
        <v>8.4460246824299468</v>
      </c>
      <c r="Y484" s="372">
        <f t="shared" si="204"/>
        <v>-70.612298376826118</v>
      </c>
      <c r="AA484" s="371">
        <f t="shared" si="205"/>
        <v>25.157122260546036</v>
      </c>
      <c r="AB484" s="372">
        <f t="shared" si="206"/>
        <v>-158.82386384204236</v>
      </c>
      <c r="AD484">
        <f t="shared" si="210"/>
        <v>0</v>
      </c>
      <c r="AE484">
        <f t="shared" si="213"/>
        <v>0</v>
      </c>
    </row>
    <row r="485" spans="1:31" x14ac:dyDescent="0.2">
      <c r="A485" s="373">
        <v>58884</v>
      </c>
      <c r="B485" s="390">
        <f t="shared" si="207"/>
        <v>58.884</v>
      </c>
      <c r="C485" s="363">
        <f t="shared" si="188"/>
        <v>82.906528697695904</v>
      </c>
      <c r="D485" s="364">
        <f t="shared" si="189"/>
        <v>1.5587342580406356</v>
      </c>
      <c r="E485" s="364">
        <f t="shared" si="190"/>
        <v>1.23961368179183</v>
      </c>
      <c r="F485" s="365">
        <f t="shared" si="191"/>
        <v>0.63224483834036393</v>
      </c>
      <c r="G485" s="364">
        <f t="shared" si="192"/>
        <v>1.6628223392527941</v>
      </c>
      <c r="H485" s="365">
        <f t="shared" si="193"/>
        <v>-0.92556014134530451</v>
      </c>
      <c r="I485" s="363">
        <f t="shared" si="194"/>
        <v>244259.93914834352</v>
      </c>
      <c r="J485" s="366">
        <f t="shared" si="195"/>
        <v>1.570792232795678</v>
      </c>
      <c r="K485" s="374">
        <f t="shared" si="211"/>
        <v>73.75101074419824</v>
      </c>
      <c r="L485" s="375">
        <f t="shared" si="212"/>
        <v>1.5572367750797387</v>
      </c>
      <c r="M485" s="363">
        <f t="shared" si="196"/>
        <v>2.9149654530978295</v>
      </c>
      <c r="N485" s="366">
        <f t="shared" si="197"/>
        <v>1.2206266002945769</v>
      </c>
      <c r="O485" s="367">
        <f t="shared" si="198"/>
        <v>1.291745633661795</v>
      </c>
      <c r="P485" s="368">
        <f t="shared" si="199"/>
        <v>0.92434652944025542</v>
      </c>
      <c r="Q485" s="369">
        <f t="shared" si="200"/>
        <v>-27.023103842676313</v>
      </c>
      <c r="R485" s="370">
        <f t="shared" si="201"/>
        <v>-229.78920157880515</v>
      </c>
      <c r="S485" s="372">
        <f t="shared" si="202"/>
        <v>-49.789201578805148</v>
      </c>
      <c r="U485" s="345">
        <f t="shared" si="208"/>
        <v>58884</v>
      </c>
      <c r="V485" s="345">
        <f t="shared" si="209"/>
        <v>3467325456</v>
      </c>
      <c r="X485" s="371">
        <f t="shared" si="203"/>
        <v>8.4023207322565217</v>
      </c>
      <c r="Y485" s="372">
        <f t="shared" si="204"/>
        <v>-70.71342315557456</v>
      </c>
      <c r="AA485" s="371">
        <f t="shared" si="205"/>
        <v>25.135149897072036</v>
      </c>
      <c r="AB485" s="372">
        <f t="shared" si="206"/>
        <v>-159.07577842323053</v>
      </c>
      <c r="AD485">
        <f t="shared" si="210"/>
        <v>0</v>
      </c>
      <c r="AE485">
        <f t="shared" si="213"/>
        <v>0</v>
      </c>
    </row>
    <row r="486" spans="1:31" x14ac:dyDescent="0.2">
      <c r="A486" s="373">
        <v>59227</v>
      </c>
      <c r="B486" s="390">
        <f t="shared" si="207"/>
        <v>59.226999999999997</v>
      </c>
      <c r="C486" s="363">
        <f t="shared" si="188"/>
        <v>83.389390156362495</v>
      </c>
      <c r="D486" s="364">
        <f t="shared" si="189"/>
        <v>1.5588041061128668</v>
      </c>
      <c r="E486" s="364">
        <f t="shared" si="190"/>
        <v>1.2421401618790679</v>
      </c>
      <c r="F486" s="365">
        <f t="shared" si="191"/>
        <v>0.63501613341009311</v>
      </c>
      <c r="G486" s="364">
        <f t="shared" si="192"/>
        <v>1.6690117004304932</v>
      </c>
      <c r="H486" s="365">
        <f t="shared" si="193"/>
        <v>-0.92834858460389647</v>
      </c>
      <c r="I486" s="363">
        <f t="shared" si="194"/>
        <v>245682.75619756707</v>
      </c>
      <c r="J486" s="366">
        <f t="shared" si="195"/>
        <v>1.5707922565051642</v>
      </c>
      <c r="K486" s="374">
        <f t="shared" si="211"/>
        <v>74.180532505051289</v>
      </c>
      <c r="L486" s="375">
        <f t="shared" si="212"/>
        <v>1.5573152926666005</v>
      </c>
      <c r="M486" s="363">
        <f t="shared" si="196"/>
        <v>2.929951957897905</v>
      </c>
      <c r="N486" s="366">
        <f t="shared" si="197"/>
        <v>1.2224940443313466</v>
      </c>
      <c r="O486" s="367">
        <f t="shared" si="198"/>
        <v>1.2949906698307903</v>
      </c>
      <c r="P486" s="368">
        <f t="shared" si="199"/>
        <v>0.92873846686197714</v>
      </c>
      <c r="Q486" s="369">
        <f t="shared" si="200"/>
        <v>-27.089933399944577</v>
      </c>
      <c r="R486" s="370">
        <f t="shared" si="201"/>
        <v>-230.14832486985233</v>
      </c>
      <c r="S486" s="372">
        <f t="shared" si="202"/>
        <v>-50.148324869852331</v>
      </c>
      <c r="U486" s="345">
        <f t="shared" si="208"/>
        <v>59227</v>
      </c>
      <c r="V486" s="345">
        <f t="shared" si="209"/>
        <v>3507837529</v>
      </c>
      <c r="X486" s="371">
        <f t="shared" si="203"/>
        <v>8.3577697653816312</v>
      </c>
      <c r="Y486" s="372">
        <f t="shared" si="204"/>
        <v>-70.815922449584221</v>
      </c>
      <c r="AA486" s="371">
        <f t="shared" si="205"/>
        <v>25.112871306678663</v>
      </c>
      <c r="AB486" s="372">
        <f t="shared" si="206"/>
        <v>-159.3324024202681</v>
      </c>
      <c r="AD486">
        <f t="shared" si="210"/>
        <v>0</v>
      </c>
      <c r="AE486">
        <f t="shared" si="213"/>
        <v>0</v>
      </c>
    </row>
    <row r="487" spans="1:31" x14ac:dyDescent="0.2">
      <c r="A487" s="373">
        <v>59570</v>
      </c>
      <c r="B487" s="390">
        <f t="shared" si="207"/>
        <v>59.57</v>
      </c>
      <c r="C487" s="363">
        <f t="shared" si="188"/>
        <v>83.872252017180941</v>
      </c>
      <c r="D487" s="364">
        <f t="shared" si="189"/>
        <v>1.5588731499392283</v>
      </c>
      <c r="E487" s="364">
        <f t="shared" si="190"/>
        <v>1.2446761429269131</v>
      </c>
      <c r="F487" s="365">
        <f t="shared" si="191"/>
        <v>0.63777615678528432</v>
      </c>
      <c r="G487" s="364">
        <f t="shared" si="192"/>
        <v>1.6752139429161774</v>
      </c>
      <c r="H487" s="365">
        <f t="shared" si="193"/>
        <v>-0.93111640161805631</v>
      </c>
      <c r="I487" s="363">
        <f t="shared" si="194"/>
        <v>247105.57324679082</v>
      </c>
      <c r="J487" s="366">
        <f t="shared" si="195"/>
        <v>1.570792279941615</v>
      </c>
      <c r="K487" s="374">
        <f t="shared" si="211"/>
        <v>74.610054717962612</v>
      </c>
      <c r="L487" s="375">
        <f t="shared" si="212"/>
        <v>1.5573929062190099</v>
      </c>
      <c r="M487" s="363">
        <f t="shared" si="196"/>
        <v>2.9449485764431524</v>
      </c>
      <c r="N487" s="366">
        <f t="shared" si="197"/>
        <v>1.2243424755169445</v>
      </c>
      <c r="O487" s="367">
        <f t="shared" si="198"/>
        <v>1.2982515948680908</v>
      </c>
      <c r="P487" s="368">
        <f t="shared" si="199"/>
        <v>0.93311768444106236</v>
      </c>
      <c r="Q487" s="369">
        <f t="shared" si="200"/>
        <v>-27.156348243460858</v>
      </c>
      <c r="R487" s="370">
        <f t="shared" si="201"/>
        <v>-230.50509973706173</v>
      </c>
      <c r="S487" s="372">
        <f t="shared" si="202"/>
        <v>-50.505099737061727</v>
      </c>
      <c r="U487" s="345">
        <f t="shared" si="208"/>
        <v>59570</v>
      </c>
      <c r="V487" s="345">
        <f t="shared" si="209"/>
        <v>3548584900</v>
      </c>
      <c r="X487" s="371">
        <f t="shared" si="203"/>
        <v>8.3134163753931105</v>
      </c>
      <c r="Y487" s="372">
        <f t="shared" si="204"/>
        <v>-70.917384169178945</v>
      </c>
      <c r="AA487" s="371">
        <f t="shared" si="205"/>
        <v>25.090809853150905</v>
      </c>
      <c r="AB487" s="372">
        <f t="shared" si="206"/>
        <v>-159.58771556788281</v>
      </c>
      <c r="AD487">
        <f t="shared" si="210"/>
        <v>0</v>
      </c>
      <c r="AE487">
        <f t="shared" si="213"/>
        <v>0</v>
      </c>
    </row>
    <row r="488" spans="1:31" x14ac:dyDescent="0.2">
      <c r="A488" s="373">
        <v>59913</v>
      </c>
      <c r="B488" s="390">
        <f t="shared" si="207"/>
        <v>59.912999999999997</v>
      </c>
      <c r="C488" s="363">
        <f t="shared" si="188"/>
        <v>84.35511427324532</v>
      </c>
      <c r="D488" s="364">
        <f t="shared" si="189"/>
        <v>1.5589414033299542</v>
      </c>
      <c r="E488" s="364">
        <f t="shared" si="190"/>
        <v>1.2472215669803328</v>
      </c>
      <c r="F488" s="365">
        <f t="shared" si="191"/>
        <v>0.64052493530019994</v>
      </c>
      <c r="G488" s="364">
        <f t="shared" si="192"/>
        <v>1.6814289241650306</v>
      </c>
      <c r="H488" s="365">
        <f t="shared" si="193"/>
        <v>-0.93386377846408197</v>
      </c>
      <c r="I488" s="363">
        <f t="shared" si="194"/>
        <v>248528.39029601464</v>
      </c>
      <c r="J488" s="366">
        <f t="shared" si="195"/>
        <v>1.57079230310972</v>
      </c>
      <c r="K488" s="374">
        <f t="shared" si="211"/>
        <v>75.039577375169586</v>
      </c>
      <c r="L488" s="375">
        <f t="shared" si="212"/>
        <v>1.557469631259963</v>
      </c>
      <c r="M488" s="363">
        <f t="shared" si="196"/>
        <v>2.9599551550096468</v>
      </c>
      <c r="N488" s="366">
        <f t="shared" si="197"/>
        <v>1.2261721703013102</v>
      </c>
      <c r="O488" s="367">
        <f t="shared" si="198"/>
        <v>1.3015283798671835</v>
      </c>
      <c r="P488" s="368">
        <f t="shared" si="199"/>
        <v>0.93748420121403986</v>
      </c>
      <c r="Q488" s="369">
        <f t="shared" si="200"/>
        <v>-27.222353658805396</v>
      </c>
      <c r="R488" s="370">
        <f t="shared" si="201"/>
        <v>-230.85955213659219</v>
      </c>
      <c r="S488" s="372">
        <f t="shared" si="202"/>
        <v>-50.859552136592185</v>
      </c>
      <c r="U488" s="345">
        <f t="shared" si="208"/>
        <v>59913</v>
      </c>
      <c r="V488" s="345">
        <f t="shared" si="209"/>
        <v>3589567569</v>
      </c>
      <c r="X488" s="371">
        <f t="shared" si="203"/>
        <v>8.269259156133673</v>
      </c>
      <c r="Y488" s="372">
        <f t="shared" si="204"/>
        <v>-71.017823264640029</v>
      </c>
      <c r="AA488" s="371">
        <f t="shared" si="205"/>
        <v>25.068961657065802</v>
      </c>
      <c r="AB488" s="372">
        <f t="shared" si="206"/>
        <v>-159.84172887195214</v>
      </c>
      <c r="AD488">
        <f t="shared" si="210"/>
        <v>0</v>
      </c>
      <c r="AE488">
        <f t="shared" si="213"/>
        <v>0</v>
      </c>
    </row>
    <row r="489" spans="1:31" x14ac:dyDescent="0.2">
      <c r="A489" s="373">
        <v>60256</v>
      </c>
      <c r="B489" s="390">
        <f t="shared" si="207"/>
        <v>60.256</v>
      </c>
      <c r="C489" s="363">
        <f t="shared" si="188"/>
        <v>84.83797691780687</v>
      </c>
      <c r="D489" s="364">
        <f t="shared" si="189"/>
        <v>1.559008879780901</v>
      </c>
      <c r="E489" s="364">
        <f t="shared" si="190"/>
        <v>1.2497763763415182</v>
      </c>
      <c r="F489" s="365">
        <f t="shared" si="191"/>
        <v>0.64326249625060572</v>
      </c>
      <c r="G489" s="364">
        <f t="shared" si="192"/>
        <v>1.6876565034413573</v>
      </c>
      <c r="H489" s="365">
        <f t="shared" si="193"/>
        <v>-0.93659089971444442</v>
      </c>
      <c r="I489" s="363">
        <f t="shared" si="194"/>
        <v>249951.20734523865</v>
      </c>
      <c r="J489" s="366">
        <f t="shared" si="195"/>
        <v>1.5707923260140617</v>
      </c>
      <c r="K489" s="374">
        <f t="shared" si="211"/>
        <v>75.469100469086243</v>
      </c>
      <c r="L489" s="375">
        <f t="shared" si="212"/>
        <v>1.5575454829591093</v>
      </c>
      <c r="M489" s="363">
        <f t="shared" si="196"/>
        <v>2.9749715428740946</v>
      </c>
      <c r="N489" s="366">
        <f t="shared" si="197"/>
        <v>1.2279834000601539</v>
      </c>
      <c r="O489" s="367">
        <f t="shared" si="198"/>
        <v>1.3048209961542891</v>
      </c>
      <c r="P489" s="368">
        <f t="shared" si="199"/>
        <v>0.9418380367269531</v>
      </c>
      <c r="Q489" s="369">
        <f t="shared" si="200"/>
        <v>-27.287954845792974</v>
      </c>
      <c r="R489" s="370">
        <f t="shared" si="201"/>
        <v>-231.21170765268494</v>
      </c>
      <c r="S489" s="372">
        <f t="shared" si="202"/>
        <v>-51.211707652684936</v>
      </c>
      <c r="U489" s="345">
        <f t="shared" si="208"/>
        <v>60256</v>
      </c>
      <c r="V489" s="345">
        <f t="shared" si="209"/>
        <v>3630785536</v>
      </c>
      <c r="X489" s="371">
        <f t="shared" si="203"/>
        <v>8.2252967097932057</v>
      </c>
      <c r="Y489" s="372">
        <f t="shared" si="204"/>
        <v>-71.117254415756022</v>
      </c>
      <c r="AA489" s="371">
        <f t="shared" si="205"/>
        <v>25.04732291641869</v>
      </c>
      <c r="AB489" s="372">
        <f t="shared" si="206"/>
        <v>-160.09445323692893</v>
      </c>
      <c r="AD489">
        <f t="shared" si="210"/>
        <v>0</v>
      </c>
      <c r="AE489">
        <f t="shared" si="213"/>
        <v>0</v>
      </c>
    </row>
    <row r="490" spans="1:31" x14ac:dyDescent="0.2">
      <c r="A490" s="373">
        <v>60607</v>
      </c>
      <c r="B490" s="390">
        <f t="shared" si="207"/>
        <v>60.606999999999999</v>
      </c>
      <c r="C490" s="363">
        <f t="shared" si="188"/>
        <v>85.332102060179409</v>
      </c>
      <c r="D490" s="364">
        <f t="shared" si="189"/>
        <v>1.5590771394537304</v>
      </c>
      <c r="E490" s="364">
        <f t="shared" si="190"/>
        <v>1.2524004293778079</v>
      </c>
      <c r="F490" s="365">
        <f t="shared" si="191"/>
        <v>0.64605232290245362</v>
      </c>
      <c r="G490" s="364">
        <f t="shared" si="192"/>
        <v>1.6940422296256767</v>
      </c>
      <c r="H490" s="365">
        <f t="shared" si="193"/>
        <v>-0.93936084852051605</v>
      </c>
      <c r="I490" s="363">
        <f t="shared" si="194"/>
        <v>251407.20963176247</v>
      </c>
      <c r="J490" s="366">
        <f t="shared" si="195"/>
        <v>1.5707923491842248</v>
      </c>
      <c r="K490" s="374">
        <f t="shared" si="211"/>
        <v>75.908642038720529</v>
      </c>
      <c r="L490" s="375">
        <f t="shared" si="212"/>
        <v>1.5576222151268384</v>
      </c>
      <c r="M490" s="363">
        <f t="shared" si="196"/>
        <v>2.9903481681628401</v>
      </c>
      <c r="N490" s="366">
        <f t="shared" si="197"/>
        <v>1.2298180361082691</v>
      </c>
      <c r="O490" s="367">
        <f t="shared" si="198"/>
        <v>1.3082067679441904</v>
      </c>
      <c r="P490" s="368">
        <f t="shared" si="199"/>
        <v>0.94628031197096851</v>
      </c>
      <c r="Q490" s="369">
        <f t="shared" si="200"/>
        <v>-27.354672945888808</v>
      </c>
      <c r="R490" s="370">
        <f t="shared" si="201"/>
        <v>-231.56972515119523</v>
      </c>
      <c r="S490" s="372">
        <f t="shared" si="202"/>
        <v>-51.569725151195229</v>
      </c>
      <c r="U490" s="345">
        <f t="shared" si="208"/>
        <v>60607</v>
      </c>
      <c r="V490" s="345">
        <f t="shared" si="209"/>
        <v>3673208449</v>
      </c>
      <c r="X490" s="371">
        <f t="shared" si="203"/>
        <v>8.1805090909521354</v>
      </c>
      <c r="Y490" s="372">
        <f t="shared" si="204"/>
        <v>-71.217976216559435</v>
      </c>
      <c r="AA490" s="371">
        <f t="shared" si="205"/>
        <v>25.02539243516393</v>
      </c>
      <c r="AB490" s="372">
        <f t="shared" si="206"/>
        <v>-160.35174893463576</v>
      </c>
      <c r="AD490">
        <f t="shared" si="210"/>
        <v>0</v>
      </c>
      <c r="AE490">
        <f t="shared" si="213"/>
        <v>0</v>
      </c>
    </row>
    <row r="491" spans="1:31" x14ac:dyDescent="0.2">
      <c r="A491" s="373">
        <v>60958</v>
      </c>
      <c r="B491" s="390">
        <f t="shared" si="207"/>
        <v>60.957999999999998</v>
      </c>
      <c r="C491" s="363">
        <f t="shared" si="188"/>
        <v>85.826227595568739</v>
      </c>
      <c r="D491" s="364">
        <f t="shared" si="189"/>
        <v>1.5591446131469133</v>
      </c>
      <c r="E491" s="364">
        <f t="shared" si="190"/>
        <v>1.2550341892077563</v>
      </c>
      <c r="F491" s="365">
        <f t="shared" si="191"/>
        <v>0.64883046188522642</v>
      </c>
      <c r="G491" s="364">
        <f t="shared" si="192"/>
        <v>1.700440855866524</v>
      </c>
      <c r="H491" s="365">
        <f t="shared" si="193"/>
        <v>-0.94210997208520186</v>
      </c>
      <c r="I491" s="363">
        <f t="shared" si="194"/>
        <v>252863.2119182864</v>
      </c>
      <c r="J491" s="366">
        <f t="shared" si="195"/>
        <v>1.5707923720875574</v>
      </c>
      <c r="K491" s="374">
        <f t="shared" si="211"/>
        <v>76.348184050145576</v>
      </c>
      <c r="L491" s="375">
        <f t="shared" si="212"/>
        <v>1.5576980637897435</v>
      </c>
      <c r="M491" s="363">
        <f t="shared" si="196"/>
        <v>3.0057347556310736</v>
      </c>
      <c r="N491" s="366">
        <f t="shared" si="197"/>
        <v>1.2316338949301739</v>
      </c>
      <c r="O491" s="367">
        <f t="shared" si="198"/>
        <v>1.3116090581144528</v>
      </c>
      <c r="P491" s="368">
        <f t="shared" si="199"/>
        <v>0.95070935051221195</v>
      </c>
      <c r="Q491" s="369">
        <f t="shared" si="200"/>
        <v>-27.420978490765208</v>
      </c>
      <c r="R491" s="370">
        <f t="shared" si="201"/>
        <v>-231.92539041485085</v>
      </c>
      <c r="S491" s="372">
        <f t="shared" si="202"/>
        <v>-51.925390414850852</v>
      </c>
      <c r="U491" s="345">
        <f t="shared" si="208"/>
        <v>60958</v>
      </c>
      <c r="V491" s="345">
        <f t="shared" si="209"/>
        <v>3715877764</v>
      </c>
      <c r="X491" s="371">
        <f t="shared" si="203"/>
        <v>8.1359225023000015</v>
      </c>
      <c r="Y491" s="372">
        <f t="shared" si="204"/>
        <v>-71.317672767358218</v>
      </c>
      <c r="AA491" s="371">
        <f t="shared" si="205"/>
        <v>25.003673478939664</v>
      </c>
      <c r="AB491" s="372">
        <f t="shared" si="206"/>
        <v>-160.60771764749262</v>
      </c>
      <c r="AD491">
        <f t="shared" si="210"/>
        <v>0</v>
      </c>
      <c r="AE491">
        <f t="shared" si="213"/>
        <v>0</v>
      </c>
    </row>
    <row r="492" spans="1:31" x14ac:dyDescent="0.2">
      <c r="A492" s="373">
        <v>61309</v>
      </c>
      <c r="B492" s="390">
        <f t="shared" si="207"/>
        <v>61.308999999999997</v>
      </c>
      <c r="C492" s="363">
        <f t="shared" si="188"/>
        <v>86.320353517225627</v>
      </c>
      <c r="D492" s="364">
        <f t="shared" si="189"/>
        <v>1.5592113143574431</v>
      </c>
      <c r="E492" s="364">
        <f t="shared" si="190"/>
        <v>1.2576775948490513</v>
      </c>
      <c r="F492" s="365">
        <f t="shared" si="191"/>
        <v>0.65159694387684775</v>
      </c>
      <c r="G492" s="364">
        <f t="shared" si="192"/>
        <v>1.7068522370851957</v>
      </c>
      <c r="H492" s="365">
        <f t="shared" si="193"/>
        <v>-0.94483846329500221</v>
      </c>
      <c r="I492" s="363">
        <f t="shared" si="194"/>
        <v>254319.21420481047</v>
      </c>
      <c r="J492" s="366">
        <f t="shared" si="195"/>
        <v>1.5707923947286422</v>
      </c>
      <c r="K492" s="374">
        <f t="shared" si="211"/>
        <v>76.787726495774777</v>
      </c>
      <c r="L492" s="375">
        <f t="shared" si="212"/>
        <v>1.5577730441188171</v>
      </c>
      <c r="M492" s="363">
        <f t="shared" si="196"/>
        <v>3.0211311530669906</v>
      </c>
      <c r="N492" s="366">
        <f t="shared" si="197"/>
        <v>1.2334312515380497</v>
      </c>
      <c r="O492" s="367">
        <f t="shared" si="198"/>
        <v>1.3150278366981527</v>
      </c>
      <c r="P492" s="368">
        <f t="shared" si="199"/>
        <v>0.9551251748824835</v>
      </c>
      <c r="Q492" s="369">
        <f t="shared" si="200"/>
        <v>-27.486876783992102</v>
      </c>
      <c r="R492" s="370">
        <f t="shared" si="201"/>
        <v>-232.2787296898826</v>
      </c>
      <c r="S492" s="372">
        <f t="shared" si="202"/>
        <v>-52.278729689882596</v>
      </c>
      <c r="U492" s="345">
        <f t="shared" si="208"/>
        <v>61309</v>
      </c>
      <c r="V492" s="345">
        <f t="shared" si="209"/>
        <v>3758793481</v>
      </c>
      <c r="X492" s="371">
        <f t="shared" si="203"/>
        <v>8.0915354739787535</v>
      </c>
      <c r="Y492" s="372">
        <f t="shared" si="204"/>
        <v>-71.416358956218417</v>
      </c>
      <c r="AA492" s="371">
        <f t="shared" si="205"/>
        <v>24.982162214034016</v>
      </c>
      <c r="AB492" s="372">
        <f t="shared" si="206"/>
        <v>-160.86237073366416</v>
      </c>
      <c r="AD492">
        <f t="shared" si="210"/>
        <v>0</v>
      </c>
      <c r="AE492">
        <f t="shared" si="213"/>
        <v>0</v>
      </c>
    </row>
    <row r="493" spans="1:31" x14ac:dyDescent="0.2">
      <c r="A493" s="373">
        <v>61660</v>
      </c>
      <c r="B493" s="390">
        <f t="shared" si="207"/>
        <v>61.66</v>
      </c>
      <c r="C493" s="363">
        <f t="shared" si="188"/>
        <v>86.81447981855446</v>
      </c>
      <c r="D493" s="364">
        <f t="shared" si="189"/>
        <v>1.559277256275055</v>
      </c>
      <c r="E493" s="364">
        <f t="shared" si="190"/>
        <v>1.2603305856085891</v>
      </c>
      <c r="F493" s="365">
        <f t="shared" si="191"/>
        <v>0.65435180001206616</v>
      </c>
      <c r="G493" s="364">
        <f t="shared" si="192"/>
        <v>1.7132762300875812</v>
      </c>
      <c r="H493" s="365">
        <f t="shared" si="193"/>
        <v>-0.94754651338091689</v>
      </c>
      <c r="I493" s="363">
        <f t="shared" si="194"/>
        <v>255775.21649133466</v>
      </c>
      <c r="J493" s="366">
        <f t="shared" si="195"/>
        <v>1.5707924171119581</v>
      </c>
      <c r="K493" s="374">
        <f t="shared" si="211"/>
        <v>77.227269368194271</v>
      </c>
      <c r="L493" s="375">
        <f t="shared" si="212"/>
        <v>1.5578471709397048</v>
      </c>
      <c r="M493" s="363">
        <f t="shared" si="196"/>
        <v>3.0365372112498044</v>
      </c>
      <c r="N493" s="366">
        <f t="shared" si="197"/>
        <v>1.2352103758464321</v>
      </c>
      <c r="O493" s="367">
        <f t="shared" si="198"/>
        <v>1.3184630739856826</v>
      </c>
      <c r="P493" s="368">
        <f t="shared" si="199"/>
        <v>0.95952780812466998</v>
      </c>
      <c r="Q493" s="369">
        <f t="shared" si="200"/>
        <v>-27.552373041933265</v>
      </c>
      <c r="R493" s="370">
        <f t="shared" si="201"/>
        <v>-232.62976884087976</v>
      </c>
      <c r="S493" s="372">
        <f t="shared" si="202"/>
        <v>-52.629768840879763</v>
      </c>
      <c r="U493" s="345">
        <f t="shared" si="208"/>
        <v>61660</v>
      </c>
      <c r="V493" s="345">
        <f t="shared" si="209"/>
        <v>3801955600</v>
      </c>
      <c r="X493" s="371">
        <f t="shared" si="203"/>
        <v>8.0473465458552891</v>
      </c>
      <c r="Y493" s="372">
        <f t="shared" si="204"/>
        <v>-71.514049398913414</v>
      </c>
      <c r="AA493" s="371">
        <f t="shared" si="205"/>
        <v>24.960854884216317</v>
      </c>
      <c r="AB493" s="372">
        <f t="shared" si="206"/>
        <v>-161.11571944196635</v>
      </c>
      <c r="AD493">
        <f t="shared" si="210"/>
        <v>0</v>
      </c>
      <c r="AE493">
        <f t="shared" si="213"/>
        <v>0</v>
      </c>
    </row>
    <row r="494" spans="1:31" x14ac:dyDescent="0.2">
      <c r="A494" s="373">
        <v>62019</v>
      </c>
      <c r="B494" s="390">
        <f t="shared" si="207"/>
        <v>62.018999999999998</v>
      </c>
      <c r="C494" s="363">
        <f t="shared" si="188"/>
        <v>87.319868643837935</v>
      </c>
      <c r="D494" s="364">
        <f t="shared" si="189"/>
        <v>1.5593439291283115</v>
      </c>
      <c r="E494" s="364">
        <f t="shared" si="190"/>
        <v>1.2630538957422042</v>
      </c>
      <c r="F494" s="365">
        <f t="shared" si="191"/>
        <v>0.65715745146793425</v>
      </c>
      <c r="G494" s="364">
        <f t="shared" si="192"/>
        <v>1.7198595378139099</v>
      </c>
      <c r="H494" s="365">
        <f t="shared" si="193"/>
        <v>-0.950295337717318</v>
      </c>
      <c r="I494" s="363">
        <f t="shared" si="194"/>
        <v>257264.40401515868</v>
      </c>
      <c r="J494" s="366">
        <f t="shared" si="195"/>
        <v>1.5707924397433481</v>
      </c>
      <c r="K494" s="374">
        <f t="shared" si="211"/>
        <v>77.676830745720636</v>
      </c>
      <c r="L494" s="375">
        <f t="shared" si="212"/>
        <v>1.5579221194522943</v>
      </c>
      <c r="M494" s="363">
        <f t="shared" si="196"/>
        <v>3.0523042457270146</v>
      </c>
      <c r="N494" s="366">
        <f t="shared" si="197"/>
        <v>1.2370114657421254</v>
      </c>
      <c r="O494" s="367">
        <f t="shared" si="198"/>
        <v>1.3219936022528769</v>
      </c>
      <c r="P494" s="368">
        <f t="shared" si="199"/>
        <v>0.9640171652921502</v>
      </c>
      <c r="Q494" s="369">
        <f t="shared" si="200"/>
        <v>-27.618951554940882</v>
      </c>
      <c r="R494" s="370">
        <f t="shared" si="201"/>
        <v>-232.98645609148096</v>
      </c>
      <c r="S494" s="372">
        <f t="shared" si="202"/>
        <v>-52.98645609148096</v>
      </c>
      <c r="U494" s="345">
        <f t="shared" si="208"/>
        <v>62019</v>
      </c>
      <c r="V494" s="345">
        <f t="shared" si="209"/>
        <v>3846356361</v>
      </c>
      <c r="X494" s="371">
        <f t="shared" si="203"/>
        <v>8.0023538753901988</v>
      </c>
      <c r="Y494" s="372">
        <f t="shared" si="204"/>
        <v>-71.612951311804295</v>
      </c>
      <c r="AA494" s="371">
        <f t="shared" si="205"/>
        <v>24.939269041673789</v>
      </c>
      <c r="AB494" s="372">
        <f t="shared" si="206"/>
        <v>-161.37350477967669</v>
      </c>
      <c r="AD494">
        <f t="shared" si="210"/>
        <v>0</v>
      </c>
      <c r="AE494">
        <f t="shared" si="213"/>
        <v>0</v>
      </c>
    </row>
    <row r="495" spans="1:31" x14ac:dyDescent="0.2">
      <c r="A495" s="373">
        <v>62378</v>
      </c>
      <c r="B495" s="390">
        <f t="shared" si="207"/>
        <v>62.378</v>
      </c>
      <c r="C495" s="363">
        <f t="shared" si="188"/>
        <v>87.825257852814431</v>
      </c>
      <c r="D495" s="364">
        <f t="shared" si="189"/>
        <v>1.5594098346458685</v>
      </c>
      <c r="E495" s="364">
        <f t="shared" si="190"/>
        <v>1.2657871054050107</v>
      </c>
      <c r="F495" s="365">
        <f t="shared" si="191"/>
        <v>0.65995100836812581</v>
      </c>
      <c r="G495" s="364">
        <f t="shared" si="192"/>
        <v>1.726455741695172</v>
      </c>
      <c r="H495" s="365">
        <f t="shared" si="193"/>
        <v>-0.95302317787695812</v>
      </c>
      <c r="I495" s="363">
        <f t="shared" si="194"/>
        <v>258753.59153898287</v>
      </c>
      <c r="J495" s="366">
        <f t="shared" si="195"/>
        <v>1.5707924621142402</v>
      </c>
      <c r="K495" s="374">
        <f t="shared" si="211"/>
        <v>78.126392554557924</v>
      </c>
      <c r="L495" s="375">
        <f t="shared" si="212"/>
        <v>1.5579962054145551</v>
      </c>
      <c r="M495" s="363">
        <f t="shared" si="196"/>
        <v>3.0680810798629512</v>
      </c>
      <c r="N495" s="366">
        <f t="shared" si="197"/>
        <v>1.2387940380686804</v>
      </c>
      <c r="O495" s="367">
        <f t="shared" si="198"/>
        <v>1.3255412859866278</v>
      </c>
      <c r="P495" s="368">
        <f t="shared" si="199"/>
        <v>0.96849277352030316</v>
      </c>
      <c r="Q495" s="369">
        <f t="shared" si="200"/>
        <v>-27.685120263283636</v>
      </c>
      <c r="R495" s="370">
        <f t="shared" si="201"/>
        <v>-233.34079071002614</v>
      </c>
      <c r="S495" s="372">
        <f t="shared" si="202"/>
        <v>-53.340790710026141</v>
      </c>
      <c r="U495" s="345">
        <f t="shared" si="208"/>
        <v>62378</v>
      </c>
      <c r="V495" s="345">
        <f t="shared" si="209"/>
        <v>3891014884</v>
      </c>
      <c r="X495" s="371">
        <f t="shared" si="203"/>
        <v>7.9575653801427002</v>
      </c>
      <c r="Y495" s="372">
        <f t="shared" si="204"/>
        <v>-71.710841651703547</v>
      </c>
      <c r="AA495" s="371">
        <f t="shared" si="205"/>
        <v>24.917888828578533</v>
      </c>
      <c r="AB495" s="372">
        <f t="shared" si="206"/>
        <v>-161.62994905832258</v>
      </c>
      <c r="AD495">
        <f t="shared" si="210"/>
        <v>0</v>
      </c>
      <c r="AE495">
        <f t="shared" si="213"/>
        <v>0</v>
      </c>
    </row>
    <row r="496" spans="1:31" x14ac:dyDescent="0.2">
      <c r="A496" s="373">
        <v>62737</v>
      </c>
      <c r="B496" s="390">
        <f t="shared" si="207"/>
        <v>62.737000000000002</v>
      </c>
      <c r="C496" s="363">
        <f t="shared" si="188"/>
        <v>88.330647438897969</v>
      </c>
      <c r="D496" s="364">
        <f t="shared" si="189"/>
        <v>1.5594749859982333</v>
      </c>
      <c r="E496" s="364">
        <f t="shared" si="190"/>
        <v>1.2685301506076232</v>
      </c>
      <c r="F496" s="365">
        <f t="shared" si="191"/>
        <v>0.66273250542953654</v>
      </c>
      <c r="G496" s="364">
        <f t="shared" si="192"/>
        <v>1.7330646944795125</v>
      </c>
      <c r="H496" s="365">
        <f t="shared" si="193"/>
        <v>-0.95573023309699956</v>
      </c>
      <c r="I496" s="363">
        <f t="shared" si="194"/>
        <v>260242.77906280715</v>
      </c>
      <c r="J496" s="366">
        <f t="shared" si="195"/>
        <v>1.5707924842291063</v>
      </c>
      <c r="K496" s="374">
        <f t="shared" si="211"/>
        <v>78.575954787303047</v>
      </c>
      <c r="L496" s="375">
        <f t="shared" si="212"/>
        <v>1.5580694436305798</v>
      </c>
      <c r="M496" s="363">
        <f t="shared" si="196"/>
        <v>3.0838675632546702</v>
      </c>
      <c r="N496" s="366">
        <f t="shared" si="197"/>
        <v>1.2405583657871622</v>
      </c>
      <c r="O496" s="367">
        <f t="shared" si="198"/>
        <v>1.3291060942367952</v>
      </c>
      <c r="P496" s="368">
        <f t="shared" si="199"/>
        <v>0.97295465904671674</v>
      </c>
      <c r="Q496" s="369">
        <f t="shared" si="200"/>
        <v>-27.750884475704179</v>
      </c>
      <c r="R496" s="370">
        <f t="shared" si="201"/>
        <v>-233.69279917231094</v>
      </c>
      <c r="S496" s="372">
        <f t="shared" si="202"/>
        <v>-53.692799172310941</v>
      </c>
      <c r="U496" s="345">
        <f t="shared" si="208"/>
        <v>62737</v>
      </c>
      <c r="V496" s="345">
        <f t="shared" si="209"/>
        <v>3935931169</v>
      </c>
      <c r="X496" s="371">
        <f t="shared" si="203"/>
        <v>7.9129795301152228</v>
      </c>
      <c r="Y496" s="372">
        <f t="shared" si="204"/>
        <v>-71.807735210172439</v>
      </c>
      <c r="AA496" s="371">
        <f t="shared" si="205"/>
        <v>24.896710466185468</v>
      </c>
      <c r="AB496" s="372">
        <f t="shared" si="206"/>
        <v>-161.88506396213853</v>
      </c>
      <c r="AD496">
        <f t="shared" si="210"/>
        <v>0</v>
      </c>
      <c r="AE496">
        <f t="shared" si="213"/>
        <v>0</v>
      </c>
    </row>
    <row r="497" spans="1:31" x14ac:dyDescent="0.2">
      <c r="A497" s="373">
        <v>63096</v>
      </c>
      <c r="B497" s="390">
        <f t="shared" si="207"/>
        <v>63.095999999999997</v>
      </c>
      <c r="C497" s="363">
        <f t="shared" si="188"/>
        <v>88.83603739565244</v>
      </c>
      <c r="D497" s="364">
        <f t="shared" si="189"/>
        <v>1.5595393960562294</v>
      </c>
      <c r="E497" s="364">
        <f t="shared" si="190"/>
        <v>1.2712829676836583</v>
      </c>
      <c r="F497" s="365">
        <f t="shared" si="191"/>
        <v>0.66550197781639853</v>
      </c>
      <c r="G497" s="364">
        <f t="shared" si="192"/>
        <v>1.7396862508702242</v>
      </c>
      <c r="H497" s="365">
        <f t="shared" si="193"/>
        <v>-0.95841670080857466</v>
      </c>
      <c r="I497" s="363">
        <f t="shared" si="194"/>
        <v>261731.96658663155</v>
      </c>
      <c r="J497" s="366">
        <f t="shared" si="195"/>
        <v>1.5707925060923167</v>
      </c>
      <c r="K497" s="374">
        <f t="shared" si="211"/>
        <v>79.025517436721415</v>
      </c>
      <c r="L497" s="375">
        <f t="shared" si="212"/>
        <v>1.5581418485676255</v>
      </c>
      <c r="M497" s="363">
        <f t="shared" si="196"/>
        <v>3.099663548472158</v>
      </c>
      <c r="N497" s="366">
        <f t="shared" si="197"/>
        <v>1.2423047167540218</v>
      </c>
      <c r="O497" s="367">
        <f t="shared" si="198"/>
        <v>1.3326879963360858</v>
      </c>
      <c r="P497" s="368">
        <f t="shared" si="199"/>
        <v>0.97740284861726445</v>
      </c>
      <c r="Q497" s="369">
        <f t="shared" si="200"/>
        <v>-27.816249412562723</v>
      </c>
      <c r="R497" s="370">
        <f t="shared" si="201"/>
        <v>-234.04250756379531</v>
      </c>
      <c r="S497" s="372">
        <f t="shared" si="202"/>
        <v>-54.042507563795311</v>
      </c>
      <c r="U497" s="345">
        <f t="shared" si="208"/>
        <v>63096</v>
      </c>
      <c r="V497" s="345">
        <f t="shared" si="209"/>
        <v>3981105216</v>
      </c>
      <c r="X497" s="371">
        <f t="shared" si="203"/>
        <v>7.8685948063823403</v>
      </c>
      <c r="Y497" s="372">
        <f t="shared" si="204"/>
        <v>-71.903646505592747</v>
      </c>
      <c r="AA497" s="371">
        <f t="shared" si="205"/>
        <v>24.875730253059807</v>
      </c>
      <c r="AB497" s="372">
        <f t="shared" si="206"/>
        <v>-162.13886105820259</v>
      </c>
      <c r="AD497">
        <f t="shared" si="210"/>
        <v>0</v>
      </c>
      <c r="AE497">
        <f t="shared" si="213"/>
        <v>0</v>
      </c>
    </row>
    <row r="498" spans="1:31" x14ac:dyDescent="0.2">
      <c r="A498" s="373">
        <v>63463.25</v>
      </c>
      <c r="B498" s="390">
        <f t="shared" si="207"/>
        <v>63.463250000000002</v>
      </c>
      <c r="C498" s="363">
        <f t="shared" si="188"/>
        <v>89.353041844000145</v>
      </c>
      <c r="D498" s="364">
        <f t="shared" si="189"/>
        <v>1.5596045323611407</v>
      </c>
      <c r="E498" s="364">
        <f t="shared" si="190"/>
        <v>1.2741090911316286</v>
      </c>
      <c r="F498" s="365">
        <f t="shared" si="191"/>
        <v>0.66832268883795354</v>
      </c>
      <c r="G498" s="364">
        <f t="shared" si="192"/>
        <v>1.7464728658641486</v>
      </c>
      <c r="H498" s="365">
        <f t="shared" si="193"/>
        <v>-0.96114380624683871</v>
      </c>
      <c r="I498" s="363">
        <f t="shared" si="194"/>
        <v>263255.37638642144</v>
      </c>
      <c r="J498" s="366">
        <f t="shared" si="195"/>
        <v>1.5707925282020103</v>
      </c>
      <c r="K498" s="374">
        <f t="shared" si="211"/>
        <v>79.485411685005559</v>
      </c>
      <c r="L498" s="375">
        <f t="shared" si="212"/>
        <v>1.5582150699249238</v>
      </c>
      <c r="M498" s="363">
        <f t="shared" si="196"/>
        <v>3.1158322145432296</v>
      </c>
      <c r="N498" s="366">
        <f t="shared" si="197"/>
        <v>1.2440728726202721</v>
      </c>
      <c r="O498" s="367">
        <f t="shared" si="198"/>
        <v>1.3363698682633549</v>
      </c>
      <c r="P498" s="368">
        <f t="shared" si="199"/>
        <v>0.98193911653893595</v>
      </c>
      <c r="Q498" s="369">
        <f t="shared" si="200"/>
        <v>-27.88270867628826</v>
      </c>
      <c r="R498" s="370">
        <f t="shared" si="201"/>
        <v>-234.39789926206299</v>
      </c>
      <c r="S498" s="372">
        <f t="shared" si="202"/>
        <v>-54.397899262062992</v>
      </c>
      <c r="U498" s="345">
        <f t="shared" si="208"/>
        <v>63463.25</v>
      </c>
      <c r="V498" s="345">
        <f t="shared" si="209"/>
        <v>4027584100.5625</v>
      </c>
      <c r="X498" s="371">
        <f t="shared" si="203"/>
        <v>7.823396639791607</v>
      </c>
      <c r="Y498" s="372">
        <f t="shared" si="204"/>
        <v>-72.00076036640985</v>
      </c>
      <c r="AA498" s="371">
        <f t="shared" si="205"/>
        <v>24.85446915592501</v>
      </c>
      <c r="AB498" s="372">
        <f t="shared" si="206"/>
        <v>-162.39713889565317</v>
      </c>
      <c r="AD498">
        <f t="shared" si="210"/>
        <v>0</v>
      </c>
      <c r="AE498">
        <f t="shared" si="213"/>
        <v>0</v>
      </c>
    </row>
    <row r="499" spans="1:31" x14ac:dyDescent="0.2">
      <c r="A499" s="373">
        <v>63830.5</v>
      </c>
      <c r="B499" s="390">
        <f t="shared" si="207"/>
        <v>63.830500000000001</v>
      </c>
      <c r="C499" s="363">
        <f t="shared" si="188"/>
        <v>89.870046667087621</v>
      </c>
      <c r="D499" s="364">
        <f t="shared" si="189"/>
        <v>1.5596689192334459</v>
      </c>
      <c r="E499" s="364">
        <f t="shared" si="190"/>
        <v>1.2769453069961214</v>
      </c>
      <c r="F499" s="365">
        <f t="shared" si="191"/>
        <v>0.67113089199022313</v>
      </c>
      <c r="G499" s="364">
        <f t="shared" si="192"/>
        <v>1.7532723689483989</v>
      </c>
      <c r="H499" s="365">
        <f t="shared" si="193"/>
        <v>-0.9638497792769628</v>
      </c>
      <c r="I499" s="363">
        <f t="shared" si="194"/>
        <v>264778.78618621139</v>
      </c>
      <c r="J499" s="366">
        <f t="shared" si="195"/>
        <v>1.570792550057287</v>
      </c>
      <c r="K499" s="374">
        <f t="shared" si="211"/>
        <v>79.945306354537209</v>
      </c>
      <c r="L499" s="375">
        <f t="shared" si="212"/>
        <v>1.5582874488538647</v>
      </c>
      <c r="M499" s="363">
        <f t="shared" si="196"/>
        <v>3.1320105212806935</v>
      </c>
      <c r="N499" s="366">
        <f t="shared" si="197"/>
        <v>1.2458227671978002</v>
      </c>
      <c r="O499" s="367">
        <f t="shared" si="198"/>
        <v>1.3400695647008369</v>
      </c>
      <c r="P499" s="368">
        <f t="shared" si="199"/>
        <v>0.98646110998854575</v>
      </c>
      <c r="Q499" s="369">
        <f t="shared" si="200"/>
        <v>-27.948760878197273</v>
      </c>
      <c r="R499" s="370">
        <f t="shared" si="201"/>
        <v>-234.75093796256223</v>
      </c>
      <c r="S499" s="372">
        <f t="shared" si="202"/>
        <v>-54.750937962562233</v>
      </c>
      <c r="U499" s="345">
        <f t="shared" si="208"/>
        <v>63830.5</v>
      </c>
      <c r="V499" s="345">
        <f t="shared" si="209"/>
        <v>4074332730.25</v>
      </c>
      <c r="X499" s="371">
        <f t="shared" si="203"/>
        <v>7.7784057698782183</v>
      </c>
      <c r="Y499" s="372">
        <f t="shared" si="204"/>
        <v>-72.096876185466002</v>
      </c>
      <c r="AA499" s="371">
        <f t="shared" si="205"/>
        <v>24.833407823929377</v>
      </c>
      <c r="AB499" s="372">
        <f t="shared" si="206"/>
        <v>-162.65406177709627</v>
      </c>
      <c r="AD499">
        <f t="shared" si="210"/>
        <v>0</v>
      </c>
      <c r="AE499">
        <f t="shared" si="213"/>
        <v>0</v>
      </c>
    </row>
    <row r="500" spans="1:31" x14ac:dyDescent="0.2">
      <c r="A500" s="373">
        <v>64197.75</v>
      </c>
      <c r="B500" s="390">
        <f t="shared" si="207"/>
        <v>64.197749999999999</v>
      </c>
      <c r="C500" s="363">
        <f t="shared" si="188"/>
        <v>90.387051858484455</v>
      </c>
      <c r="D500" s="364">
        <f t="shared" si="189"/>
        <v>1.5597325695326525</v>
      </c>
      <c r="E500" s="364">
        <f t="shared" si="190"/>
        <v>1.2797915481780746</v>
      </c>
      <c r="F500" s="365">
        <f t="shared" si="191"/>
        <v>0.67392662628732536</v>
      </c>
      <c r="G500" s="364">
        <f t="shared" si="192"/>
        <v>1.7600846107563948</v>
      </c>
      <c r="H500" s="365">
        <f t="shared" si="193"/>
        <v>-0.96653482541345503</v>
      </c>
      <c r="I500" s="363">
        <f t="shared" si="194"/>
        <v>266302.19598600158</v>
      </c>
      <c r="J500" s="366">
        <f t="shared" si="195"/>
        <v>1.5707925716625128</v>
      </c>
      <c r="K500" s="374">
        <f t="shared" si="211"/>
        <v>80.405201438088142</v>
      </c>
      <c r="L500" s="375">
        <f t="shared" si="212"/>
        <v>1.5583589998090417</v>
      </c>
      <c r="M500" s="363">
        <f t="shared" si="196"/>
        <v>3.1481983200570118</v>
      </c>
      <c r="N500" s="366">
        <f t="shared" si="197"/>
        <v>1.2475546713809189</v>
      </c>
      <c r="O500" s="367">
        <f t="shared" si="198"/>
        <v>1.3437870537375916</v>
      </c>
      <c r="P500" s="368">
        <f t="shared" si="199"/>
        <v>0.99096885916833066</v>
      </c>
      <c r="Q500" s="369">
        <f t="shared" si="200"/>
        <v>-28.014411330703773</v>
      </c>
      <c r="R500" s="370">
        <f t="shared" si="201"/>
        <v>-235.10165036548278</v>
      </c>
      <c r="S500" s="372">
        <f t="shared" si="202"/>
        <v>-55.101650365482783</v>
      </c>
      <c r="U500" s="345">
        <f t="shared" si="208"/>
        <v>64197.75</v>
      </c>
      <c r="V500" s="345">
        <f t="shared" si="209"/>
        <v>4121351105.0625</v>
      </c>
      <c r="X500" s="371">
        <f t="shared" si="203"/>
        <v>7.7336206070225071</v>
      </c>
      <c r="Y500" s="372">
        <f t="shared" si="204"/>
        <v>-72.192008655924951</v>
      </c>
      <c r="AA500" s="371">
        <f t="shared" si="205"/>
        <v>24.812542534278592</v>
      </c>
      <c r="AB500" s="372">
        <f t="shared" si="206"/>
        <v>-162.90964170955783</v>
      </c>
      <c r="AD500">
        <f t="shared" si="210"/>
        <v>0</v>
      </c>
      <c r="AE500">
        <f t="shared" si="213"/>
        <v>0</v>
      </c>
    </row>
    <row r="501" spans="1:31" x14ac:dyDescent="0.2">
      <c r="A501" s="373">
        <v>64565</v>
      </c>
      <c r="B501" s="390">
        <f t="shared" si="207"/>
        <v>64.564999999999998</v>
      </c>
      <c r="C501" s="363">
        <f t="shared" si="188"/>
        <v>90.904057411906493</v>
      </c>
      <c r="D501" s="364">
        <f t="shared" si="189"/>
        <v>1.5597954958257449</v>
      </c>
      <c r="E501" s="364">
        <f t="shared" si="190"/>
        <v>1.2826477479378766</v>
      </c>
      <c r="F501" s="365">
        <f t="shared" si="191"/>
        <v>0.67670993117736433</v>
      </c>
      <c r="G501" s="364">
        <f t="shared" si="192"/>
        <v>1.7669094439473716</v>
      </c>
      <c r="H501" s="365">
        <f t="shared" si="193"/>
        <v>-0.9691991482114406</v>
      </c>
      <c r="I501" s="363">
        <f t="shared" si="194"/>
        <v>267825.60578579176</v>
      </c>
      <c r="J501" s="366">
        <f t="shared" si="195"/>
        <v>1.5707925930219548</v>
      </c>
      <c r="K501" s="374">
        <f t="shared" si="211"/>
        <v>80.865096928594525</v>
      </c>
      <c r="L501" s="375">
        <f t="shared" si="212"/>
        <v>1.5584297369162576</v>
      </c>
      <c r="M501" s="363">
        <f t="shared" si="196"/>
        <v>3.1643954651996107</v>
      </c>
      <c r="N501" s="366">
        <f t="shared" si="197"/>
        <v>1.2492688509541778</v>
      </c>
      <c r="O501" s="367">
        <f t="shared" si="198"/>
        <v>1.3475223037726933</v>
      </c>
      <c r="P501" s="368">
        <f t="shared" si="199"/>
        <v>0.99546239478275933</v>
      </c>
      <c r="Q501" s="369">
        <f t="shared" si="200"/>
        <v>-28.079665256685878</v>
      </c>
      <c r="R501" s="370">
        <f t="shared" si="201"/>
        <v>-235.45006277196441</v>
      </c>
      <c r="S501" s="372">
        <f t="shared" si="202"/>
        <v>-55.450062771964411</v>
      </c>
      <c r="U501" s="345">
        <f t="shared" si="208"/>
        <v>64565</v>
      </c>
      <c r="V501" s="345">
        <f t="shared" si="209"/>
        <v>4168639225</v>
      </c>
      <c r="X501" s="371">
        <f t="shared" si="203"/>
        <v>7.6890395740177029</v>
      </c>
      <c r="Y501" s="372">
        <f t="shared" si="204"/>
        <v>-72.286172197015262</v>
      </c>
      <c r="AA501" s="371">
        <f t="shared" si="205"/>
        <v>24.79186964130129</v>
      </c>
      <c r="AB501" s="372">
        <f t="shared" si="206"/>
        <v>-163.16389057494914</v>
      </c>
      <c r="AD501">
        <f t="shared" si="210"/>
        <v>0</v>
      </c>
      <c r="AE501">
        <f t="shared" si="213"/>
        <v>0</v>
      </c>
    </row>
    <row r="502" spans="1:31" x14ac:dyDescent="0.2">
      <c r="A502" s="373">
        <v>64941</v>
      </c>
      <c r="B502" s="390">
        <f t="shared" si="207"/>
        <v>64.941000000000003</v>
      </c>
      <c r="C502" s="363">
        <f t="shared" si="188"/>
        <v>91.433381369631803</v>
      </c>
      <c r="D502" s="364">
        <f t="shared" si="189"/>
        <v>1.5598591841217646</v>
      </c>
      <c r="E502" s="364">
        <f t="shared" si="190"/>
        <v>1.2855822467431224</v>
      </c>
      <c r="F502" s="365">
        <f t="shared" si="191"/>
        <v>0.67954671483386764</v>
      </c>
      <c r="G502" s="364">
        <f t="shared" si="192"/>
        <v>1.7739097769761183</v>
      </c>
      <c r="H502" s="365">
        <f t="shared" si="193"/>
        <v>-0.97190569111723746</v>
      </c>
      <c r="I502" s="363">
        <f t="shared" si="194"/>
        <v>269385.31193887867</v>
      </c>
      <c r="J502" s="366">
        <f t="shared" si="195"/>
        <v>1.5707926146400177</v>
      </c>
      <c r="K502" s="374">
        <f t="shared" si="211"/>
        <v>81.335950180115717</v>
      </c>
      <c r="L502" s="375">
        <f t="shared" si="212"/>
        <v>1.5585013306373767</v>
      </c>
      <c r="M502" s="363">
        <f t="shared" si="196"/>
        <v>3.1809880531339023</v>
      </c>
      <c r="N502" s="366">
        <f t="shared" si="197"/>
        <v>1.2510057813151325</v>
      </c>
      <c r="O502" s="367">
        <f t="shared" si="198"/>
        <v>1.351364916992245</v>
      </c>
      <c r="P502" s="368">
        <f t="shared" si="199"/>
        <v>1.0000482991756832</v>
      </c>
      <c r="Q502" s="369">
        <f t="shared" si="200"/>
        <v>-28.146068456605779</v>
      </c>
      <c r="R502" s="370">
        <f t="shared" si="201"/>
        <v>-235.8044205641194</v>
      </c>
      <c r="S502" s="372">
        <f t="shared" si="202"/>
        <v>-55.804420564119397</v>
      </c>
      <c r="U502" s="345">
        <f t="shared" si="208"/>
        <v>64941</v>
      </c>
      <c r="V502" s="345">
        <f t="shared" si="209"/>
        <v>4217333481</v>
      </c>
      <c r="X502" s="371">
        <f t="shared" si="203"/>
        <v>7.6436062144713199</v>
      </c>
      <c r="Y502" s="372">
        <f t="shared" si="204"/>
        <v>-72.381590196679127</v>
      </c>
      <c r="AA502" s="371">
        <f t="shared" si="205"/>
        <v>24.770899800927772</v>
      </c>
      <c r="AB502" s="372">
        <f t="shared" si="206"/>
        <v>-163.42283036744024</v>
      </c>
      <c r="AD502">
        <f t="shared" si="210"/>
        <v>0</v>
      </c>
      <c r="AE502">
        <f t="shared" si="213"/>
        <v>0</v>
      </c>
    </row>
    <row r="503" spans="1:31" x14ac:dyDescent="0.2">
      <c r="A503" s="373">
        <v>65317</v>
      </c>
      <c r="B503" s="390">
        <f t="shared" si="207"/>
        <v>65.316999999999993</v>
      </c>
      <c r="C503" s="363">
        <f t="shared" si="188"/>
        <v>91.962705693959762</v>
      </c>
      <c r="D503" s="364">
        <f t="shared" si="189"/>
        <v>1.5599221392563931</v>
      </c>
      <c r="E503" s="364">
        <f t="shared" si="190"/>
        <v>1.2885270438974257</v>
      </c>
      <c r="F503" s="365">
        <f t="shared" si="191"/>
        <v>0.68237055476893183</v>
      </c>
      <c r="G503" s="364">
        <f t="shared" si="192"/>
        <v>1.7809230023467941</v>
      </c>
      <c r="H503" s="365">
        <f t="shared" si="193"/>
        <v>-0.97459093698293553</v>
      </c>
      <c r="I503" s="363">
        <f t="shared" si="194"/>
        <v>270945.01809196576</v>
      </c>
      <c r="J503" s="366">
        <f t="shared" si="195"/>
        <v>1.5707926360091902</v>
      </c>
      <c r="K503" s="374">
        <f t="shared" si="211"/>
        <v>81.806803843738308</v>
      </c>
      <c r="L503" s="375">
        <f t="shared" si="212"/>
        <v>1.5585721002179693</v>
      </c>
      <c r="M503" s="363">
        <f t="shared" si="196"/>
        <v>3.1975901382629606</v>
      </c>
      <c r="N503" s="366">
        <f t="shared" si="197"/>
        <v>1.2527246803180785</v>
      </c>
      <c r="O503" s="367">
        <f t="shared" si="198"/>
        <v>1.3552260815865178</v>
      </c>
      <c r="P503" s="368">
        <f t="shared" si="199"/>
        <v>1.0046193713300788</v>
      </c>
      <c r="Q503" s="369">
        <f t="shared" si="200"/>
        <v>-28.212066809624133</v>
      </c>
      <c r="R503" s="370">
        <f t="shared" si="201"/>
        <v>-236.15642199944645</v>
      </c>
      <c r="S503" s="372">
        <f t="shared" si="202"/>
        <v>-56.156421999446451</v>
      </c>
      <c r="U503" s="345">
        <f t="shared" si="208"/>
        <v>65317</v>
      </c>
      <c r="V503" s="345">
        <f t="shared" si="209"/>
        <v>4266310489</v>
      </c>
      <c r="X503" s="371">
        <f t="shared" si="203"/>
        <v>7.5983835218877189</v>
      </c>
      <c r="Y503" s="372">
        <f t="shared" si="204"/>
        <v>-72.476022281142605</v>
      </c>
      <c r="AA503" s="371">
        <f t="shared" si="205"/>
        <v>24.750124140493021</v>
      </c>
      <c r="AB503" s="372">
        <f t="shared" si="206"/>
        <v>-163.6803997183039</v>
      </c>
      <c r="AD503">
        <f t="shared" si="210"/>
        <v>0</v>
      </c>
      <c r="AE503">
        <f t="shared" si="213"/>
        <v>0</v>
      </c>
    </row>
    <row r="504" spans="1:31" x14ac:dyDescent="0.2">
      <c r="A504" s="373">
        <v>65693</v>
      </c>
      <c r="B504" s="390">
        <f t="shared" si="207"/>
        <v>65.692999999999998</v>
      </c>
      <c r="C504" s="363">
        <f t="shared" si="188"/>
        <v>92.492030378596212</v>
      </c>
      <c r="D504" s="364">
        <f t="shared" si="189"/>
        <v>1.5599843738166035</v>
      </c>
      <c r="E504" s="364">
        <f t="shared" si="190"/>
        <v>1.2914820689548643</v>
      </c>
      <c r="F504" s="365">
        <f t="shared" si="191"/>
        <v>0.68518149464293288</v>
      </c>
      <c r="G504" s="364">
        <f t="shared" si="192"/>
        <v>1.7879489683488683</v>
      </c>
      <c r="H504" s="365">
        <f t="shared" si="193"/>
        <v>-0.97725509792350196</v>
      </c>
      <c r="I504" s="363">
        <f t="shared" si="194"/>
        <v>272504.72424505296</v>
      </c>
      <c r="J504" s="366">
        <f t="shared" si="195"/>
        <v>1.5707926571337456</v>
      </c>
      <c r="K504" s="374">
        <f t="shared" si="211"/>
        <v>82.277657912387269</v>
      </c>
      <c r="L504" s="375">
        <f t="shared" si="212"/>
        <v>1.5586420598063595</v>
      </c>
      <c r="M504" s="363">
        <f t="shared" si="196"/>
        <v>3.2142015734212492</v>
      </c>
      <c r="N504" s="366">
        <f t="shared" si="197"/>
        <v>1.2544258172918048</v>
      </c>
      <c r="O504" s="367">
        <f t="shared" si="198"/>
        <v>1.3591057646506068</v>
      </c>
      <c r="P504" s="368">
        <f t="shared" si="199"/>
        <v>1.0091756457472081</v>
      </c>
      <c r="Q504" s="369">
        <f t="shared" si="200"/>
        <v>-28.277665640473401</v>
      </c>
      <c r="R504" s="370">
        <f t="shared" si="201"/>
        <v>-236.50609404864849</v>
      </c>
      <c r="S504" s="372">
        <f t="shared" si="202"/>
        <v>-56.506094048648492</v>
      </c>
      <c r="U504" s="345">
        <f t="shared" si="208"/>
        <v>65693</v>
      </c>
      <c r="V504" s="345">
        <f t="shared" si="209"/>
        <v>4315570249</v>
      </c>
      <c r="X504" s="371">
        <f t="shared" si="203"/>
        <v>7.5533698443224662</v>
      </c>
      <c r="Y504" s="372">
        <f t="shared" si="204"/>
        <v>-72.569483071414226</v>
      </c>
      <c r="AA504" s="371">
        <f t="shared" si="205"/>
        <v>24.729538987209011</v>
      </c>
      <c r="AB504" s="372">
        <f t="shared" si="206"/>
        <v>-163.93661097723427</v>
      </c>
      <c r="AD504">
        <f t="shared" si="210"/>
        <v>0</v>
      </c>
      <c r="AE504">
        <f t="shared" si="213"/>
        <v>0</v>
      </c>
    </row>
    <row r="505" spans="1:31" x14ac:dyDescent="0.2">
      <c r="A505" s="373">
        <v>66069</v>
      </c>
      <c r="B505" s="390">
        <f t="shared" si="207"/>
        <v>66.069000000000003</v>
      </c>
      <c r="C505" s="363">
        <f t="shared" si="188"/>
        <v>93.021355417390325</v>
      </c>
      <c r="D505" s="364">
        <f t="shared" si="189"/>
        <v>1.5600459001028937</v>
      </c>
      <c r="E505" s="364">
        <f t="shared" si="190"/>
        <v>1.2944472518692263</v>
      </c>
      <c r="F505" s="365">
        <f t="shared" si="191"/>
        <v>0.68797957853369007</v>
      </c>
      <c r="G505" s="364">
        <f t="shared" si="192"/>
        <v>1.7949875253736589</v>
      </c>
      <c r="H505" s="365">
        <f t="shared" si="193"/>
        <v>-0.9798983839331965</v>
      </c>
      <c r="I505" s="363">
        <f t="shared" si="194"/>
        <v>274064.43039814028</v>
      </c>
      <c r="J505" s="366">
        <f t="shared" si="195"/>
        <v>1.5707926780178607</v>
      </c>
      <c r="K505" s="374">
        <f t="shared" si="211"/>
        <v>82.748512379148579</v>
      </c>
      <c r="L505" s="375">
        <f t="shared" si="212"/>
        <v>1.5587112232288762</v>
      </c>
      <c r="M505" s="363">
        <f t="shared" si="196"/>
        <v>3.2308222143878336</v>
      </c>
      <c r="N505" s="366">
        <f t="shared" si="197"/>
        <v>1.2561094564388628</v>
      </c>
      <c r="O505" s="367">
        <f t="shared" si="198"/>
        <v>1.3630039336193209</v>
      </c>
      <c r="P505" s="368">
        <f t="shared" si="199"/>
        <v>1.0137171574221631</v>
      </c>
      <c r="Q505" s="369">
        <f t="shared" si="200"/>
        <v>-28.342870182991135</v>
      </c>
      <c r="R505" s="370">
        <f t="shared" si="201"/>
        <v>-236.85346327361501</v>
      </c>
      <c r="S505" s="372">
        <f t="shared" si="202"/>
        <v>-56.853463273615006</v>
      </c>
      <c r="U505" s="345">
        <f t="shared" si="208"/>
        <v>66069</v>
      </c>
      <c r="V505" s="345">
        <f t="shared" si="209"/>
        <v>4365112761</v>
      </c>
      <c r="X505" s="371">
        <f t="shared" si="203"/>
        <v>7.5085635436145513</v>
      </c>
      <c r="Y505" s="372">
        <f t="shared" si="204"/>
        <v>-72.661986913234117</v>
      </c>
      <c r="AA505" s="371">
        <f t="shared" si="205"/>
        <v>24.709140745399182</v>
      </c>
      <c r="AB505" s="372">
        <f t="shared" si="206"/>
        <v>-164.19147636038088</v>
      </c>
      <c r="AD505">
        <f t="shared" si="210"/>
        <v>0</v>
      </c>
      <c r="AE505">
        <f t="shared" si="213"/>
        <v>0</v>
      </c>
    </row>
    <row r="506" spans="1:31" x14ac:dyDescent="0.2">
      <c r="A506" s="373">
        <v>66453.75</v>
      </c>
      <c r="B506" s="390">
        <f t="shared" si="207"/>
        <v>66.453749999999999</v>
      </c>
      <c r="C506" s="363">
        <f t="shared" si="188"/>
        <v>93.562998885916812</v>
      </c>
      <c r="D506" s="364">
        <f t="shared" si="189"/>
        <v>1.560108137534973</v>
      </c>
      <c r="E506" s="364">
        <f t="shared" si="190"/>
        <v>1.2974918809098825</v>
      </c>
      <c r="F506" s="365">
        <f t="shared" si="191"/>
        <v>0.69082951558663497</v>
      </c>
      <c r="G506" s="364">
        <f t="shared" si="192"/>
        <v>1.802202758652024</v>
      </c>
      <c r="H506" s="365">
        <f t="shared" si="193"/>
        <v>-0.98258179017263547</v>
      </c>
      <c r="I506" s="363">
        <f t="shared" si="194"/>
        <v>275660.4329045242</v>
      </c>
      <c r="J506" s="366">
        <f t="shared" si="195"/>
        <v>1.5707926991433347</v>
      </c>
      <c r="K506" s="374">
        <f t="shared" si="211"/>
        <v>83.230324635510641</v>
      </c>
      <c r="L506" s="375">
        <f t="shared" si="212"/>
        <v>1.5587811860948495</v>
      </c>
      <c r="M506" s="363">
        <f t="shared" si="196"/>
        <v>3.2478390210972026</v>
      </c>
      <c r="N506" s="366">
        <f t="shared" si="197"/>
        <v>1.2578144330197172</v>
      </c>
      <c r="O506" s="367">
        <f t="shared" si="198"/>
        <v>1.3670119205361511</v>
      </c>
      <c r="P506" s="368">
        <f t="shared" si="199"/>
        <v>1.0183491108204981</v>
      </c>
      <c r="Q506" s="369">
        <f t="shared" si="200"/>
        <v>-28.409189326463075</v>
      </c>
      <c r="R506" s="370">
        <f t="shared" si="201"/>
        <v>-237.20655967976668</v>
      </c>
      <c r="S506" s="372">
        <f t="shared" si="202"/>
        <v>-57.206559679766684</v>
      </c>
      <c r="U506" s="345">
        <f t="shared" si="208"/>
        <v>66453.75</v>
      </c>
      <c r="V506" s="345">
        <f t="shared" si="209"/>
        <v>4416100889.0625</v>
      </c>
      <c r="X506" s="371">
        <f t="shared" si="203"/>
        <v>7.4629275205197656</v>
      </c>
      <c r="Y506" s="372">
        <f t="shared" si="204"/>
        <v>-72.755667509050355</v>
      </c>
      <c r="AA506" s="371">
        <f t="shared" si="205"/>
        <v>24.688457625022025</v>
      </c>
      <c r="AB506" s="372">
        <f t="shared" si="206"/>
        <v>-164.45089217071629</v>
      </c>
      <c r="AD506">
        <f t="shared" si="210"/>
        <v>0</v>
      </c>
      <c r="AE506">
        <f t="shared" si="213"/>
        <v>0</v>
      </c>
    </row>
    <row r="507" spans="1:31" x14ac:dyDescent="0.2">
      <c r="A507" s="373">
        <v>66838.5</v>
      </c>
      <c r="B507" s="390">
        <f t="shared" si="207"/>
        <v>66.838499999999996</v>
      </c>
      <c r="C507" s="363">
        <f t="shared" si="188"/>
        <v>94.104642712687436</v>
      </c>
      <c r="D507" s="364">
        <f t="shared" si="189"/>
        <v>1.5601696585197271</v>
      </c>
      <c r="E507" s="364">
        <f t="shared" si="190"/>
        <v>1.3005469989713809</v>
      </c>
      <c r="F507" s="365">
        <f t="shared" si="191"/>
        <v>0.69366608600075153</v>
      </c>
      <c r="G507" s="364">
        <f t="shared" si="192"/>
        <v>1.8094308654478206</v>
      </c>
      <c r="H507" s="365">
        <f t="shared" si="193"/>
        <v>-0.98524377672617791</v>
      </c>
      <c r="I507" s="363">
        <f t="shared" si="194"/>
        <v>277256.43541090837</v>
      </c>
      <c r="J507" s="366">
        <f t="shared" si="195"/>
        <v>1.5707927200255947</v>
      </c>
      <c r="K507" s="374">
        <f t="shared" si="211"/>
        <v>83.712137294579122</v>
      </c>
      <c r="L507" s="375">
        <f t="shared" si="212"/>
        <v>1.5588503436061505</v>
      </c>
      <c r="M507" s="363">
        <f t="shared" si="196"/>
        <v>3.2648651706626106</v>
      </c>
      <c r="N507" s="366">
        <f t="shared" si="197"/>
        <v>1.2595016316846321</v>
      </c>
      <c r="O507" s="367">
        <f t="shared" si="198"/>
        <v>1.3710391958468433</v>
      </c>
      <c r="P507" s="368">
        <f t="shared" si="199"/>
        <v>1.0229656820472177</v>
      </c>
      <c r="Q507" s="369">
        <f t="shared" si="200"/>
        <v>-28.475106421175195</v>
      </c>
      <c r="R507" s="370">
        <f t="shared" si="201"/>
        <v>-237.5572998273218</v>
      </c>
      <c r="S507" s="372">
        <f t="shared" si="202"/>
        <v>-57.557299827321799</v>
      </c>
      <c r="U507" s="345">
        <f t="shared" si="208"/>
        <v>66838.5</v>
      </c>
      <c r="V507" s="345">
        <f t="shared" si="209"/>
        <v>4467385082.25</v>
      </c>
      <c r="X507" s="371">
        <f t="shared" si="203"/>
        <v>7.4175052121765734</v>
      </c>
      <c r="Y507" s="372">
        <f t="shared" si="204"/>
        <v>-72.848375634802196</v>
      </c>
      <c r="AA507" s="371">
        <f t="shared" si="205"/>
        <v>24.667962838653104</v>
      </c>
      <c r="AB507" s="372">
        <f t="shared" si="206"/>
        <v>-164.70892419251959</v>
      </c>
      <c r="AD507">
        <f t="shared" si="210"/>
        <v>0</v>
      </c>
      <c r="AE507">
        <f t="shared" si="213"/>
        <v>0</v>
      </c>
    </row>
    <row r="508" spans="1:31" x14ac:dyDescent="0.2">
      <c r="A508" s="373">
        <v>67223.25</v>
      </c>
      <c r="B508" s="390">
        <f t="shared" si="207"/>
        <v>67.223249999999993</v>
      </c>
      <c r="C508" s="363">
        <f t="shared" si="188"/>
        <v>94.646286891551668</v>
      </c>
      <c r="D508" s="364">
        <f t="shared" si="189"/>
        <v>1.5602304753569955</v>
      </c>
      <c r="E508" s="364">
        <f t="shared" si="190"/>
        <v>1.3036125323081986</v>
      </c>
      <c r="F508" s="365">
        <f t="shared" si="191"/>
        <v>0.69648933826666182</v>
      </c>
      <c r="G508" s="364">
        <f t="shared" si="192"/>
        <v>1.8166716920990162</v>
      </c>
      <c r="H508" s="365">
        <f t="shared" si="193"/>
        <v>-0.98788456176249484</v>
      </c>
      <c r="I508" s="363">
        <f t="shared" si="194"/>
        <v>278852.43791729258</v>
      </c>
      <c r="J508" s="366">
        <f t="shared" si="195"/>
        <v>1.5707927406688169</v>
      </c>
      <c r="K508" s="374">
        <f t="shared" si="211"/>
        <v>84.193950349440343</v>
      </c>
      <c r="L508" s="375">
        <f t="shared" si="212"/>
        <v>1.5589187095884161</v>
      </c>
      <c r="M508" s="363">
        <f t="shared" si="196"/>
        <v>3.2819005176748406</v>
      </c>
      <c r="N508" s="366">
        <f t="shared" si="197"/>
        <v>1.2611713195917025</v>
      </c>
      <c r="O508" s="367">
        <f t="shared" si="198"/>
        <v>1.3750857257610338</v>
      </c>
      <c r="P508" s="368">
        <f t="shared" si="199"/>
        <v>1.0275669101116023</v>
      </c>
      <c r="Q508" s="369">
        <f t="shared" si="200"/>
        <v>-28.540626790956374</v>
      </c>
      <c r="R508" s="370">
        <f t="shared" si="201"/>
        <v>-237.90571089303256</v>
      </c>
      <c r="S508" s="372">
        <f t="shared" si="202"/>
        <v>-57.905710893032563</v>
      </c>
      <c r="U508" s="345">
        <f t="shared" si="208"/>
        <v>67223.25</v>
      </c>
      <c r="V508" s="345">
        <f t="shared" si="209"/>
        <v>4518965340.5625</v>
      </c>
      <c r="X508" s="371">
        <f t="shared" si="203"/>
        <v>7.3722949082409404</v>
      </c>
      <c r="Y508" s="372">
        <f t="shared" si="204"/>
        <v>-72.94012580560964</v>
      </c>
      <c r="AA508" s="371">
        <f t="shared" si="205"/>
        <v>24.647652772807561</v>
      </c>
      <c r="AB508" s="372">
        <f t="shared" si="206"/>
        <v>-164.96558508742291</v>
      </c>
      <c r="AD508">
        <f t="shared" si="210"/>
        <v>0</v>
      </c>
      <c r="AE508">
        <f t="shared" si="213"/>
        <v>0</v>
      </c>
    </row>
    <row r="509" spans="1:31" x14ac:dyDescent="0.2">
      <c r="A509" s="373">
        <v>67608</v>
      </c>
      <c r="B509" s="390">
        <f t="shared" si="207"/>
        <v>67.608000000000004</v>
      </c>
      <c r="C509" s="363">
        <f t="shared" si="188"/>
        <v>95.187931416499012</v>
      </c>
      <c r="D509" s="364">
        <f t="shared" si="189"/>
        <v>1.560290600066681</v>
      </c>
      <c r="E509" s="364">
        <f t="shared" si="190"/>
        <v>1.3066884076166174</v>
      </c>
      <c r="F509" s="365">
        <f t="shared" si="191"/>
        <v>0.69929932126997196</v>
      </c>
      <c r="G509" s="364">
        <f t="shared" si="192"/>
        <v>1.823925087115402</v>
      </c>
      <c r="H509" s="365">
        <f t="shared" si="193"/>
        <v>-0.99050436117178031</v>
      </c>
      <c r="I509" s="363">
        <f t="shared" si="194"/>
        <v>280448.44042367698</v>
      </c>
      <c r="J509" s="366">
        <f t="shared" si="195"/>
        <v>1.5707927610770824</v>
      </c>
      <c r="K509" s="374">
        <f t="shared" si="211"/>
        <v>84.675763793338049</v>
      </c>
      <c r="L509" s="375">
        <f t="shared" si="212"/>
        <v>1.5589862975526363</v>
      </c>
      <c r="M509" s="363">
        <f t="shared" si="196"/>
        <v>3.2989449196504324</v>
      </c>
      <c r="N509" s="366">
        <f t="shared" si="197"/>
        <v>1.2628237587728288</v>
      </c>
      <c r="O509" s="367">
        <f t="shared" si="198"/>
        <v>1.3791514768585234</v>
      </c>
      <c r="P509" s="368">
        <f t="shared" si="199"/>
        <v>1.0321528345029294</v>
      </c>
      <c r="Q509" s="369">
        <f t="shared" si="200"/>
        <v>-28.605755667671943</v>
      </c>
      <c r="R509" s="370">
        <f t="shared" si="201"/>
        <v>-238.25181963624874</v>
      </c>
      <c r="S509" s="372">
        <f t="shared" si="202"/>
        <v>-58.25181963624874</v>
      </c>
      <c r="U509" s="345">
        <f t="shared" si="208"/>
        <v>67608</v>
      </c>
      <c r="V509" s="345">
        <f t="shared" si="209"/>
        <v>4570841664</v>
      </c>
      <c r="X509" s="371">
        <f t="shared" si="203"/>
        <v>7.3272949134809862</v>
      </c>
      <c r="Y509" s="372">
        <f t="shared" si="204"/>
        <v>-73.030932260905772</v>
      </c>
      <c r="AA509" s="371">
        <f t="shared" si="205"/>
        <v>24.62752389085194</v>
      </c>
      <c r="AB509" s="372">
        <f t="shared" si="206"/>
        <v>-165.22088737534298</v>
      </c>
      <c r="AD509">
        <f t="shared" si="210"/>
        <v>0</v>
      </c>
      <c r="AE509">
        <f t="shared" si="213"/>
        <v>0</v>
      </c>
    </row>
    <row r="510" spans="1:31" x14ac:dyDescent="0.2">
      <c r="A510" s="373">
        <v>68001.75</v>
      </c>
      <c r="B510" s="390">
        <f t="shared" si="207"/>
        <v>68.001750000000001</v>
      </c>
      <c r="C510" s="363">
        <f t="shared" si="188"/>
        <v>95.742246341005796</v>
      </c>
      <c r="D510" s="364">
        <f t="shared" si="189"/>
        <v>1.5603514268567289</v>
      </c>
      <c r="E510" s="364">
        <f t="shared" si="190"/>
        <v>1.3098468648786399</v>
      </c>
      <c r="F510" s="365">
        <f t="shared" si="191"/>
        <v>0.7021613477961911</v>
      </c>
      <c r="G510" s="364">
        <f t="shared" si="192"/>
        <v>1.8313610091647534</v>
      </c>
      <c r="H510" s="365">
        <f t="shared" si="193"/>
        <v>-0.9931639376221536</v>
      </c>
      <c r="I510" s="363">
        <f t="shared" si="194"/>
        <v>282081.77632202365</v>
      </c>
      <c r="J510" s="366">
        <f t="shared" si="195"/>
        <v>1.5707927817236302</v>
      </c>
      <c r="K510" s="374">
        <f t="shared" si="211"/>
        <v>85.168848123055483</v>
      </c>
      <c r="L510" s="375">
        <f t="shared" si="212"/>
        <v>1.5590546747690672</v>
      </c>
      <c r="M510" s="363">
        <f t="shared" si="196"/>
        <v>3.3163972505696093</v>
      </c>
      <c r="N510" s="366">
        <f t="shared" si="197"/>
        <v>1.2644972609949525</v>
      </c>
      <c r="O510" s="367">
        <f t="shared" si="198"/>
        <v>1.383332199630229</v>
      </c>
      <c r="P510" s="368">
        <f t="shared" si="199"/>
        <v>1.0368302288409617</v>
      </c>
      <c r="Q510" s="369">
        <f t="shared" si="200"/>
        <v>-28.672008054639846</v>
      </c>
      <c r="R510" s="370">
        <f t="shared" si="201"/>
        <v>-238.60366824615858</v>
      </c>
      <c r="S510" s="372">
        <f t="shared" si="202"/>
        <v>-58.603668246158577</v>
      </c>
      <c r="U510" s="345">
        <f t="shared" si="208"/>
        <v>68001.75</v>
      </c>
      <c r="V510" s="345">
        <f t="shared" si="209"/>
        <v>4624238003.0625</v>
      </c>
      <c r="X510" s="371">
        <f t="shared" si="203"/>
        <v>7.281458280222818</v>
      </c>
      <c r="Y510" s="372">
        <f t="shared" si="204"/>
        <v>-73.122900332388028</v>
      </c>
      <c r="AA510" s="371">
        <f t="shared" si="205"/>
        <v>24.607108137142205</v>
      </c>
      <c r="AB510" s="372">
        <f t="shared" si="206"/>
        <v>-165.48076791377059</v>
      </c>
      <c r="AD510">
        <f t="shared" si="210"/>
        <v>0</v>
      </c>
      <c r="AE510">
        <f t="shared" si="213"/>
        <v>0</v>
      </c>
    </row>
    <row r="511" spans="1:31" x14ac:dyDescent="0.2">
      <c r="A511" s="373">
        <v>68395.5</v>
      </c>
      <c r="B511" s="390">
        <f t="shared" si="207"/>
        <v>68.395499999999998</v>
      </c>
      <c r="C511" s="363">
        <f t="shared" si="188"/>
        <v>96.296561615670925</v>
      </c>
      <c r="D511" s="364">
        <f t="shared" si="189"/>
        <v>1.5604115533682277</v>
      </c>
      <c r="E511" s="364">
        <f t="shared" si="190"/>
        <v>1.3130159996835298</v>
      </c>
      <c r="F511" s="365">
        <f t="shared" si="191"/>
        <v>0.70500958181307527</v>
      </c>
      <c r="G511" s="364">
        <f t="shared" si="192"/>
        <v>1.8388097802450278</v>
      </c>
      <c r="H511" s="365">
        <f t="shared" si="193"/>
        <v>-0.99580198543375675</v>
      </c>
      <c r="I511" s="363">
        <f t="shared" si="194"/>
        <v>283715.11222037044</v>
      </c>
      <c r="J511" s="366">
        <f t="shared" si="195"/>
        <v>1.5707928021324555</v>
      </c>
      <c r="K511" s="374">
        <f t="shared" si="211"/>
        <v>85.661932846390854</v>
      </c>
      <c r="L511" s="375">
        <f t="shared" si="212"/>
        <v>1.5591222648039269</v>
      </c>
      <c r="M511" s="363">
        <f t="shared" si="196"/>
        <v>3.3338587721656392</v>
      </c>
      <c r="N511" s="366">
        <f t="shared" si="197"/>
        <v>1.2661532374406559</v>
      </c>
      <c r="O511" s="367">
        <f t="shared" si="198"/>
        <v>1.387532983700476</v>
      </c>
      <c r="P511" s="368">
        <f t="shared" si="199"/>
        <v>1.0414916803304375</v>
      </c>
      <c r="Q511" s="369">
        <f t="shared" si="200"/>
        <v>-28.737861218918525</v>
      </c>
      <c r="R511" s="370">
        <f t="shared" si="201"/>
        <v>-238.95316096309801</v>
      </c>
      <c r="S511" s="372">
        <f t="shared" si="202"/>
        <v>-58.953160963098014</v>
      </c>
      <c r="U511" s="345">
        <f t="shared" si="208"/>
        <v>68395.5</v>
      </c>
      <c r="V511" s="345">
        <f t="shared" si="209"/>
        <v>4677944420.25</v>
      </c>
      <c r="X511" s="371">
        <f t="shared" si="203"/>
        <v>7.2358383661474912</v>
      </c>
      <c r="Y511" s="372">
        <f t="shared" si="204"/>
        <v>-73.213909339408829</v>
      </c>
      <c r="AA511" s="371">
        <f t="shared" si="205"/>
        <v>24.586874886938851</v>
      </c>
      <c r="AB511" s="372">
        <f t="shared" si="206"/>
        <v>-165.73925162368911</v>
      </c>
      <c r="AD511">
        <f t="shared" si="210"/>
        <v>0</v>
      </c>
      <c r="AE511">
        <f t="shared" si="213"/>
        <v>0</v>
      </c>
    </row>
    <row r="512" spans="1:31" x14ac:dyDescent="0.2">
      <c r="A512" s="373">
        <v>68789.25</v>
      </c>
      <c r="B512" s="390">
        <f t="shared" si="207"/>
        <v>68.789249999999996</v>
      </c>
      <c r="C512" s="363">
        <f t="shared" si="188"/>
        <v>96.850877234482184</v>
      </c>
      <c r="D512" s="364">
        <f t="shared" si="189"/>
        <v>1.5604709916246469</v>
      </c>
      <c r="E512" s="364">
        <f t="shared" si="190"/>
        <v>1.3161957349031572</v>
      </c>
      <c r="F512" s="365">
        <f t="shared" si="191"/>
        <v>0.70784407690371964</v>
      </c>
      <c r="G512" s="364">
        <f t="shared" si="192"/>
        <v>1.8462712448382002</v>
      </c>
      <c r="H512" s="365">
        <f t="shared" si="193"/>
        <v>-0.99841872868090753</v>
      </c>
      <c r="I512" s="363">
        <f t="shared" si="194"/>
        <v>285348.44811871741</v>
      </c>
      <c r="J512" s="366">
        <f t="shared" si="195"/>
        <v>1.5707928223076404</v>
      </c>
      <c r="K512" s="374">
        <f t="shared" si="211"/>
        <v>86.155017956585837</v>
      </c>
      <c r="L512" s="375">
        <f t="shared" si="212"/>
        <v>1.5591890811722597</v>
      </c>
      <c r="M512" s="363">
        <f t="shared" si="196"/>
        <v>3.3513293407792313</v>
      </c>
      <c r="N512" s="366">
        <f t="shared" si="197"/>
        <v>1.2677919530430466</v>
      </c>
      <c r="O512" s="367">
        <f t="shared" si="198"/>
        <v>1.3917537944473279</v>
      </c>
      <c r="P512" s="368">
        <f t="shared" si="199"/>
        <v>1.0461372327614491</v>
      </c>
      <c r="Q512" s="369">
        <f t="shared" si="200"/>
        <v>-28.80332048091697</v>
      </c>
      <c r="R512" s="370">
        <f t="shared" si="201"/>
        <v>-239.30032515880373</v>
      </c>
      <c r="S512" s="372">
        <f t="shared" si="202"/>
        <v>-59.30032515880373</v>
      </c>
      <c r="U512" s="345">
        <f t="shared" si="208"/>
        <v>68789.25</v>
      </c>
      <c r="V512" s="345">
        <f t="shared" si="209"/>
        <v>4731960915.5625</v>
      </c>
      <c r="X512" s="371">
        <f t="shared" si="203"/>
        <v>7.1904334032416894</v>
      </c>
      <c r="Y512" s="372">
        <f t="shared" si="204"/>
        <v>-73.303973687396052</v>
      </c>
      <c r="AA512" s="371">
        <f t="shared" si="205"/>
        <v>24.566820587846216</v>
      </c>
      <c r="AB512" s="372">
        <f t="shared" si="206"/>
        <v>-165.99635147140768</v>
      </c>
      <c r="AD512">
        <f t="shared" si="210"/>
        <v>0</v>
      </c>
      <c r="AE512">
        <f t="shared" si="213"/>
        <v>0</v>
      </c>
    </row>
    <row r="513" spans="1:31" x14ac:dyDescent="0.2">
      <c r="A513" s="373">
        <v>69183</v>
      </c>
      <c r="B513" s="390">
        <f t="shared" si="207"/>
        <v>69.183000000000007</v>
      </c>
      <c r="C513" s="363">
        <f t="shared" si="188"/>
        <v>97.405193191564109</v>
      </c>
      <c r="D513" s="364">
        <f t="shared" si="189"/>
        <v>1.5605297533757811</v>
      </c>
      <c r="E513" s="364">
        <f t="shared" si="190"/>
        <v>1.3193859938961652</v>
      </c>
      <c r="F513" s="365">
        <f t="shared" si="191"/>
        <v>0.71066488701861585</v>
      </c>
      <c r="G513" s="364">
        <f t="shared" si="192"/>
        <v>1.8537452496672335</v>
      </c>
      <c r="H513" s="365">
        <f t="shared" si="193"/>
        <v>-1.0010143890004612</v>
      </c>
      <c r="I513" s="363">
        <f t="shared" si="194"/>
        <v>286981.78401706443</v>
      </c>
      <c r="J513" s="366">
        <f t="shared" si="195"/>
        <v>1.5707928422531741</v>
      </c>
      <c r="K513" s="374">
        <f t="shared" si="211"/>
        <v>86.648103447035993</v>
      </c>
      <c r="L513" s="375">
        <f t="shared" si="212"/>
        <v>1.5592551370814993</v>
      </c>
      <c r="M513" s="363">
        <f t="shared" si="196"/>
        <v>3.3688088156574847</v>
      </c>
      <c r="N513" s="366">
        <f t="shared" si="197"/>
        <v>1.2694136676117842</v>
      </c>
      <c r="O513" s="367">
        <f t="shared" si="198"/>
        <v>1.3959945976510082</v>
      </c>
      <c r="P513" s="368">
        <f t="shared" si="199"/>
        <v>1.0507669303858205</v>
      </c>
      <c r="Q513" s="369">
        <f t="shared" si="200"/>
        <v>-28.868391068065456</v>
      </c>
      <c r="R513" s="370">
        <f t="shared" si="201"/>
        <v>-239.64518777914853</v>
      </c>
      <c r="S513" s="372">
        <f t="shared" si="202"/>
        <v>-59.645187779148529</v>
      </c>
      <c r="U513" s="345">
        <f t="shared" si="208"/>
        <v>69183</v>
      </c>
      <c r="V513" s="345">
        <f t="shared" si="209"/>
        <v>4786287489</v>
      </c>
      <c r="X513" s="371">
        <f t="shared" si="203"/>
        <v>7.1452416399238459</v>
      </c>
      <c r="Y513" s="372">
        <f t="shared" si="204"/>
        <v>-73.393107505845038</v>
      </c>
      <c r="AA513" s="371">
        <f t="shared" si="205"/>
        <v>24.546941764015571</v>
      </c>
      <c r="AB513" s="372">
        <f t="shared" si="206"/>
        <v>-166.25208027330353</v>
      </c>
      <c r="AD513">
        <f t="shared" si="210"/>
        <v>0</v>
      </c>
      <c r="AE513">
        <f t="shared" si="213"/>
        <v>0</v>
      </c>
    </row>
    <row r="514" spans="1:31" x14ac:dyDescent="0.2">
      <c r="A514" s="373">
        <v>69586</v>
      </c>
      <c r="B514" s="390">
        <f t="shared" si="207"/>
        <v>69.585999999999999</v>
      </c>
      <c r="C514" s="363">
        <f t="shared" si="188"/>
        <v>97.972531518596341</v>
      </c>
      <c r="D514" s="364">
        <f t="shared" si="189"/>
        <v>1.5605892070142164</v>
      </c>
      <c r="E514" s="364">
        <f t="shared" si="190"/>
        <v>1.3226620166976206</v>
      </c>
      <c r="F514" s="365">
        <f t="shared" si="191"/>
        <v>0.71353784947221621</v>
      </c>
      <c r="G514" s="364">
        <f t="shared" si="192"/>
        <v>1.8614076622351245</v>
      </c>
      <c r="H514" s="365">
        <f t="shared" si="193"/>
        <v>-1.0036494238339826</v>
      </c>
      <c r="I514" s="363">
        <f t="shared" si="194"/>
        <v>288653.49034603935</v>
      </c>
      <c r="J514" s="366">
        <f t="shared" si="195"/>
        <v>1.570792862433531</v>
      </c>
      <c r="K514" s="374">
        <f t="shared" si="211"/>
        <v>87.152772920158696</v>
      </c>
      <c r="L514" s="375">
        <f t="shared" si="212"/>
        <v>1.5593219707841304</v>
      </c>
      <c r="M514" s="363">
        <f t="shared" si="196"/>
        <v>3.386707998114352</v>
      </c>
      <c r="N514" s="366">
        <f t="shared" si="197"/>
        <v>1.2710561406827907</v>
      </c>
      <c r="O514" s="367">
        <f t="shared" si="198"/>
        <v>1.4003556932508132</v>
      </c>
      <c r="P514" s="368">
        <f t="shared" si="199"/>
        <v>1.0554890179362937</v>
      </c>
      <c r="Q514" s="369">
        <f t="shared" si="200"/>
        <v>-28.934593179167901</v>
      </c>
      <c r="R514" s="370">
        <f t="shared" si="201"/>
        <v>-239.99579630287334</v>
      </c>
      <c r="S514" s="372">
        <f t="shared" si="202"/>
        <v>-59.995796302873345</v>
      </c>
      <c r="U514" s="345">
        <f t="shared" si="208"/>
        <v>69586</v>
      </c>
      <c r="V514" s="345">
        <f t="shared" si="209"/>
        <v>4842211396</v>
      </c>
      <c r="X514" s="371">
        <f t="shared" si="203"/>
        <v>7.0992071891981778</v>
      </c>
      <c r="Y514" s="372">
        <f t="shared" si="204"/>
        <v>-73.48338614804004</v>
      </c>
      <c r="AA514" s="371">
        <f t="shared" si="205"/>
        <v>24.526774103638793</v>
      </c>
      <c r="AB514" s="372">
        <f t="shared" si="206"/>
        <v>-166.5124101548333</v>
      </c>
      <c r="AD514">
        <f t="shared" si="210"/>
        <v>0</v>
      </c>
      <c r="AE514">
        <f t="shared" si="213"/>
        <v>0</v>
      </c>
    </row>
    <row r="515" spans="1:31" x14ac:dyDescent="0.2">
      <c r="A515" s="373">
        <v>69989</v>
      </c>
      <c r="B515" s="390">
        <f t="shared" si="207"/>
        <v>69.989000000000004</v>
      </c>
      <c r="C515" s="363">
        <f t="shared" si="188"/>
        <v>98.539870187947841</v>
      </c>
      <c r="D515" s="364">
        <f t="shared" si="189"/>
        <v>1.560647976049802</v>
      </c>
      <c r="E515" s="364">
        <f t="shared" si="190"/>
        <v>1.3259489026382627</v>
      </c>
      <c r="F515" s="365">
        <f t="shared" si="191"/>
        <v>0.7163965918892401</v>
      </c>
      <c r="G515" s="364">
        <f t="shared" si="192"/>
        <v>1.8690828932952646</v>
      </c>
      <c r="H515" s="365">
        <f t="shared" si="193"/>
        <v>-1.0062628355935563</v>
      </c>
      <c r="I515" s="363">
        <f t="shared" si="194"/>
        <v>290325.19667501451</v>
      </c>
      <c r="J515" s="366">
        <f t="shared" si="195"/>
        <v>1.570792882381489</v>
      </c>
      <c r="K515" s="374">
        <f t="shared" si="211"/>
        <v>87.657442778088011</v>
      </c>
      <c r="L515" s="375">
        <f t="shared" si="212"/>
        <v>1.5593880349242157</v>
      </c>
      <c r="M515" s="363">
        <f t="shared" si="196"/>
        <v>3.4046162208734327</v>
      </c>
      <c r="N515" s="366">
        <f t="shared" si="197"/>
        <v>1.2726813393395755</v>
      </c>
      <c r="O515" s="367">
        <f t="shared" si="198"/>
        <v>1.4047376604191759</v>
      </c>
      <c r="P515" s="368">
        <f t="shared" si="199"/>
        <v>1.0601945922197542</v>
      </c>
      <c r="Q515" s="369">
        <f t="shared" si="200"/>
        <v>-29.000398929612075</v>
      </c>
      <c r="R515" s="370">
        <f t="shared" si="201"/>
        <v>-240.34404962678076</v>
      </c>
      <c r="S515" s="372">
        <f t="shared" si="202"/>
        <v>-60.344049626780759</v>
      </c>
      <c r="U515" s="345">
        <f t="shared" si="208"/>
        <v>69989</v>
      </c>
      <c r="V515" s="345">
        <f t="shared" si="209"/>
        <v>4898460121</v>
      </c>
      <c r="X515" s="371">
        <f t="shared" si="203"/>
        <v>7.0533924123982175</v>
      </c>
      <c r="Y515" s="372">
        <f t="shared" si="204"/>
        <v>-73.572719118575961</v>
      </c>
      <c r="AA515" s="371">
        <f t="shared" si="205"/>
        <v>24.506783129994577</v>
      </c>
      <c r="AB515" s="372">
        <f t="shared" si="206"/>
        <v>-166.77133050820481</v>
      </c>
      <c r="AD515">
        <f t="shared" si="210"/>
        <v>0</v>
      </c>
      <c r="AE515">
        <f t="shared" si="213"/>
        <v>0</v>
      </c>
    </row>
    <row r="516" spans="1:31" x14ac:dyDescent="0.2">
      <c r="A516" s="373">
        <v>70392</v>
      </c>
      <c r="B516" s="390">
        <f t="shared" si="207"/>
        <v>70.391999999999996</v>
      </c>
      <c r="C516" s="363">
        <f t="shared" si="188"/>
        <v>99.107209193739777</v>
      </c>
      <c r="D516" s="364">
        <f t="shared" si="189"/>
        <v>1.5607060722391508</v>
      </c>
      <c r="E516" s="364">
        <f t="shared" si="190"/>
        <v>1.3292465711328205</v>
      </c>
      <c r="F516" s="365">
        <f t="shared" si="191"/>
        <v>0.71924117320450331</v>
      </c>
      <c r="G516" s="364">
        <f t="shared" si="192"/>
        <v>1.8767707855803624</v>
      </c>
      <c r="H516" s="365">
        <f t="shared" si="193"/>
        <v>-1.0088548540866686</v>
      </c>
      <c r="I516" s="363">
        <f t="shared" si="194"/>
        <v>291996.90300398978</v>
      </c>
      <c r="J516" s="366">
        <f t="shared" si="195"/>
        <v>1.5707929021010396</v>
      </c>
      <c r="K516" s="374">
        <f t="shared" si="211"/>
        <v>88.162113014215635</v>
      </c>
      <c r="L516" s="375">
        <f t="shared" si="212"/>
        <v>1.5594533427168955</v>
      </c>
      <c r="M516" s="363">
        <f t="shared" si="196"/>
        <v>3.4225333420260364</v>
      </c>
      <c r="N516" s="366">
        <f t="shared" si="197"/>
        <v>1.2742895262260006</v>
      </c>
      <c r="O516" s="367">
        <f t="shared" si="198"/>
        <v>1.4091404637682323</v>
      </c>
      <c r="P516" s="368">
        <f t="shared" si="199"/>
        <v>1.0648837020810109</v>
      </c>
      <c r="Q516" s="369">
        <f t="shared" si="200"/>
        <v>-29.065813633600214</v>
      </c>
      <c r="R516" s="370">
        <f t="shared" si="201"/>
        <v>-240.68997530480118</v>
      </c>
      <c r="S516" s="372">
        <f t="shared" si="202"/>
        <v>-60.68997530480118</v>
      </c>
      <c r="U516" s="345">
        <f t="shared" si="208"/>
        <v>70392</v>
      </c>
      <c r="V516" s="345">
        <f t="shared" si="209"/>
        <v>4955033664</v>
      </c>
      <c r="X516" s="371">
        <f t="shared" si="203"/>
        <v>7.0077954846522452</v>
      </c>
      <c r="Y516" s="372">
        <f t="shared" si="204"/>
        <v>-73.661120708894586</v>
      </c>
      <c r="AA516" s="371">
        <f t="shared" si="205"/>
        <v>24.48696535375241</v>
      </c>
      <c r="AB516" s="372">
        <f t="shared" si="206"/>
        <v>-167.02885459590655</v>
      </c>
      <c r="AD516">
        <f t="shared" si="210"/>
        <v>0</v>
      </c>
      <c r="AE516">
        <f t="shared" si="213"/>
        <v>0</v>
      </c>
    </row>
    <row r="517" spans="1:31" x14ac:dyDescent="0.2">
      <c r="A517" s="373">
        <v>70795</v>
      </c>
      <c r="B517" s="390">
        <f t="shared" si="207"/>
        <v>70.795000000000002</v>
      </c>
      <c r="C517" s="363">
        <f t="shared" si="188"/>
        <v>99.674548530227199</v>
      </c>
      <c r="D517" s="364">
        <f t="shared" si="189"/>
        <v>1.5607635070712236</v>
      </c>
      <c r="E517" s="364">
        <f t="shared" si="190"/>
        <v>1.3325549421306646</v>
      </c>
      <c r="F517" s="365">
        <f t="shared" si="191"/>
        <v>0.7220716526870975</v>
      </c>
      <c r="G517" s="364">
        <f t="shared" si="192"/>
        <v>1.8844711841321506</v>
      </c>
      <c r="H517" s="365">
        <f t="shared" si="193"/>
        <v>-1.0114257065237551</v>
      </c>
      <c r="I517" s="363">
        <f t="shared" si="194"/>
        <v>293668.6093329651</v>
      </c>
      <c r="J517" s="366">
        <f t="shared" si="195"/>
        <v>1.5707929215960834</v>
      </c>
      <c r="K517" s="374">
        <f t="shared" si="211"/>
        <v>88.666783622083727</v>
      </c>
      <c r="L517" s="375">
        <f t="shared" si="212"/>
        <v>1.5595179070764653</v>
      </c>
      <c r="M517" s="363">
        <f t="shared" si="196"/>
        <v>3.4404592225497979</v>
      </c>
      <c r="N517" s="366">
        <f t="shared" si="197"/>
        <v>1.2758809588681643</v>
      </c>
      <c r="O517" s="367">
        <f t="shared" si="198"/>
        <v>1.4135640683457369</v>
      </c>
      <c r="P517" s="368">
        <f t="shared" si="199"/>
        <v>1.0695563968035264</v>
      </c>
      <c r="Q517" s="369">
        <f t="shared" si="200"/>
        <v>-29.130842511403397</v>
      </c>
      <c r="R517" s="370">
        <f t="shared" si="201"/>
        <v>-241.0336004567155</v>
      </c>
      <c r="S517" s="372">
        <f t="shared" si="202"/>
        <v>-61.033600456715504</v>
      </c>
      <c r="U517" s="345">
        <f t="shared" si="208"/>
        <v>70795</v>
      </c>
      <c r="V517" s="345">
        <f t="shared" si="209"/>
        <v>5011932025</v>
      </c>
      <c r="X517" s="371">
        <f t="shared" si="203"/>
        <v>6.9624145988293096</v>
      </c>
      <c r="Y517" s="372">
        <f t="shared" si="204"/>
        <v>-73.748604934443307</v>
      </c>
      <c r="AA517" s="371">
        <f t="shared" si="205"/>
        <v>24.467317361772164</v>
      </c>
      <c r="AB517" s="372">
        <f t="shared" si="206"/>
        <v>-167.28499552227223</v>
      </c>
      <c r="AD517">
        <f t="shared" si="210"/>
        <v>0</v>
      </c>
      <c r="AE517">
        <f t="shared" si="213"/>
        <v>0</v>
      </c>
    </row>
    <row r="518" spans="1:31" x14ac:dyDescent="0.2">
      <c r="A518" s="373">
        <v>71207.25</v>
      </c>
      <c r="B518" s="390">
        <f t="shared" si="207"/>
        <v>71.207250000000002</v>
      </c>
      <c r="C518" s="363">
        <f t="shared" si="188"/>
        <v>100.25491025976019</v>
      </c>
      <c r="D518" s="364">
        <f t="shared" si="189"/>
        <v>1.5608215876008584</v>
      </c>
      <c r="E518" s="364">
        <f t="shared" si="190"/>
        <v>1.3359502405845989</v>
      </c>
      <c r="F518" s="365">
        <f t="shared" si="191"/>
        <v>0.72495257081509445</v>
      </c>
      <c r="G518" s="364">
        <f t="shared" si="192"/>
        <v>1.8923611097691315</v>
      </c>
      <c r="H518" s="365">
        <f t="shared" si="193"/>
        <v>-1.0140339011870596</v>
      </c>
      <c r="I518" s="363">
        <f t="shared" si="194"/>
        <v>295378.68609256839</v>
      </c>
      <c r="J518" s="366">
        <f t="shared" si="195"/>
        <v>1.5707929413102726</v>
      </c>
      <c r="K518" s="374">
        <f t="shared" si="211"/>
        <v>89.18303823858686</v>
      </c>
      <c r="L518" s="375">
        <f t="shared" si="212"/>
        <v>1.5595831973055843</v>
      </c>
      <c r="M518" s="363">
        <f t="shared" si="196"/>
        <v>3.4588054744477938</v>
      </c>
      <c r="N518" s="366">
        <f t="shared" si="197"/>
        <v>1.2774918471948009</v>
      </c>
      <c r="O518" s="367">
        <f t="shared" si="198"/>
        <v>1.4181106941641903</v>
      </c>
      <c r="P518" s="368">
        <f t="shared" si="199"/>
        <v>1.0743194104057585</v>
      </c>
      <c r="Q518" s="369">
        <f t="shared" si="200"/>
        <v>-29.196970122225281</v>
      </c>
      <c r="R518" s="370">
        <f t="shared" si="201"/>
        <v>-241.38276027735569</v>
      </c>
      <c r="S518" s="372">
        <f t="shared" si="202"/>
        <v>-61.382760277355686</v>
      </c>
      <c r="U518" s="345">
        <f t="shared" si="208"/>
        <v>71207.25</v>
      </c>
      <c r="V518" s="345">
        <f t="shared" si="209"/>
        <v>5070472452.5625</v>
      </c>
      <c r="X518" s="371">
        <f t="shared" si="203"/>
        <v>6.9162137635549268</v>
      </c>
      <c r="Y518" s="372">
        <f t="shared" si="204"/>
        <v>-73.837162311895526</v>
      </c>
      <c r="AA518" s="371">
        <f t="shared" si="205"/>
        <v>24.447390586224664</v>
      </c>
      <c r="AB518" s="372">
        <f t="shared" si="206"/>
        <v>-167.54559796546019</v>
      </c>
      <c r="AD518">
        <f t="shared" si="210"/>
        <v>0</v>
      </c>
      <c r="AE518">
        <f t="shared" si="213"/>
        <v>0</v>
      </c>
    </row>
    <row r="519" spans="1:31" x14ac:dyDescent="0.2">
      <c r="A519" s="373">
        <v>71619.5</v>
      </c>
      <c r="B519" s="390">
        <f t="shared" si="207"/>
        <v>71.619500000000002</v>
      </c>
      <c r="C519" s="363">
        <f t="shared" si="188"/>
        <v>100.83527232359489</v>
      </c>
      <c r="D519" s="364">
        <f t="shared" si="189"/>
        <v>1.5608789995603471</v>
      </c>
      <c r="E519" s="364">
        <f t="shared" si="190"/>
        <v>1.3393565707403652</v>
      </c>
      <c r="F519" s="365">
        <f t="shared" si="191"/>
        <v>0.72781885879202635</v>
      </c>
      <c r="G519" s="364">
        <f t="shared" si="192"/>
        <v>1.9002638015823681</v>
      </c>
      <c r="H519" s="365">
        <f t="shared" si="193"/>
        <v>-1.0166204197479412</v>
      </c>
      <c r="I519" s="363">
        <f t="shared" si="194"/>
        <v>297088.76285217179</v>
      </c>
      <c r="J519" s="366">
        <f t="shared" si="195"/>
        <v>1.5707929607975077</v>
      </c>
      <c r="K519" s="374">
        <f t="shared" si="211"/>
        <v>89.699293230884649</v>
      </c>
      <c r="L519" s="375">
        <f t="shared" si="212"/>
        <v>1.5596477359926724</v>
      </c>
      <c r="M519" s="363">
        <f t="shared" si="196"/>
        <v>3.4771606070852918</v>
      </c>
      <c r="N519" s="366">
        <f t="shared" si="197"/>
        <v>1.2790857326018334</v>
      </c>
      <c r="O519" s="367">
        <f t="shared" si="198"/>
        <v>1.4226790144636168</v>
      </c>
      <c r="P519" s="368">
        <f t="shared" si="199"/>
        <v>1.0790653523348301</v>
      </c>
      <c r="Q519" s="369">
        <f t="shared" si="200"/>
        <v>-29.262704750023659</v>
      </c>
      <c r="R519" s="370">
        <f t="shared" si="201"/>
        <v>-241.72956880529912</v>
      </c>
      <c r="S519" s="372">
        <f t="shared" si="202"/>
        <v>-61.729568805299124</v>
      </c>
      <c r="U519" s="345">
        <f t="shared" si="208"/>
        <v>71619.5</v>
      </c>
      <c r="V519" s="345">
        <f t="shared" si="209"/>
        <v>5129352780.25</v>
      </c>
      <c r="X519" s="371">
        <f t="shared" si="203"/>
        <v>6.8702352325353164</v>
      </c>
      <c r="Y519" s="372">
        <f t="shared" si="204"/>
        <v>-73.924788540996971</v>
      </c>
      <c r="AA519" s="371">
        <f t="shared" si="205"/>
        <v>24.427634489445897</v>
      </c>
      <c r="AB519" s="372">
        <f t="shared" si="206"/>
        <v>-167.80478026430211</v>
      </c>
      <c r="AD519">
        <f t="shared" si="210"/>
        <v>0</v>
      </c>
      <c r="AE519">
        <f t="shared" si="213"/>
        <v>0</v>
      </c>
    </row>
    <row r="520" spans="1:31" x14ac:dyDescent="0.2">
      <c r="A520" s="373">
        <v>72031.75</v>
      </c>
      <c r="B520" s="390">
        <f t="shared" si="207"/>
        <v>72.031750000000002</v>
      </c>
      <c r="C520" s="363">
        <f t="shared" si="188"/>
        <v>101.41563471599206</v>
      </c>
      <c r="D520" s="364">
        <f t="shared" si="189"/>
        <v>1.5609357544272118</v>
      </c>
      <c r="E520" s="364">
        <f t="shared" si="190"/>
        <v>1.3427738486427603</v>
      </c>
      <c r="F520" s="365">
        <f t="shared" si="191"/>
        <v>0.73067058104077531</v>
      </c>
      <c r="G520" s="364">
        <f t="shared" si="192"/>
        <v>1.9081791009591504</v>
      </c>
      <c r="H520" s="365">
        <f t="shared" si="193"/>
        <v>-1.0191854971255003</v>
      </c>
      <c r="I520" s="363">
        <f t="shared" si="194"/>
        <v>298798.8396117753</v>
      </c>
      <c r="J520" s="366">
        <f t="shared" si="195"/>
        <v>1.5707929800616853</v>
      </c>
      <c r="K520" s="374">
        <f t="shared" si="211"/>
        <v>90.215548592525636</v>
      </c>
      <c r="L520" s="375">
        <f t="shared" si="212"/>
        <v>1.5597115360392066</v>
      </c>
      <c r="M520" s="363">
        <f t="shared" si="196"/>
        <v>3.4955244805629873</v>
      </c>
      <c r="N520" s="366">
        <f t="shared" si="197"/>
        <v>1.2806628749028983</v>
      </c>
      <c r="O520" s="367">
        <f t="shared" si="198"/>
        <v>1.4272689932333023</v>
      </c>
      <c r="P520" s="368">
        <f t="shared" si="199"/>
        <v>1.0837942766645123</v>
      </c>
      <c r="Q520" s="369">
        <f t="shared" si="200"/>
        <v>-29.328051690218608</v>
      </c>
      <c r="R520" s="370">
        <f t="shared" si="201"/>
        <v>-242.07405371231968</v>
      </c>
      <c r="S520" s="372">
        <f t="shared" si="202"/>
        <v>-62.074053712319682</v>
      </c>
      <c r="U520" s="345">
        <f t="shared" si="208"/>
        <v>72031.75</v>
      </c>
      <c r="V520" s="345">
        <f t="shared" si="209"/>
        <v>5188573008.0625</v>
      </c>
      <c r="X520" s="371">
        <f t="shared" si="203"/>
        <v>6.8244771283362224</v>
      </c>
      <c r="Y520" s="372">
        <f t="shared" si="204"/>
        <v>-74.011497768995554</v>
      </c>
      <c r="AA520" s="371">
        <f t="shared" si="205"/>
        <v>24.408045653450046</v>
      </c>
      <c r="AB520" s="372">
        <f t="shared" si="206"/>
        <v>-168.06255594332407</v>
      </c>
      <c r="AD520">
        <f t="shared" si="210"/>
        <v>0</v>
      </c>
      <c r="AE520">
        <f t="shared" si="213"/>
        <v>0</v>
      </c>
    </row>
    <row r="521" spans="1:31" x14ac:dyDescent="0.2">
      <c r="A521" s="373">
        <v>72444</v>
      </c>
      <c r="B521" s="390">
        <f t="shared" si="207"/>
        <v>72.444000000000003</v>
      </c>
      <c r="C521" s="363">
        <f t="shared" si="188"/>
        <v>101.99599743134308</v>
      </c>
      <c r="D521" s="364">
        <f t="shared" si="189"/>
        <v>1.5609918634177609</v>
      </c>
      <c r="E521" s="364">
        <f t="shared" si="190"/>
        <v>1.346201990920584</v>
      </c>
      <c r="F521" s="365">
        <f t="shared" si="191"/>
        <v>0.7335078022787721</v>
      </c>
      <c r="G521" s="364">
        <f t="shared" si="192"/>
        <v>1.9161068516566748</v>
      </c>
      <c r="H521" s="365">
        <f t="shared" si="193"/>
        <v>-1.0217293654888913</v>
      </c>
      <c r="I521" s="363">
        <f t="shared" si="194"/>
        <v>300508.91637137893</v>
      </c>
      <c r="J521" s="366">
        <f t="shared" si="195"/>
        <v>1.5707929991066134</v>
      </c>
      <c r="K521" s="374">
        <f t="shared" si="211"/>
        <v>90.731804317205288</v>
      </c>
      <c r="L521" s="375">
        <f t="shared" si="212"/>
        <v>1.559774610053057</v>
      </c>
      <c r="M521" s="363">
        <f t="shared" si="196"/>
        <v>3.51389695784014</v>
      </c>
      <c r="N521" s="366">
        <f t="shared" si="197"/>
        <v>1.282223528814934</v>
      </c>
      <c r="O521" s="367">
        <f t="shared" si="198"/>
        <v>1.431880594931833</v>
      </c>
      <c r="P521" s="368">
        <f t="shared" si="199"/>
        <v>1.088506237878003</v>
      </c>
      <c r="Q521" s="369">
        <f t="shared" si="200"/>
        <v>-29.393016143644889</v>
      </c>
      <c r="R521" s="370">
        <f t="shared" si="201"/>
        <v>-242.41624222904491</v>
      </c>
      <c r="S521" s="372">
        <f t="shared" si="202"/>
        <v>-62.416242229044911</v>
      </c>
      <c r="U521" s="345">
        <f t="shared" si="208"/>
        <v>72444</v>
      </c>
      <c r="V521" s="345">
        <f t="shared" si="209"/>
        <v>5248133136</v>
      </c>
      <c r="X521" s="371">
        <f t="shared" si="203"/>
        <v>6.7789375925150264</v>
      </c>
      <c r="Y521" s="372">
        <f t="shared" si="204"/>
        <v>-74.097303867937271</v>
      </c>
      <c r="AA521" s="371">
        <f t="shared" si="205"/>
        <v>24.388620735844952</v>
      </c>
      <c r="AB521" s="372">
        <f t="shared" si="206"/>
        <v>-168.31893836110768</v>
      </c>
      <c r="AD521">
        <f t="shared" si="210"/>
        <v>0</v>
      </c>
      <c r="AE521">
        <f t="shared" si="213"/>
        <v>0</v>
      </c>
    </row>
    <row r="522" spans="1:31" x14ac:dyDescent="0.2">
      <c r="A522" s="373">
        <v>72865.75</v>
      </c>
      <c r="B522" s="390">
        <f t="shared" si="207"/>
        <v>72.865750000000006</v>
      </c>
      <c r="C522" s="363">
        <f t="shared" si="188"/>
        <v>102.58973450985921</v>
      </c>
      <c r="D522" s="364">
        <f t="shared" si="189"/>
        <v>1.5610486084555444</v>
      </c>
      <c r="E522" s="364">
        <f t="shared" si="190"/>
        <v>1.3497202887085284</v>
      </c>
      <c r="F522" s="365">
        <f t="shared" si="191"/>
        <v>0.73639546687498125</v>
      </c>
      <c r="G522" s="364">
        <f t="shared" si="192"/>
        <v>1.9242300161179189</v>
      </c>
      <c r="H522" s="365">
        <f t="shared" si="193"/>
        <v>-1.0243101469182121</v>
      </c>
      <c r="I522" s="363">
        <f t="shared" si="194"/>
        <v>302258.40060027613</v>
      </c>
      <c r="J522" s="366">
        <f t="shared" si="195"/>
        <v>1.5707930183674119</v>
      </c>
      <c r="K522" s="374">
        <f t="shared" si="211"/>
        <v>91.259957147067709</v>
      </c>
      <c r="L522" s="375">
        <f t="shared" si="212"/>
        <v>1.5598383990877269</v>
      </c>
      <c r="M522" s="363">
        <f t="shared" si="196"/>
        <v>3.5327015789366936</v>
      </c>
      <c r="N522" s="366">
        <f t="shared" si="197"/>
        <v>1.283803344539439</v>
      </c>
      <c r="O522" s="367">
        <f t="shared" si="198"/>
        <v>1.4366208071466686</v>
      </c>
      <c r="P522" s="368">
        <f t="shared" si="199"/>
        <v>1.0933092860456908</v>
      </c>
      <c r="Q522" s="369">
        <f t="shared" si="200"/>
        <v>-29.459087172118522</v>
      </c>
      <c r="R522" s="370">
        <f t="shared" si="201"/>
        <v>-242.76396779367505</v>
      </c>
      <c r="S522" s="372">
        <f t="shared" si="202"/>
        <v>-62.76396779367505</v>
      </c>
      <c r="U522" s="345">
        <f t="shared" si="208"/>
        <v>72865.75</v>
      </c>
      <c r="V522" s="345">
        <f t="shared" si="209"/>
        <v>5309417523.0625</v>
      </c>
      <c r="X522" s="371">
        <f t="shared" si="203"/>
        <v>6.7325728947427868</v>
      </c>
      <c r="Y522" s="372">
        <f t="shared" si="204"/>
        <v>-74.184166902555731</v>
      </c>
      <c r="AA522" s="371">
        <f t="shared" si="205"/>
        <v>24.368914405143563</v>
      </c>
      <c r="AB522" s="372">
        <f t="shared" si="206"/>
        <v>-168.57980089111928</v>
      </c>
      <c r="AD522">
        <f t="shared" si="210"/>
        <v>0</v>
      </c>
      <c r="AE522">
        <f t="shared" si="213"/>
        <v>0</v>
      </c>
    </row>
    <row r="523" spans="1:31" x14ac:dyDescent="0.2">
      <c r="A523" s="373">
        <v>73287.5</v>
      </c>
      <c r="B523" s="390">
        <f t="shared" si="207"/>
        <v>73.287499999999994</v>
      </c>
      <c r="C523" s="363">
        <f t="shared" si="188"/>
        <v>103.18347191491256</v>
      </c>
      <c r="D523" s="364">
        <f t="shared" si="189"/>
        <v>1.5611047004499359</v>
      </c>
      <c r="E523" s="364">
        <f t="shared" si="190"/>
        <v>1.3532497827063275</v>
      </c>
      <c r="F523" s="365">
        <f t="shared" si="191"/>
        <v>0.73926809232970414</v>
      </c>
      <c r="G523" s="364">
        <f t="shared" si="192"/>
        <v>1.932365888982305</v>
      </c>
      <c r="H523" s="365">
        <f t="shared" si="193"/>
        <v>-1.0268692134570896</v>
      </c>
      <c r="I523" s="363">
        <f t="shared" si="194"/>
        <v>304007.8848291735</v>
      </c>
      <c r="J523" s="366">
        <f t="shared" si="195"/>
        <v>1.5707930374065291</v>
      </c>
      <c r="K523" s="374">
        <f t="shared" si="211"/>
        <v>91.788110343997232</v>
      </c>
      <c r="L523" s="375">
        <f t="shared" si="212"/>
        <v>1.5599014540323106</v>
      </c>
      <c r="M523" s="363">
        <f t="shared" si="196"/>
        <v>3.5515149236311219</v>
      </c>
      <c r="N523" s="366">
        <f t="shared" si="197"/>
        <v>1.2853664266998688</v>
      </c>
      <c r="O523" s="367">
        <f t="shared" si="198"/>
        <v>1.4413835765828249</v>
      </c>
      <c r="P523" s="368">
        <f t="shared" si="199"/>
        <v>1.0980946968830951</v>
      </c>
      <c r="Q523" s="369">
        <f t="shared" si="200"/>
        <v>-29.524768599819346</v>
      </c>
      <c r="R523" s="370">
        <f t="shared" si="201"/>
        <v>-243.10934618980934</v>
      </c>
      <c r="S523" s="372">
        <f t="shared" si="202"/>
        <v>-63.109346189809344</v>
      </c>
      <c r="U523" s="345">
        <f t="shared" si="208"/>
        <v>73287.5</v>
      </c>
      <c r="V523" s="345">
        <f t="shared" si="209"/>
        <v>5371057656.25</v>
      </c>
      <c r="X523" s="371">
        <f t="shared" si="203"/>
        <v>6.6864330802465872</v>
      </c>
      <c r="Y523" s="372">
        <f t="shared" si="204"/>
        <v>-74.270113222137709</v>
      </c>
      <c r="AA523" s="371">
        <f t="shared" si="205"/>
        <v>24.34937279193894</v>
      </c>
      <c r="AB523" s="372">
        <f t="shared" si="206"/>
        <v>-168.83923296767165</v>
      </c>
      <c r="AD523">
        <f t="shared" si="210"/>
        <v>0</v>
      </c>
      <c r="AE523">
        <f t="shared" si="213"/>
        <v>0</v>
      </c>
    </row>
    <row r="524" spans="1:31" x14ac:dyDescent="0.2">
      <c r="A524" s="373">
        <v>73709.25</v>
      </c>
      <c r="B524" s="390">
        <f t="shared" si="207"/>
        <v>73.709249999999997</v>
      </c>
      <c r="C524" s="363">
        <f t="shared" si="188"/>
        <v>103.77720964089848</v>
      </c>
      <c r="D524" s="364">
        <f t="shared" si="189"/>
        <v>1.5611601506092974</v>
      </c>
      <c r="E524" s="364">
        <f t="shared" si="190"/>
        <v>1.3567903855380214</v>
      </c>
      <c r="F524" s="365">
        <f t="shared" si="191"/>
        <v>0.74212574878422943</v>
      </c>
      <c r="G524" s="364">
        <f t="shared" si="192"/>
        <v>1.9405143104046605</v>
      </c>
      <c r="H524" s="365">
        <f t="shared" si="193"/>
        <v>-1.0294068049250427</v>
      </c>
      <c r="I524" s="363">
        <f t="shared" si="194"/>
        <v>305757.36905807088</v>
      </c>
      <c r="J524" s="366">
        <f t="shared" si="195"/>
        <v>1.5707930562277699</v>
      </c>
      <c r="K524" s="374">
        <f t="shared" si="211"/>
        <v>92.316263901693731</v>
      </c>
      <c r="L524" s="375">
        <f t="shared" si="212"/>
        <v>1.5599637874857817</v>
      </c>
      <c r="M524" s="363">
        <f t="shared" si="196"/>
        <v>3.5703368540204274</v>
      </c>
      <c r="N524" s="366">
        <f t="shared" si="197"/>
        <v>1.2869130322429243</v>
      </c>
      <c r="O524" s="367">
        <f t="shared" si="198"/>
        <v>1.4461688666952357</v>
      </c>
      <c r="P524" s="368">
        <f t="shared" si="199"/>
        <v>1.1028625299470771</v>
      </c>
      <c r="Q524" s="369">
        <f t="shared" si="200"/>
        <v>-29.590065700887202</v>
      </c>
      <c r="R524" s="370">
        <f t="shared" si="201"/>
        <v>-243.45240519415461</v>
      </c>
      <c r="S524" s="372">
        <f t="shared" si="202"/>
        <v>-63.452405194154608</v>
      </c>
      <c r="U524" s="345">
        <f t="shared" si="208"/>
        <v>73709.25</v>
      </c>
      <c r="V524" s="345">
        <f t="shared" si="209"/>
        <v>5433053535.5625</v>
      </c>
      <c r="X524" s="371">
        <f t="shared" si="203"/>
        <v>6.640516219996492</v>
      </c>
      <c r="Y524" s="372">
        <f t="shared" si="204"/>
        <v>-74.355156826994815</v>
      </c>
      <c r="AA524" s="371">
        <f t="shared" si="205"/>
        <v>24.32999255112118</v>
      </c>
      <c r="AB524" s="372">
        <f t="shared" si="206"/>
        <v>-169.09724836715981</v>
      </c>
      <c r="AD524">
        <f t="shared" si="210"/>
        <v>0</v>
      </c>
      <c r="AE524">
        <f t="shared" si="213"/>
        <v>0</v>
      </c>
    </row>
    <row r="525" spans="1:31" x14ac:dyDescent="0.2">
      <c r="A525" s="373">
        <v>74131</v>
      </c>
      <c r="B525" s="390">
        <f t="shared" si="207"/>
        <v>74.131</v>
      </c>
      <c r="C525" s="363">
        <f t="shared" ref="C525:C588" si="214">SQRT(1+(A525/pole1)^2)</f>
        <v>104.3709476823399</v>
      </c>
      <c r="D525" s="364">
        <f t="shared" ref="D525:D588" si="215">ATAN(A525/pole1)</f>
        <v>1.5612149698869617</v>
      </c>
      <c r="E525" s="364">
        <f t="shared" ref="E525:E588" si="216">SQRT(1+(A525/Zero1)^2)</f>
        <v>1.3603420104637303</v>
      </c>
      <c r="F525" s="365">
        <f t="shared" ref="F525:F588" si="217">ATAN(A525/Zero1)</f>
        <v>0.74496850662869196</v>
      </c>
      <c r="G525" s="364">
        <f t="shared" ref="G525:G588" si="218">IF(VIN_nom&gt;Vout, 1, SQRT(1+(A525/z_RHP)^2))</f>
        <v>1.9486751229689034</v>
      </c>
      <c r="H525" s="365">
        <f t="shared" ref="H525:H588" si="219">IF(VIN_nom&gt;Vout, 0, -ATAN(A525/z_RHP))</f>
        <v>-1.0319231582398283</v>
      </c>
      <c r="I525" s="363">
        <f t="shared" ref="I525:I588" si="220">SQRT(1+(A525/Pole2)^2)</f>
        <v>307506.85328696843</v>
      </c>
      <c r="J525" s="366">
        <f t="shared" ref="J525:J588" si="221">ATAN(A525/Pole2)</f>
        <v>1.5707930748348531</v>
      </c>
      <c r="K525" s="374">
        <f t="shared" si="211"/>
        <v>92.844417814000408</v>
      </c>
      <c r="L525" s="375">
        <f t="shared" si="212"/>
        <v>1.5600254117604548</v>
      </c>
      <c r="M525" s="363">
        <f t="shared" ref="M525:M588" si="222">SQRT(1+(A525/pole4)^2)</f>
        <v>3.5891672350320398</v>
      </c>
      <c r="N525" s="366">
        <f t="shared" ref="N525:N588" si="223">ATAN(A525/pole4)</f>
        <v>1.2884434130420737</v>
      </c>
      <c r="O525" s="367">
        <f t="shared" ref="O525:O588" si="224">SQRT((1-(V525/pterm2))^2+(A525/pterm1)^2)</f>
        <v>1.4509766414429337</v>
      </c>
      <c r="P525" s="368">
        <f t="shared" ref="P525:P588" si="225">IF((ATAN((A525/pterm1)/(1-A525^2/pterm2))&gt;0),ATAN((A525/pterm1)/(1-A525^2/pterm2)),PI()+ATAN((A525/pterm1)/(1-A525^2/pterm2)))</f>
        <v>1.1076128451694318</v>
      </c>
      <c r="Q525" s="369">
        <f t="shared" ref="Q525:Q588" si="226">20*LOG10(((E525*K525*G525)/(C525*I525*O525*M525))*Adc)</f>
        <v>-29.654983654289335</v>
      </c>
      <c r="R525" s="370">
        <f t="shared" ref="R525:R588" si="227">((F525+L525+H525)-(D525+J525+P525+N525))*radconv</f>
        <v>-243.79317213551548</v>
      </c>
      <c r="S525" s="372">
        <f t="shared" ref="S525:S588" si="228">IF(R525&gt;0,R525,R525+180)</f>
        <v>-63.793172135515476</v>
      </c>
      <c r="U525" s="345">
        <f t="shared" si="208"/>
        <v>74131</v>
      </c>
      <c r="V525" s="345">
        <f t="shared" si="209"/>
        <v>5495405161</v>
      </c>
      <c r="X525" s="371">
        <f t="shared" ref="X525:X588" si="229">20*LOG10((K525/(I525*M525))*AEA)</f>
        <v>6.5948204051876189</v>
      </c>
      <c r="Y525" s="372">
        <f t="shared" ref="Y525:Y588" si="230">(L525-(J525+N525))*radconv</f>
        <v>-74.439311443183087</v>
      </c>
      <c r="AA525" s="371">
        <f t="shared" ref="AA525:AA588" si="231">20*LOG10((E525*G525/(C525*O525))*Acs*Am)</f>
        <v>24.310770412527919</v>
      </c>
      <c r="AB525" s="372">
        <f t="shared" ref="AB525:AB588" si="232">(F525+H525-(D525+P525))*radconv</f>
        <v>-169.35386069233238</v>
      </c>
      <c r="AD525">
        <f t="shared" si="210"/>
        <v>0</v>
      </c>
      <c r="AE525">
        <f t="shared" si="213"/>
        <v>0</v>
      </c>
    </row>
    <row r="526" spans="1:31" x14ac:dyDescent="0.2">
      <c r="A526" s="373">
        <v>74562.75</v>
      </c>
      <c r="B526" s="390">
        <f t="shared" ref="B526:B589" si="233">A526/1000</f>
        <v>74.562749999999994</v>
      </c>
      <c r="C526" s="363">
        <f t="shared" si="214"/>
        <v>104.97876400681677</v>
      </c>
      <c r="D526" s="364">
        <f t="shared" si="215"/>
        <v>1.5612704466480578</v>
      </c>
      <c r="E526" s="364">
        <f t="shared" si="216"/>
        <v>1.3639891743184291</v>
      </c>
      <c r="F526" s="365">
        <f t="shared" si="217"/>
        <v>0.74786330938329126</v>
      </c>
      <c r="G526" s="364">
        <f t="shared" si="218"/>
        <v>1.9570421078392275</v>
      </c>
      <c r="H526" s="365">
        <f t="shared" si="219"/>
        <v>-1.0344774209778973</v>
      </c>
      <c r="I526" s="363">
        <f t="shared" si="220"/>
        <v>309297.81906249077</v>
      </c>
      <c r="J526" s="366">
        <f t="shared" si="221"/>
        <v>1.5707930936650834</v>
      </c>
      <c r="K526" s="374">
        <f t="shared" si="211"/>
        <v>93.385095001687887</v>
      </c>
      <c r="L526" s="375">
        <f t="shared" si="212"/>
        <v>1.5600877751527171</v>
      </c>
      <c r="M526" s="363">
        <f t="shared" si="222"/>
        <v>3.608452713537837</v>
      </c>
      <c r="N526" s="366">
        <f t="shared" si="223"/>
        <v>1.289993531693729</v>
      </c>
      <c r="O526" s="367">
        <f t="shared" si="224"/>
        <v>1.4559216655801754</v>
      </c>
      <c r="P526" s="368">
        <f t="shared" si="225"/>
        <v>1.1124577109680618</v>
      </c>
      <c r="Q526" s="369">
        <f t="shared" si="226"/>
        <v>-29.721053429839973</v>
      </c>
      <c r="R526" s="370">
        <f t="shared" si="227"/>
        <v>-244.13967275325385</v>
      </c>
      <c r="S526" s="372">
        <f t="shared" si="228"/>
        <v>-64.139672753253848</v>
      </c>
      <c r="U526" s="345">
        <f t="shared" ref="U526:U589" si="234">IF(Q526&lt;0,A526,1000000000)</f>
        <v>74562.75</v>
      </c>
      <c r="V526" s="345">
        <f t="shared" ref="V526:V589" si="235">A526^2</f>
        <v>5559603687.5625</v>
      </c>
      <c r="X526" s="371">
        <f t="shared" si="229"/>
        <v>6.5482681068097106</v>
      </c>
      <c r="Y526" s="372">
        <f t="shared" si="230"/>
        <v>-74.524554619484832</v>
      </c>
      <c r="AA526" s="371">
        <f t="shared" si="231"/>
        <v>24.291252935355189</v>
      </c>
      <c r="AB526" s="372">
        <f t="shared" si="232"/>
        <v>-169.61511813376907</v>
      </c>
      <c r="AD526">
        <f t="shared" ref="AD526:AD589" si="236">SUM((Q527&lt;0)*(Q526&gt;0))*A526</f>
        <v>0</v>
      </c>
      <c r="AE526">
        <f t="shared" si="213"/>
        <v>0</v>
      </c>
    </row>
    <row r="527" spans="1:31" x14ac:dyDescent="0.2">
      <c r="A527" s="373">
        <v>74994.5</v>
      </c>
      <c r="B527" s="390">
        <f t="shared" si="233"/>
        <v>74.994500000000002</v>
      </c>
      <c r="C527" s="363">
        <f t="shared" si="214"/>
        <v>105.58658065066398</v>
      </c>
      <c r="D527" s="364">
        <f t="shared" si="215"/>
        <v>1.5613252846974977</v>
      </c>
      <c r="E527" s="364">
        <f t="shared" si="216"/>
        <v>1.3676477072250066</v>
      </c>
      <c r="F527" s="365">
        <f t="shared" si="217"/>
        <v>0.75074264864564855</v>
      </c>
      <c r="G527" s="364">
        <f t="shared" si="218"/>
        <v>1.965421752197831</v>
      </c>
      <c r="H527" s="365">
        <f t="shared" si="219"/>
        <v>-1.0370099197445337</v>
      </c>
      <c r="I527" s="363">
        <f t="shared" si="220"/>
        <v>311088.78483801329</v>
      </c>
      <c r="J527" s="366">
        <f t="shared" si="221"/>
        <v>1.5707931122784988</v>
      </c>
      <c r="K527" s="374">
        <f t="shared" si="211"/>
        <v>93.925772548386618</v>
      </c>
      <c r="L527" s="375">
        <f t="shared" si="212"/>
        <v>1.5601494205636659</v>
      </c>
      <c r="M527" s="363">
        <f t="shared" si="222"/>
        <v>3.6277467704785207</v>
      </c>
      <c r="N527" s="366">
        <f t="shared" si="223"/>
        <v>1.2915271654834604</v>
      </c>
      <c r="O527" s="367">
        <f t="shared" si="224"/>
        <v>1.4608901784181338</v>
      </c>
      <c r="P527" s="368">
        <f t="shared" si="225"/>
        <v>1.1172843465871691</v>
      </c>
      <c r="Q527" s="369">
        <f t="shared" si="226"/>
        <v>-29.786736551528314</v>
      </c>
      <c r="R527" s="370">
        <f t="shared" si="227"/>
        <v>-244.48382788415674</v>
      </c>
      <c r="S527" s="372">
        <f t="shared" si="228"/>
        <v>-64.483827884156739</v>
      </c>
      <c r="U527" s="345">
        <f t="shared" si="234"/>
        <v>74994.5</v>
      </c>
      <c r="V527" s="345">
        <f t="shared" si="235"/>
        <v>5624175030.25</v>
      </c>
      <c r="X527" s="371">
        <f t="shared" si="229"/>
        <v>6.5019434764686714</v>
      </c>
      <c r="Y527" s="372">
        <f t="shared" si="230"/>
        <v>-74.608894407647909</v>
      </c>
      <c r="AA527" s="371">
        <f t="shared" si="231"/>
        <v>24.271894444007888</v>
      </c>
      <c r="AB527" s="372">
        <f t="shared" si="232"/>
        <v>-169.87493347650891</v>
      </c>
      <c r="AD527">
        <f t="shared" si="236"/>
        <v>0</v>
      </c>
      <c r="AE527">
        <f t="shared" si="213"/>
        <v>0</v>
      </c>
    </row>
    <row r="528" spans="1:31" x14ac:dyDescent="0.2">
      <c r="A528" s="373">
        <v>75426.25</v>
      </c>
      <c r="B528" s="390">
        <f t="shared" si="233"/>
        <v>75.426249999999996</v>
      </c>
      <c r="C528" s="363">
        <f t="shared" si="214"/>
        <v>106.19439760839762</v>
      </c>
      <c r="D528" s="364">
        <f t="shared" si="215"/>
        <v>1.5613794950021871</v>
      </c>
      <c r="E528" s="364">
        <f t="shared" si="216"/>
        <v>1.3713175181891117</v>
      </c>
      <c r="F528" s="365">
        <f t="shared" si="217"/>
        <v>0.75360660062839968</v>
      </c>
      <c r="G528" s="364">
        <f t="shared" si="218"/>
        <v>1.9738138948106603</v>
      </c>
      <c r="H528" s="365">
        <f t="shared" si="219"/>
        <v>-1.0395208994512519</v>
      </c>
      <c r="I528" s="363">
        <f t="shared" si="220"/>
        <v>312879.75061353581</v>
      </c>
      <c r="J528" s="366">
        <f t="shared" si="221"/>
        <v>1.5707931306788232</v>
      </c>
      <c r="K528" s="374">
        <f t="shared" si="211"/>
        <v>94.466450447932189</v>
      </c>
      <c r="L528" s="375">
        <f t="shared" si="212"/>
        <v>1.5602103603209077</v>
      </c>
      <c r="M528" s="363">
        <f t="shared" si="222"/>
        <v>3.6470492697061023</v>
      </c>
      <c r="N528" s="366">
        <f t="shared" si="223"/>
        <v>1.2930445688841834</v>
      </c>
      <c r="O528" s="367">
        <f t="shared" si="224"/>
        <v>1.4658821429144133</v>
      </c>
      <c r="P528" s="368">
        <f t="shared" si="225"/>
        <v>1.1220928174298923</v>
      </c>
      <c r="Q528" s="369">
        <f t="shared" si="226"/>
        <v>-29.852038278582931</v>
      </c>
      <c r="R528" s="370">
        <f t="shared" si="227"/>
        <v>-244.82566544375683</v>
      </c>
      <c r="S528" s="372">
        <f t="shared" si="228"/>
        <v>-64.825665443756833</v>
      </c>
      <c r="U528" s="345">
        <f t="shared" si="234"/>
        <v>75426.25</v>
      </c>
      <c r="V528" s="345">
        <f t="shared" si="235"/>
        <v>5689119189.0625</v>
      </c>
      <c r="X528" s="371">
        <f t="shared" si="229"/>
        <v>6.45584453115156</v>
      </c>
      <c r="Y528" s="372">
        <f t="shared" si="230"/>
        <v>-74.692344681789933</v>
      </c>
      <c r="AA528" s="371">
        <f t="shared" si="231"/>
        <v>24.252691662270376</v>
      </c>
      <c r="AB528" s="372">
        <f t="shared" si="232"/>
        <v>-170.1333207619669</v>
      </c>
      <c r="AD528">
        <f t="shared" si="236"/>
        <v>0</v>
      </c>
      <c r="AE528">
        <f t="shared" si="213"/>
        <v>0</v>
      </c>
    </row>
    <row r="529" spans="1:31" x14ac:dyDescent="0.2">
      <c r="A529" s="373">
        <v>75858</v>
      </c>
      <c r="B529" s="390">
        <f t="shared" si="233"/>
        <v>75.858000000000004</v>
      </c>
      <c r="C529" s="363">
        <f t="shared" si="214"/>
        <v>106.80221487465869</v>
      </c>
      <c r="D529" s="364">
        <f t="shared" si="215"/>
        <v>1.5614330882793943</v>
      </c>
      <c r="E529" s="364">
        <f t="shared" si="216"/>
        <v>1.3749985169088192</v>
      </c>
      <c r="F529" s="365">
        <f t="shared" si="217"/>
        <v>0.7564552417414967</v>
      </c>
      <c r="G529" s="364">
        <f t="shared" si="218"/>
        <v>1.982218376935678</v>
      </c>
      <c r="H529" s="365">
        <f t="shared" si="219"/>
        <v>-1.0420106019506423</v>
      </c>
      <c r="I529" s="363">
        <f t="shared" si="220"/>
        <v>314670.71638905857</v>
      </c>
      <c r="J529" s="366">
        <f t="shared" si="221"/>
        <v>1.5707931488696945</v>
      </c>
      <c r="K529" s="374">
        <f t="shared" si="211"/>
        <v>95.007128694300548</v>
      </c>
      <c r="L529" s="375">
        <f t="shared" si="212"/>
        <v>1.5602706064714484</v>
      </c>
      <c r="M529" s="363">
        <f t="shared" si="222"/>
        <v>3.6663600778807872</v>
      </c>
      <c r="N529" s="366">
        <f t="shared" si="223"/>
        <v>1.2945459913100477</v>
      </c>
      <c r="O529" s="367">
        <f t="shared" si="224"/>
        <v>1.4708975225677225</v>
      </c>
      <c r="P529" s="368">
        <f t="shared" si="225"/>
        <v>1.1268831892350224</v>
      </c>
      <c r="Q529" s="369">
        <f t="shared" si="226"/>
        <v>-29.916963774326383</v>
      </c>
      <c r="R529" s="370">
        <f t="shared" si="227"/>
        <v>-245.16521289217241</v>
      </c>
      <c r="S529" s="372">
        <f t="shared" si="228"/>
        <v>-65.165212892172406</v>
      </c>
      <c r="U529" s="345">
        <f t="shared" si="234"/>
        <v>75858</v>
      </c>
      <c r="V529" s="345">
        <f t="shared" si="235"/>
        <v>5754436164</v>
      </c>
      <c r="X529" s="371">
        <f t="shared" si="229"/>
        <v>6.4099693093347092</v>
      </c>
      <c r="Y529" s="372">
        <f t="shared" si="230"/>
        <v>-74.774919042254837</v>
      </c>
      <c r="AA529" s="371">
        <f t="shared" si="231"/>
        <v>24.233641388343781</v>
      </c>
      <c r="AB529" s="372">
        <f t="shared" si="232"/>
        <v>-170.39029384991755</v>
      </c>
      <c r="AD529">
        <f t="shared" si="236"/>
        <v>0</v>
      </c>
      <c r="AE529">
        <f t="shared" si="213"/>
        <v>0</v>
      </c>
    </row>
    <row r="530" spans="1:31" x14ac:dyDescent="0.2">
      <c r="A530" s="373">
        <v>76299.75</v>
      </c>
      <c r="B530" s="390">
        <f t="shared" si="233"/>
        <v>76.299750000000003</v>
      </c>
      <c r="C530" s="363">
        <f t="shared" si="214"/>
        <v>107.42411044589865</v>
      </c>
      <c r="D530" s="364">
        <f t="shared" si="215"/>
        <v>1.5614872951537984</v>
      </c>
      <c r="E530" s="364">
        <f t="shared" si="216"/>
        <v>1.3787762592556805</v>
      </c>
      <c r="F530" s="365">
        <f t="shared" si="217"/>
        <v>0.75935409477520388</v>
      </c>
      <c r="G530" s="364">
        <f t="shared" si="218"/>
        <v>1.9908301284355103</v>
      </c>
      <c r="H530" s="365">
        <f t="shared" si="219"/>
        <v>-1.0445361967674334</v>
      </c>
      <c r="I530" s="363">
        <f t="shared" si="220"/>
        <v>316503.16371120606</v>
      </c>
      <c r="J530" s="366">
        <f t="shared" si="221"/>
        <v>1.5707931672688171</v>
      </c>
      <c r="K530" s="374">
        <f t="shared" si="211"/>
        <v>95.56033024071742</v>
      </c>
      <c r="L530" s="375">
        <f t="shared" si="212"/>
        <v>1.560331542405117</v>
      </c>
      <c r="M530" s="363">
        <f t="shared" si="222"/>
        <v>3.6861266179857637</v>
      </c>
      <c r="N530" s="366">
        <f t="shared" si="223"/>
        <v>1.2960659034915187</v>
      </c>
      <c r="O530" s="367">
        <f t="shared" si="224"/>
        <v>1.4760532636247039</v>
      </c>
      <c r="P530" s="368">
        <f t="shared" si="225"/>
        <v>1.1317658496885461</v>
      </c>
      <c r="Q530" s="369">
        <f t="shared" si="226"/>
        <v>-29.98300892883104</v>
      </c>
      <c r="R530" s="370">
        <f t="shared" si="227"/>
        <v>-245.51028266957607</v>
      </c>
      <c r="S530" s="372">
        <f t="shared" si="228"/>
        <v>-65.510282669576071</v>
      </c>
      <c r="U530" s="345">
        <f t="shared" si="234"/>
        <v>76299.75</v>
      </c>
      <c r="V530" s="345">
        <f t="shared" si="235"/>
        <v>5821651850.0625</v>
      </c>
      <c r="X530" s="371">
        <f t="shared" si="229"/>
        <v>6.3632610788442872</v>
      </c>
      <c r="Y530" s="372">
        <f t="shared" si="230"/>
        <v>-74.85851327795136</v>
      </c>
      <c r="AA530" s="371">
        <f t="shared" si="231"/>
        <v>24.214304464329551</v>
      </c>
      <c r="AB530" s="372">
        <f t="shared" si="232"/>
        <v>-170.65176939162475</v>
      </c>
      <c r="AD530">
        <f t="shared" si="236"/>
        <v>0</v>
      </c>
      <c r="AE530">
        <f t="shared" si="213"/>
        <v>0</v>
      </c>
    </row>
    <row r="531" spans="1:31" x14ac:dyDescent="0.2">
      <c r="A531" s="373">
        <v>76741.5</v>
      </c>
      <c r="B531" s="390">
        <f t="shared" si="233"/>
        <v>76.741500000000002</v>
      </c>
      <c r="C531" s="363">
        <f t="shared" si="214"/>
        <v>108.04600632915835</v>
      </c>
      <c r="D531" s="364">
        <f t="shared" si="215"/>
        <v>1.5615408780158071</v>
      </c>
      <c r="E531" s="364">
        <f t="shared" si="216"/>
        <v>1.382565524566542</v>
      </c>
      <c r="F531" s="365">
        <f t="shared" si="217"/>
        <v>0.76223708186718475</v>
      </c>
      <c r="G531" s="364">
        <f t="shared" si="218"/>
        <v>1.9994544692670106</v>
      </c>
      <c r="H531" s="365">
        <f t="shared" si="219"/>
        <v>-1.0470400199072563</v>
      </c>
      <c r="I531" s="363">
        <f t="shared" si="220"/>
        <v>318335.61103335372</v>
      </c>
      <c r="J531" s="366">
        <f t="shared" si="221"/>
        <v>1.5707931854561166</v>
      </c>
      <c r="K531" s="374">
        <f t="shared" si="211"/>
        <v>96.113532137883126</v>
      </c>
      <c r="L531" s="375">
        <f t="shared" si="212"/>
        <v>1.5603917768795277</v>
      </c>
      <c r="M531" s="363">
        <f t="shared" si="222"/>
        <v>3.7059015826828734</v>
      </c>
      <c r="N531" s="366">
        <f t="shared" si="223"/>
        <v>1.2975695983884714</v>
      </c>
      <c r="O531" s="367">
        <f t="shared" si="224"/>
        <v>1.4812334414742268</v>
      </c>
      <c r="P531" s="368">
        <f t="shared" si="225"/>
        <v>1.1366297032219175</v>
      </c>
      <c r="Q531" s="369">
        <f t="shared" si="226"/>
        <v>-30.048670859079959</v>
      </c>
      <c r="R531" s="370">
        <f t="shared" si="227"/>
        <v>-245.85301175940623</v>
      </c>
      <c r="S531" s="372">
        <f t="shared" si="228"/>
        <v>-65.853011759406229</v>
      </c>
      <c r="U531" s="345">
        <f t="shared" si="234"/>
        <v>76741.5</v>
      </c>
      <c r="V531" s="345">
        <f t="shared" si="235"/>
        <v>5889257822.25</v>
      </c>
      <c r="X531" s="371">
        <f t="shared" si="229"/>
        <v>6.3167829690566579</v>
      </c>
      <c r="Y531" s="372">
        <f t="shared" si="230"/>
        <v>-74.941218510207165</v>
      </c>
      <c r="AA531" s="371">
        <f t="shared" si="231"/>
        <v>24.195120643868254</v>
      </c>
      <c r="AB531" s="372">
        <f t="shared" si="232"/>
        <v>-170.91179324919901</v>
      </c>
      <c r="AD531">
        <f t="shared" si="236"/>
        <v>0</v>
      </c>
      <c r="AE531">
        <f t="shared" si="213"/>
        <v>0</v>
      </c>
    </row>
    <row r="532" spans="1:31" x14ac:dyDescent="0.2">
      <c r="A532" s="373">
        <v>77183.25</v>
      </c>
      <c r="B532" s="390">
        <f t="shared" si="233"/>
        <v>77.183250000000001</v>
      </c>
      <c r="C532" s="363">
        <f t="shared" si="214"/>
        <v>108.66790251908077</v>
      </c>
      <c r="D532" s="364">
        <f t="shared" si="215"/>
        <v>1.5615938475786029</v>
      </c>
      <c r="E532" s="364">
        <f t="shared" si="216"/>
        <v>1.3863662183564855</v>
      </c>
      <c r="F532" s="365">
        <f t="shared" si="217"/>
        <v>0.76510428538484454</v>
      </c>
      <c r="G532" s="364">
        <f t="shared" si="218"/>
        <v>2.0080912372243773</v>
      </c>
      <c r="H532" s="365">
        <f t="shared" si="219"/>
        <v>-1.0495223206919404</v>
      </c>
      <c r="I532" s="363">
        <f t="shared" si="220"/>
        <v>320168.05835550139</v>
      </c>
      <c r="J532" s="366">
        <f t="shared" si="221"/>
        <v>1.5707932034352301</v>
      </c>
      <c r="K532" s="374">
        <f t="shared" si="211"/>
        <v>96.666734379775889</v>
      </c>
      <c r="L532" s="375">
        <f t="shared" si="212"/>
        <v>1.5604513219371259</v>
      </c>
      <c r="M532" s="363">
        <f t="shared" si="222"/>
        <v>3.725684837825499</v>
      </c>
      <c r="N532" s="366">
        <f t="shared" si="223"/>
        <v>1.2990573274858419</v>
      </c>
      <c r="O532" s="367">
        <f t="shared" si="224"/>
        <v>1.4864380187560751</v>
      </c>
      <c r="P532" s="368">
        <f t="shared" si="225"/>
        <v>1.1414748212215038</v>
      </c>
      <c r="Q532" s="369">
        <f t="shared" si="226"/>
        <v>-30.113954797046773</v>
      </c>
      <c r="R532" s="370">
        <f t="shared" si="227"/>
        <v>-246.19342815065687</v>
      </c>
      <c r="S532" s="372">
        <f t="shared" si="228"/>
        <v>-66.193428150656871</v>
      </c>
      <c r="U532" s="345">
        <f t="shared" si="234"/>
        <v>77183.25</v>
      </c>
      <c r="V532" s="345">
        <f t="shared" si="235"/>
        <v>5957254080.5625</v>
      </c>
      <c r="X532" s="371">
        <f t="shared" si="229"/>
        <v>6.2705329475544955</v>
      </c>
      <c r="Y532" s="372">
        <f t="shared" si="230"/>
        <v>-75.0230484582749</v>
      </c>
      <c r="AA532" s="371">
        <f t="shared" si="231"/>
        <v>24.176086727403607</v>
      </c>
      <c r="AB532" s="372">
        <f t="shared" si="232"/>
        <v>-171.17037969238197</v>
      </c>
      <c r="AD532">
        <f t="shared" si="236"/>
        <v>0</v>
      </c>
      <c r="AE532">
        <f t="shared" si="213"/>
        <v>0</v>
      </c>
    </row>
    <row r="533" spans="1:31" x14ac:dyDescent="0.2">
      <c r="A533" s="373">
        <v>77625</v>
      </c>
      <c r="B533" s="390">
        <f t="shared" si="233"/>
        <v>77.625</v>
      </c>
      <c r="C533" s="363">
        <f t="shared" si="214"/>
        <v>109.2897990104309</v>
      </c>
      <c r="D533" s="364">
        <f t="shared" si="215"/>
        <v>1.5616462143115355</v>
      </c>
      <c r="E533" s="364">
        <f t="shared" si="216"/>
        <v>1.3901782468904489</v>
      </c>
      <c r="F533" s="365">
        <f t="shared" si="217"/>
        <v>0.76795578783424367</v>
      </c>
      <c r="G533" s="364">
        <f t="shared" si="218"/>
        <v>2.0167402726486801</v>
      </c>
      <c r="H533" s="365">
        <f t="shared" si="219"/>
        <v>-1.0519833452365046</v>
      </c>
      <c r="I533" s="363">
        <f t="shared" si="220"/>
        <v>322000.50567764929</v>
      </c>
      <c r="J533" s="366">
        <f t="shared" si="221"/>
        <v>1.5707932212097115</v>
      </c>
      <c r="K533" s="374">
        <f t="shared" si="211"/>
        <v>97.219936960511021</v>
      </c>
      <c r="L533" s="375">
        <f t="shared" si="212"/>
        <v>1.5605101893462805</v>
      </c>
      <c r="M533" s="363">
        <f t="shared" si="222"/>
        <v>3.7454762520455684</v>
      </c>
      <c r="N533" s="366">
        <f t="shared" si="223"/>
        <v>1.3005293372391507</v>
      </c>
      <c r="O533" s="367">
        <f t="shared" si="224"/>
        <v>1.4916669586877112</v>
      </c>
      <c r="P533" s="368">
        <f t="shared" si="225"/>
        <v>1.146301275363331</v>
      </c>
      <c r="Q533" s="369">
        <f t="shared" si="226"/>
        <v>-30.178865878373486</v>
      </c>
      <c r="R533" s="370">
        <f t="shared" si="227"/>
        <v>-246.5315593708012</v>
      </c>
      <c r="S533" s="372">
        <f t="shared" si="228"/>
        <v>-66.531559370801205</v>
      </c>
      <c r="U533" s="345">
        <f t="shared" si="234"/>
        <v>77625</v>
      </c>
      <c r="V533" s="345">
        <f t="shared" si="235"/>
        <v>6025640625</v>
      </c>
      <c r="X533" s="371">
        <f t="shared" si="229"/>
        <v>6.2245090046052525</v>
      </c>
      <c r="Y533" s="372">
        <f t="shared" si="230"/>
        <v>-75.104016568941461</v>
      </c>
      <c r="AA533" s="371">
        <f t="shared" si="231"/>
        <v>24.157199589026135</v>
      </c>
      <c r="AB533" s="372">
        <f t="shared" si="232"/>
        <v>-171.42754280185972</v>
      </c>
      <c r="AD533">
        <f t="shared" si="236"/>
        <v>0</v>
      </c>
      <c r="AE533">
        <f t="shared" si="213"/>
        <v>0</v>
      </c>
    </row>
    <row r="534" spans="1:31" x14ac:dyDescent="0.2">
      <c r="A534" s="373">
        <v>78077</v>
      </c>
      <c r="B534" s="390">
        <f t="shared" si="233"/>
        <v>78.076999999999998</v>
      </c>
      <c r="C534" s="363">
        <f t="shared" si="214"/>
        <v>109.92612577796667</v>
      </c>
      <c r="D534" s="364">
        <f t="shared" si="215"/>
        <v>1.5616991828169691</v>
      </c>
      <c r="E534" s="364">
        <f t="shared" si="216"/>
        <v>1.3940903618766243</v>
      </c>
      <c r="F534" s="365">
        <f t="shared" si="217"/>
        <v>0.77085728859720792</v>
      </c>
      <c r="G534" s="364">
        <f t="shared" si="218"/>
        <v>2.0256025269289442</v>
      </c>
      <c r="H534" s="365">
        <f t="shared" si="219"/>
        <v>-1.0544797042602267</v>
      </c>
      <c r="I534" s="363">
        <f t="shared" si="220"/>
        <v>323875.47158508754</v>
      </c>
      <c r="J534" s="366">
        <f t="shared" si="221"/>
        <v>1.5707932391884314</v>
      </c>
      <c r="K534" s="374">
        <f t="shared" si="211"/>
        <v>97.785975939064571</v>
      </c>
      <c r="L534" s="375">
        <f t="shared" si="212"/>
        <v>1.5605697332456152</v>
      </c>
      <c r="M534" s="363">
        <f t="shared" si="222"/>
        <v>3.7657352008610574</v>
      </c>
      <c r="N534" s="366">
        <f t="shared" si="223"/>
        <v>1.3020194835243319</v>
      </c>
      <c r="O534" s="367">
        <f t="shared" si="224"/>
        <v>1.4970424059761458</v>
      </c>
      <c r="P534" s="368">
        <f t="shared" si="225"/>
        <v>1.1512204751124155</v>
      </c>
      <c r="Q534" s="369">
        <f t="shared" si="226"/>
        <v>-30.244902426327403</v>
      </c>
      <c r="R534" s="370">
        <f t="shared" si="227"/>
        <v>-246.87519922441862</v>
      </c>
      <c r="S534" s="372">
        <f t="shared" si="228"/>
        <v>-66.875199224418623</v>
      </c>
      <c r="U534" s="345">
        <f t="shared" si="234"/>
        <v>78077</v>
      </c>
      <c r="V534" s="345">
        <f t="shared" si="235"/>
        <v>6096017929</v>
      </c>
      <c r="X534" s="371">
        <f t="shared" si="229"/>
        <v>6.177649095591522</v>
      </c>
      <c r="Y534" s="372">
        <f t="shared" si="230"/>
        <v>-75.185985078010219</v>
      </c>
      <c r="AA534" s="371">
        <f t="shared" si="231"/>
        <v>24.138022950085944</v>
      </c>
      <c r="AB534" s="372">
        <f t="shared" si="232"/>
        <v>-171.68921414640837</v>
      </c>
      <c r="AD534">
        <f t="shared" si="236"/>
        <v>0</v>
      </c>
      <c r="AE534">
        <f t="shared" si="213"/>
        <v>0</v>
      </c>
    </row>
    <row r="535" spans="1:31" x14ac:dyDescent="0.2">
      <c r="A535" s="373">
        <v>78529</v>
      </c>
      <c r="B535" s="390">
        <f t="shared" si="233"/>
        <v>78.528999999999996</v>
      </c>
      <c r="C535" s="363">
        <f t="shared" si="214"/>
        <v>110.56245285036799</v>
      </c>
      <c r="D535" s="364">
        <f t="shared" si="215"/>
        <v>1.5617515416165744</v>
      </c>
      <c r="E535" s="364">
        <f t="shared" si="216"/>
        <v>1.3980141475581667</v>
      </c>
      <c r="F535" s="365">
        <f t="shared" si="217"/>
        <v>0.77374252633803264</v>
      </c>
      <c r="G535" s="364">
        <f t="shared" si="218"/>
        <v>2.034477294356432</v>
      </c>
      <c r="H535" s="365">
        <f t="shared" si="219"/>
        <v>-1.0569542994308476</v>
      </c>
      <c r="I535" s="363">
        <f t="shared" si="220"/>
        <v>325750.43749252596</v>
      </c>
      <c r="J535" s="366">
        <f t="shared" si="221"/>
        <v>1.5707932569601861</v>
      </c>
      <c r="K535" s="374">
        <f t="shared" ref="K535:K598" si="237">SQRT(1+(A535/Zero2)^2)</f>
        <v>98.352015260325302</v>
      </c>
      <c r="L535" s="375">
        <f t="shared" ref="L535:L598" si="238">ATAN(A535/Zero2)</f>
        <v>1.5606285917664531</v>
      </c>
      <c r="M535" s="363">
        <f t="shared" si="222"/>
        <v>3.7860024221263648</v>
      </c>
      <c r="N535" s="366">
        <f t="shared" si="223"/>
        <v>1.3034936789571236</v>
      </c>
      <c r="O535" s="367">
        <f t="shared" si="224"/>
        <v>1.5024432835346551</v>
      </c>
      <c r="P535" s="368">
        <f t="shared" si="225"/>
        <v>1.156120287505686</v>
      </c>
      <c r="Q535" s="369">
        <f t="shared" si="226"/>
        <v>-30.310559192306059</v>
      </c>
      <c r="R535" s="370">
        <f t="shared" si="227"/>
        <v>-247.21650349731613</v>
      </c>
      <c r="S535" s="372">
        <f t="shared" si="228"/>
        <v>-67.216503497316126</v>
      </c>
      <c r="U535" s="345">
        <f t="shared" si="234"/>
        <v>78529</v>
      </c>
      <c r="V535" s="345">
        <f t="shared" si="235"/>
        <v>6166803841</v>
      </c>
      <c r="X535" s="371">
        <f t="shared" si="229"/>
        <v>6.1310216931040218</v>
      </c>
      <c r="Y535" s="372">
        <f t="shared" si="230"/>
        <v>-75.267078927993467</v>
      </c>
      <c r="AA535" s="371">
        <f t="shared" si="231"/>
        <v>24.118993586594794</v>
      </c>
      <c r="AB535" s="372">
        <f t="shared" si="232"/>
        <v>-171.94942456932267</v>
      </c>
      <c r="AD535">
        <f t="shared" si="236"/>
        <v>0</v>
      </c>
      <c r="AE535">
        <f t="shared" si="213"/>
        <v>0</v>
      </c>
    </row>
    <row r="536" spans="1:31" x14ac:dyDescent="0.2">
      <c r="A536" s="373">
        <v>78981</v>
      </c>
      <c r="B536" s="390">
        <f t="shared" si="233"/>
        <v>78.980999999999995</v>
      </c>
      <c r="C536" s="363">
        <f t="shared" si="214"/>
        <v>111.19878022240113</v>
      </c>
      <c r="D536" s="364">
        <f t="shared" si="215"/>
        <v>1.5618033011770609</v>
      </c>
      <c r="E536" s="364">
        <f t="shared" si="216"/>
        <v>1.4019495059430185</v>
      </c>
      <c r="F536" s="365">
        <f t="shared" si="217"/>
        <v>0.77661158977203093</v>
      </c>
      <c r="G536" s="364">
        <f t="shared" si="218"/>
        <v>2.0433644118893484</v>
      </c>
      <c r="H536" s="365">
        <f t="shared" si="219"/>
        <v>-1.059407384212504</v>
      </c>
      <c r="I536" s="363">
        <f t="shared" si="220"/>
        <v>327625.4033999645</v>
      </c>
      <c r="J536" s="366">
        <f t="shared" si="221"/>
        <v>1.5707932745285289</v>
      </c>
      <c r="K536" s="374">
        <f t="shared" si="237"/>
        <v>98.918054918409979</v>
      </c>
      <c r="L536" s="375">
        <f t="shared" si="238"/>
        <v>1.5606867766742247</v>
      </c>
      <c r="M536" s="363">
        <f t="shared" si="222"/>
        <v>3.8062777836969834</v>
      </c>
      <c r="N536" s="366">
        <f t="shared" si="223"/>
        <v>1.3049521719802504</v>
      </c>
      <c r="O536" s="367">
        <f t="shared" si="224"/>
        <v>1.5078695538115674</v>
      </c>
      <c r="P536" s="368">
        <f t="shared" si="225"/>
        <v>1.1610007901462949</v>
      </c>
      <c r="Q536" s="369">
        <f t="shared" si="226"/>
        <v>-30.37584137809673</v>
      </c>
      <c r="R536" s="370">
        <f t="shared" si="227"/>
        <v>-247.55550023575114</v>
      </c>
      <c r="S536" s="372">
        <f t="shared" si="228"/>
        <v>-67.55550023575114</v>
      </c>
      <c r="U536" s="345">
        <f t="shared" si="234"/>
        <v>78981</v>
      </c>
      <c r="V536" s="345">
        <f t="shared" si="235"/>
        <v>6237998361</v>
      </c>
      <c r="X536" s="371">
        <f t="shared" si="229"/>
        <v>6.0846247165086451</v>
      </c>
      <c r="Y536" s="372">
        <f t="shared" si="230"/>
        <v>-75.347311679704831</v>
      </c>
      <c r="AA536" s="371">
        <f t="shared" si="231"/>
        <v>24.100108377399497</v>
      </c>
      <c r="AB536" s="372">
        <f t="shared" si="232"/>
        <v>-172.20818855604631</v>
      </c>
      <c r="AD536">
        <f t="shared" si="236"/>
        <v>0</v>
      </c>
      <c r="AE536">
        <f t="shared" si="213"/>
        <v>0</v>
      </c>
    </row>
    <row r="537" spans="1:31" x14ac:dyDescent="0.2">
      <c r="A537" s="373">
        <v>79433</v>
      </c>
      <c r="B537" s="390">
        <f t="shared" si="233"/>
        <v>79.433000000000007</v>
      </c>
      <c r="C537" s="363">
        <f t="shared" si="214"/>
        <v>111.83510788895147</v>
      </c>
      <c r="D537" s="364">
        <f t="shared" si="215"/>
        <v>1.5618544717269338</v>
      </c>
      <c r="E537" s="364">
        <f t="shared" si="216"/>
        <v>1.4058963398489075</v>
      </c>
      <c r="F537" s="365">
        <f t="shared" si="217"/>
        <v>0.77946456768779415</v>
      </c>
      <c r="G537" s="364">
        <f t="shared" si="218"/>
        <v>2.0522637190851056</v>
      </c>
      <c r="H537" s="365">
        <f t="shared" si="219"/>
        <v>-1.0618392087176172</v>
      </c>
      <c r="I537" s="363">
        <f t="shared" si="220"/>
        <v>329500.36930740305</v>
      </c>
      <c r="J537" s="366">
        <f t="shared" si="221"/>
        <v>1.5707932918969325</v>
      </c>
      <c r="K537" s="374">
        <f t="shared" si="237"/>
        <v>99.484094907569258</v>
      </c>
      <c r="L537" s="375">
        <f t="shared" si="238"/>
        <v>1.5607442994666099</v>
      </c>
      <c r="M537" s="363">
        <f t="shared" si="222"/>
        <v>3.8265611561766044</v>
      </c>
      <c r="N537" s="366">
        <f t="shared" si="223"/>
        <v>1.3063952060391781</v>
      </c>
      <c r="O537" s="367">
        <f t="shared" si="224"/>
        <v>1.5133211798700139</v>
      </c>
      <c r="P537" s="368">
        <f t="shared" si="225"/>
        <v>1.1658620608750554</v>
      </c>
      <c r="Q537" s="369">
        <f t="shared" si="226"/>
        <v>-30.440754088814206</v>
      </c>
      <c r="R537" s="370">
        <f t="shared" si="227"/>
        <v>-247.89221701872657</v>
      </c>
      <c r="S537" s="372">
        <f t="shared" si="228"/>
        <v>-67.892217018726569</v>
      </c>
      <c r="U537" s="345">
        <f t="shared" si="234"/>
        <v>79433</v>
      </c>
      <c r="V537" s="345">
        <f t="shared" si="235"/>
        <v>6309601489</v>
      </c>
      <c r="X537" s="371">
        <f t="shared" si="229"/>
        <v>6.0384561090295232</v>
      </c>
      <c r="Y537" s="372">
        <f t="shared" si="230"/>
        <v>-75.426696622972457</v>
      </c>
      <c r="AA537" s="371">
        <f t="shared" si="231"/>
        <v>24.081364274161142</v>
      </c>
      <c r="AB537" s="372">
        <f t="shared" si="232"/>
        <v>-172.46552039575408</v>
      </c>
      <c r="AD537">
        <f t="shared" si="236"/>
        <v>0</v>
      </c>
      <c r="AE537">
        <f t="shared" si="213"/>
        <v>0</v>
      </c>
    </row>
    <row r="538" spans="1:31" x14ac:dyDescent="0.2">
      <c r="A538" s="373">
        <v>79895.5</v>
      </c>
      <c r="B538" s="390">
        <f t="shared" si="233"/>
        <v>79.895499999999998</v>
      </c>
      <c r="C538" s="363">
        <f t="shared" si="214"/>
        <v>112.48621780315337</v>
      </c>
      <c r="D538" s="364">
        <f t="shared" si="215"/>
        <v>1.5619062317063597</v>
      </c>
      <c r="E538" s="364">
        <f t="shared" si="216"/>
        <v>1.4099466370114202</v>
      </c>
      <c r="F538" s="365">
        <f t="shared" si="217"/>
        <v>0.78236726284790781</v>
      </c>
      <c r="G538" s="364">
        <f t="shared" si="218"/>
        <v>2.0613822109923792</v>
      </c>
      <c r="H538" s="365">
        <f t="shared" si="219"/>
        <v>-1.0643057753176084</v>
      </c>
      <c r="I538" s="363">
        <f t="shared" si="220"/>
        <v>331418.89083879779</v>
      </c>
      <c r="J538" s="366">
        <f t="shared" si="221"/>
        <v>1.5707933094653852</v>
      </c>
      <c r="K538" s="374">
        <f t="shared" si="237"/>
        <v>100.06328439260822</v>
      </c>
      <c r="L538" s="375">
        <f t="shared" si="238"/>
        <v>1.5608024848736544</v>
      </c>
      <c r="M538" s="363">
        <f t="shared" si="222"/>
        <v>3.8473238732383046</v>
      </c>
      <c r="N538" s="366">
        <f t="shared" si="223"/>
        <v>1.3078560089321944</v>
      </c>
      <c r="O538" s="367">
        <f t="shared" si="224"/>
        <v>1.5189256559428166</v>
      </c>
      <c r="P538" s="368">
        <f t="shared" si="225"/>
        <v>1.1708164335410041</v>
      </c>
      <c r="Q538" s="369">
        <f t="shared" si="226"/>
        <v>-30.506797504478079</v>
      </c>
      <c r="R538" s="370">
        <f t="shared" si="227"/>
        <v>-248.23442403437568</v>
      </c>
      <c r="S538" s="372">
        <f t="shared" si="228"/>
        <v>-68.234424034375678</v>
      </c>
      <c r="U538" s="345">
        <f t="shared" si="234"/>
        <v>79895.5</v>
      </c>
      <c r="V538" s="345">
        <f t="shared" si="235"/>
        <v>6383290920.25</v>
      </c>
      <c r="X538" s="371">
        <f t="shared" si="229"/>
        <v>5.9914492682748026</v>
      </c>
      <c r="Y538" s="372">
        <f t="shared" si="230"/>
        <v>-75.507061691879926</v>
      </c>
      <c r="AA538" s="371">
        <f t="shared" si="231"/>
        <v>24.062327699251984</v>
      </c>
      <c r="AB538" s="372">
        <f t="shared" si="232"/>
        <v>-172.72736234249578</v>
      </c>
      <c r="AD538">
        <f t="shared" si="236"/>
        <v>0</v>
      </c>
      <c r="AE538">
        <f t="shared" ref="AE538:AE601" si="239">IF(AD538&gt;0,S538,0)</f>
        <v>0</v>
      </c>
    </row>
    <row r="539" spans="1:31" x14ac:dyDescent="0.2">
      <c r="A539" s="373">
        <v>80358</v>
      </c>
      <c r="B539" s="390">
        <f t="shared" si="233"/>
        <v>80.358000000000004</v>
      </c>
      <c r="C539" s="363">
        <f t="shared" si="214"/>
        <v>113.13732801524789</v>
      </c>
      <c r="D539" s="364">
        <f t="shared" si="215"/>
        <v>1.5619573959240844</v>
      </c>
      <c r="E539" s="364">
        <f t="shared" si="216"/>
        <v>1.4140087457607708</v>
      </c>
      <c r="F539" s="365">
        <f t="shared" si="217"/>
        <v>0.78525330471148769</v>
      </c>
      <c r="G539" s="364">
        <f t="shared" si="218"/>
        <v>2.0705131337396945</v>
      </c>
      <c r="H539" s="365">
        <f t="shared" si="219"/>
        <v>-1.0667506016610389</v>
      </c>
      <c r="I539" s="363">
        <f t="shared" si="220"/>
        <v>333337.41237019259</v>
      </c>
      <c r="J539" s="366">
        <f t="shared" si="221"/>
        <v>1.5707933268316074</v>
      </c>
      <c r="K539" s="374">
        <f t="shared" si="237"/>
        <v>100.6424742125164</v>
      </c>
      <c r="L539" s="375">
        <f t="shared" si="238"/>
        <v>1.5608600005756668</v>
      </c>
      <c r="M539" s="363">
        <f t="shared" si="222"/>
        <v>3.8680947121305831</v>
      </c>
      <c r="N539" s="366">
        <f t="shared" si="223"/>
        <v>1.3093011264850949</v>
      </c>
      <c r="O539" s="367">
        <f t="shared" si="224"/>
        <v>1.524556603220391</v>
      </c>
      <c r="P539" s="368">
        <f t="shared" si="225"/>
        <v>1.1757508359714686</v>
      </c>
      <c r="Q539" s="369">
        <f t="shared" si="226"/>
        <v>-30.57246459319764</v>
      </c>
      <c r="R539" s="370">
        <f t="shared" si="227"/>
        <v>-248.57430089973792</v>
      </c>
      <c r="S539" s="372">
        <f t="shared" si="228"/>
        <v>-68.574300899737921</v>
      </c>
      <c r="U539" s="345">
        <f t="shared" si="234"/>
        <v>80358</v>
      </c>
      <c r="V539" s="345">
        <f t="shared" si="235"/>
        <v>6457408164</v>
      </c>
      <c r="X539" s="371">
        <f t="shared" si="229"/>
        <v>5.9446772484137522</v>
      </c>
      <c r="Y539" s="372">
        <f t="shared" si="230"/>
        <v>-75.586566416682416</v>
      </c>
      <c r="AA539" s="371">
        <f t="shared" si="231"/>
        <v>24.043432630393475</v>
      </c>
      <c r="AB539" s="372">
        <f t="shared" si="232"/>
        <v>-172.98773448305548</v>
      </c>
      <c r="AD539">
        <f t="shared" si="236"/>
        <v>0</v>
      </c>
      <c r="AE539">
        <f t="shared" si="239"/>
        <v>0</v>
      </c>
    </row>
    <row r="540" spans="1:31" x14ac:dyDescent="0.2">
      <c r="A540" s="373">
        <v>80820.5</v>
      </c>
      <c r="B540" s="390">
        <f t="shared" si="233"/>
        <v>80.820499999999996</v>
      </c>
      <c r="C540" s="363">
        <f t="shared" si="214"/>
        <v>113.78843852012129</v>
      </c>
      <c r="D540" s="364">
        <f t="shared" si="215"/>
        <v>1.5620079746068882</v>
      </c>
      <c r="E540" s="364">
        <f t="shared" si="216"/>
        <v>1.4180825645938107</v>
      </c>
      <c r="F540" s="365">
        <f t="shared" si="217"/>
        <v>0.78812278851785678</v>
      </c>
      <c r="G540" s="364">
        <f t="shared" si="218"/>
        <v>2.0796563235908119</v>
      </c>
      <c r="H540" s="365">
        <f t="shared" si="219"/>
        <v>-1.0691739450703801</v>
      </c>
      <c r="I540" s="363">
        <f t="shared" si="220"/>
        <v>335255.93390158744</v>
      </c>
      <c r="J540" s="366">
        <f t="shared" si="221"/>
        <v>1.5707933439990716</v>
      </c>
      <c r="K540" s="374">
        <f t="shared" si="237"/>
        <v>101.22166436154548</v>
      </c>
      <c r="L540" s="375">
        <f t="shared" si="238"/>
        <v>1.5609168580684152</v>
      </c>
      <c r="M540" s="363">
        <f t="shared" si="222"/>
        <v>3.8888735427150616</v>
      </c>
      <c r="N540" s="366">
        <f t="shared" si="223"/>
        <v>1.3107308040404875</v>
      </c>
      <c r="O540" s="367">
        <f t="shared" si="224"/>
        <v>1.5302139840985258</v>
      </c>
      <c r="P540" s="368">
        <f t="shared" si="225"/>
        <v>1.1806653522092028</v>
      </c>
      <c r="Q540" s="369">
        <f t="shared" si="226"/>
        <v>-30.637760523557631</v>
      </c>
      <c r="R540" s="370">
        <f t="shared" si="227"/>
        <v>-248.911875701376</v>
      </c>
      <c r="S540" s="372">
        <f t="shared" si="228"/>
        <v>-68.911875701376005</v>
      </c>
      <c r="U540" s="345">
        <f t="shared" si="234"/>
        <v>80820.5</v>
      </c>
      <c r="V540" s="345">
        <f t="shared" si="235"/>
        <v>6531953220.25</v>
      </c>
      <c r="X540" s="371">
        <f t="shared" si="229"/>
        <v>5.8981379218542864</v>
      </c>
      <c r="Y540" s="372">
        <f t="shared" si="230"/>
        <v>-75.665224196015956</v>
      </c>
      <c r="AA540" s="371">
        <f t="shared" si="231"/>
        <v>24.024676026592957</v>
      </c>
      <c r="AB540" s="372">
        <f t="shared" si="232"/>
        <v>-173.24665150536001</v>
      </c>
      <c r="AD540">
        <f t="shared" si="236"/>
        <v>0</v>
      </c>
      <c r="AE540">
        <f t="shared" si="239"/>
        <v>0</v>
      </c>
    </row>
    <row r="541" spans="1:31" x14ac:dyDescent="0.2">
      <c r="A541" s="373">
        <v>81283</v>
      </c>
      <c r="B541" s="390">
        <f t="shared" si="233"/>
        <v>81.283000000000001</v>
      </c>
      <c r="C541" s="363">
        <f t="shared" si="214"/>
        <v>114.43954931277626</v>
      </c>
      <c r="D541" s="364">
        <f t="shared" si="215"/>
        <v>1.5620579777488202</v>
      </c>
      <c r="E541" s="364">
        <f t="shared" si="216"/>
        <v>1.4221679928794788</v>
      </c>
      <c r="F541" s="365">
        <f t="shared" si="217"/>
        <v>0.79097580950738244</v>
      </c>
      <c r="G541" s="364">
        <f t="shared" si="218"/>
        <v>2.0888116194582689</v>
      </c>
      <c r="H541" s="365">
        <f t="shared" si="219"/>
        <v>-1.0715760593750858</v>
      </c>
      <c r="I541" s="363">
        <f t="shared" si="220"/>
        <v>337174.45543298242</v>
      </c>
      <c r="J541" s="366">
        <f t="shared" si="221"/>
        <v>1.5707933609711697</v>
      </c>
      <c r="K541" s="374">
        <f t="shared" si="237"/>
        <v>101.8008548340779</v>
      </c>
      <c r="L541" s="375">
        <f t="shared" si="238"/>
        <v>1.5609730685860672</v>
      </c>
      <c r="M541" s="363">
        <f t="shared" si="222"/>
        <v>3.9096602375704252</v>
      </c>
      <c r="N541" s="366">
        <f t="shared" si="223"/>
        <v>1.3121452819787693</v>
      </c>
      <c r="O541" s="367">
        <f t="shared" si="224"/>
        <v>1.5358977616252438</v>
      </c>
      <c r="P541" s="368">
        <f t="shared" si="225"/>
        <v>1.1855600664764638</v>
      </c>
      <c r="Q541" s="369">
        <f t="shared" si="226"/>
        <v>-30.702690367218594</v>
      </c>
      <c r="R541" s="370">
        <f t="shared" si="227"/>
        <v>-249.24717605327811</v>
      </c>
      <c r="S541" s="372">
        <f t="shared" si="228"/>
        <v>-69.24717605327811</v>
      </c>
      <c r="U541" s="345">
        <f t="shared" si="234"/>
        <v>81283</v>
      </c>
      <c r="V541" s="345">
        <f t="shared" si="235"/>
        <v>6606926089</v>
      </c>
      <c r="X541" s="371">
        <f t="shared" si="229"/>
        <v>5.851829186012286</v>
      </c>
      <c r="Y541" s="372">
        <f t="shared" si="230"/>
        <v>-75.743048159186671</v>
      </c>
      <c r="AA541" s="371">
        <f t="shared" si="231"/>
        <v>24.006054918773991</v>
      </c>
      <c r="AB541" s="372">
        <f t="shared" si="232"/>
        <v>-173.50412789409143</v>
      </c>
      <c r="AD541">
        <f t="shared" si="236"/>
        <v>0</v>
      </c>
      <c r="AE541">
        <f t="shared" si="239"/>
        <v>0</v>
      </c>
    </row>
    <row r="542" spans="1:31" x14ac:dyDescent="0.2">
      <c r="A542" s="373">
        <v>81756.25</v>
      </c>
      <c r="B542" s="390">
        <f t="shared" si="233"/>
        <v>81.756249999999994</v>
      </c>
      <c r="C542" s="363">
        <f t="shared" si="214"/>
        <v>115.10579432476159</v>
      </c>
      <c r="D542" s="364">
        <f t="shared" si="215"/>
        <v>1.5621085575515425</v>
      </c>
      <c r="E542" s="364">
        <f t="shared" si="216"/>
        <v>1.4263602930559265</v>
      </c>
      <c r="F542" s="365">
        <f t="shared" si="217"/>
        <v>0.79387820205188342</v>
      </c>
      <c r="G542" s="364">
        <f t="shared" si="218"/>
        <v>2.098192080144611</v>
      </c>
      <c r="H542" s="365">
        <f t="shared" si="219"/>
        <v>-1.0740122927841489</v>
      </c>
      <c r="I542" s="363">
        <f t="shared" si="220"/>
        <v>339137.56962699915</v>
      </c>
      <c r="J542" s="366">
        <f t="shared" si="221"/>
        <v>1.5707933781389836</v>
      </c>
      <c r="K542" s="374">
        <f t="shared" si="237"/>
        <v>102.39350790079055</v>
      </c>
      <c r="L542" s="375">
        <f t="shared" si="238"/>
        <v>1.5610299273641945</v>
      </c>
      <c r="M542" s="363">
        <f t="shared" si="222"/>
        <v>3.9309380930701172</v>
      </c>
      <c r="N542" s="366">
        <f t="shared" si="223"/>
        <v>1.3135771489918355</v>
      </c>
      <c r="O542" s="367">
        <f t="shared" si="224"/>
        <v>1.5417409348018523</v>
      </c>
      <c r="P542" s="368">
        <f t="shared" si="225"/>
        <v>1.1905481400905373</v>
      </c>
      <c r="Q542" s="369">
        <f t="shared" si="226"/>
        <v>-30.768755632975537</v>
      </c>
      <c r="R542" s="370">
        <f t="shared" si="227"/>
        <v>-249.58794383013802</v>
      </c>
      <c r="S542" s="372">
        <f t="shared" si="228"/>
        <v>-69.587943830138016</v>
      </c>
      <c r="U542" s="345">
        <f t="shared" si="234"/>
        <v>81756.25</v>
      </c>
      <c r="V542" s="345">
        <f t="shared" si="235"/>
        <v>6684084414.0625</v>
      </c>
      <c r="X542" s="371">
        <f t="shared" si="229"/>
        <v>5.8046806100905988</v>
      </c>
      <c r="Y542" s="372">
        <f t="shared" si="230"/>
        <v>-75.821831311577711</v>
      </c>
      <c r="AA542" s="371">
        <f t="shared" si="231"/>
        <v>23.98713822893874</v>
      </c>
      <c r="AB542" s="372">
        <f t="shared" si="232"/>
        <v>-173.76611251856033</v>
      </c>
      <c r="AD542">
        <f t="shared" si="236"/>
        <v>0</v>
      </c>
      <c r="AE542">
        <f t="shared" si="239"/>
        <v>0</v>
      </c>
    </row>
    <row r="543" spans="1:31" x14ac:dyDescent="0.2">
      <c r="A543" s="373">
        <v>82229.5</v>
      </c>
      <c r="B543" s="390">
        <f t="shared" si="233"/>
        <v>82.229500000000002</v>
      </c>
      <c r="C543" s="363">
        <f t="shared" si="214"/>
        <v>115.77203962783466</v>
      </c>
      <c r="D543" s="364">
        <f t="shared" si="215"/>
        <v>1.5621585552007713</v>
      </c>
      <c r="E543" s="364">
        <f t="shared" si="216"/>
        <v>1.430564538241704</v>
      </c>
      <c r="F543" s="365">
        <f t="shared" si="217"/>
        <v>0.79676355926673892</v>
      </c>
      <c r="G543" s="364">
        <f t="shared" si="218"/>
        <v>2.1075848831932111</v>
      </c>
      <c r="H543" s="365">
        <f t="shared" si="219"/>
        <v>-1.0764268254579523</v>
      </c>
      <c r="I543" s="363">
        <f t="shared" si="220"/>
        <v>341100.68382101593</v>
      </c>
      <c r="J543" s="366">
        <f t="shared" si="221"/>
        <v>1.5707933951091879</v>
      </c>
      <c r="K543" s="374">
        <f t="shared" si="237"/>
        <v>102.98616129472336</v>
      </c>
      <c r="L543" s="375">
        <f t="shared" si="238"/>
        <v>1.5610861317332605</v>
      </c>
      <c r="M543" s="363">
        <f t="shared" si="222"/>
        <v>3.9522239211594554</v>
      </c>
      <c r="N543" s="366">
        <f t="shared" si="223"/>
        <v>1.3149935954273531</v>
      </c>
      <c r="O543" s="367">
        <f t="shared" si="224"/>
        <v>1.547611669763477</v>
      </c>
      <c r="P543" s="368">
        <f t="shared" si="225"/>
        <v>1.1955156594211704</v>
      </c>
      <c r="Q543" s="369">
        <f t="shared" si="226"/>
        <v>-30.834448038347297</v>
      </c>
      <c r="R543" s="370">
        <f t="shared" si="227"/>
        <v>-249.9263872198575</v>
      </c>
      <c r="S543" s="372">
        <f t="shared" si="228"/>
        <v>-69.926387219857503</v>
      </c>
      <c r="U543" s="345">
        <f t="shared" si="234"/>
        <v>82229.5</v>
      </c>
      <c r="V543" s="345">
        <f t="shared" si="235"/>
        <v>6761690670.25</v>
      </c>
      <c r="X543" s="371">
        <f t="shared" si="229"/>
        <v>5.7577690936566226</v>
      </c>
      <c r="Y543" s="372">
        <f t="shared" si="230"/>
        <v>-75.899768413511694</v>
      </c>
      <c r="AA543" s="371">
        <f t="shared" si="231"/>
        <v>23.968357340000953</v>
      </c>
      <c r="AB543" s="372">
        <f t="shared" si="232"/>
        <v>-174.02661880634582</v>
      </c>
      <c r="AD543">
        <f t="shared" si="236"/>
        <v>0</v>
      </c>
      <c r="AE543">
        <f t="shared" si="239"/>
        <v>0</v>
      </c>
    </row>
    <row r="544" spans="1:31" x14ac:dyDescent="0.2">
      <c r="A544" s="373">
        <v>82702.75</v>
      </c>
      <c r="B544" s="390">
        <f t="shared" si="233"/>
        <v>82.702749999999995</v>
      </c>
      <c r="C544" s="363">
        <f t="shared" si="214"/>
        <v>116.43828521699875</v>
      </c>
      <c r="D544" s="364">
        <f t="shared" si="215"/>
        <v>1.562207980689287</v>
      </c>
      <c r="E544" s="364">
        <f t="shared" si="216"/>
        <v>1.4347806234317426</v>
      </c>
      <c r="F544" s="365">
        <f t="shared" si="217"/>
        <v>0.79963198307209948</v>
      </c>
      <c r="G544" s="364">
        <f t="shared" si="218"/>
        <v>2.1169898643198057</v>
      </c>
      <c r="H544" s="365">
        <f t="shared" si="219"/>
        <v>-1.0788199182789329</v>
      </c>
      <c r="I544" s="363">
        <f t="shared" si="220"/>
        <v>343063.79801503284</v>
      </c>
      <c r="J544" s="366">
        <f t="shared" si="221"/>
        <v>1.570793411885175</v>
      </c>
      <c r="K544" s="374">
        <f t="shared" si="237"/>
        <v>103.57881501025946</v>
      </c>
      <c r="L544" s="375">
        <f t="shared" si="238"/>
        <v>1.5611416929260331</v>
      </c>
      <c r="M544" s="363">
        <f t="shared" si="222"/>
        <v>3.9735175937127916</v>
      </c>
      <c r="N544" s="366">
        <f t="shared" si="223"/>
        <v>1.3163948634673612</v>
      </c>
      <c r="O544" s="367">
        <f t="shared" si="224"/>
        <v>1.5535099290046084</v>
      </c>
      <c r="P544" s="368">
        <f t="shared" si="225"/>
        <v>1.200462715160916</v>
      </c>
      <c r="Q544" s="369">
        <f t="shared" si="226"/>
        <v>-30.89977271564463</v>
      </c>
      <c r="R544" s="370">
        <f t="shared" si="227"/>
        <v>-250.26253433176228</v>
      </c>
      <c r="S544" s="372">
        <f t="shared" si="228"/>
        <v>-70.262534331762282</v>
      </c>
      <c r="U544" s="345">
        <f t="shared" si="234"/>
        <v>82702.75</v>
      </c>
      <c r="V544" s="345">
        <f t="shared" si="235"/>
        <v>6839744857.5625</v>
      </c>
      <c r="X544" s="371">
        <f t="shared" si="229"/>
        <v>5.7110924634888853</v>
      </c>
      <c r="Y544" s="372">
        <f t="shared" si="230"/>
        <v>-75.976872697601507</v>
      </c>
      <c r="AA544" s="371">
        <f t="shared" si="231"/>
        <v>23.949709292871351</v>
      </c>
      <c r="AB544" s="372">
        <f t="shared" si="232"/>
        <v>-174.28566163416076</v>
      </c>
      <c r="AD544">
        <f t="shared" si="236"/>
        <v>0</v>
      </c>
      <c r="AE544">
        <f t="shared" si="239"/>
        <v>0</v>
      </c>
    </row>
    <row r="545" spans="1:31" x14ac:dyDescent="0.2">
      <c r="A545" s="373">
        <v>83176</v>
      </c>
      <c r="B545" s="390">
        <f t="shared" si="233"/>
        <v>83.176000000000002</v>
      </c>
      <c r="C545" s="363">
        <f t="shared" si="214"/>
        <v>117.10453108737086</v>
      </c>
      <c r="D545" s="364">
        <f t="shared" si="215"/>
        <v>1.5622568437824731</v>
      </c>
      <c r="E545" s="364">
        <f t="shared" si="216"/>
        <v>1.439008444557581</v>
      </c>
      <c r="F545" s="365">
        <f t="shared" si="217"/>
        <v>0.80248357530998515</v>
      </c>
      <c r="G545" s="364">
        <f t="shared" si="218"/>
        <v>2.1264068619354846</v>
      </c>
      <c r="H545" s="365">
        <f t="shared" si="219"/>
        <v>-1.0811918284994158</v>
      </c>
      <c r="I545" s="363">
        <f t="shared" si="220"/>
        <v>345026.9122090498</v>
      </c>
      <c r="J545" s="366">
        <f t="shared" si="221"/>
        <v>1.5707934284702598</v>
      </c>
      <c r="K545" s="374">
        <f t="shared" si="237"/>
        <v>104.17146904190987</v>
      </c>
      <c r="L545" s="375">
        <f t="shared" si="238"/>
        <v>1.5611966219196738</v>
      </c>
      <c r="M545" s="363">
        <f t="shared" si="222"/>
        <v>3.9948189852895664</v>
      </c>
      <c r="N545" s="366">
        <f t="shared" si="223"/>
        <v>1.3177811903696881</v>
      </c>
      <c r="O545" s="367">
        <f t="shared" si="224"/>
        <v>1.5594356757094323</v>
      </c>
      <c r="P545" s="368">
        <f t="shared" si="225"/>
        <v>1.2053893981174091</v>
      </c>
      <c r="Q545" s="369">
        <f t="shared" si="226"/>
        <v>-30.964734700095327</v>
      </c>
      <c r="R545" s="370">
        <f t="shared" si="227"/>
        <v>-250.59641279773354</v>
      </c>
      <c r="S545" s="372">
        <f t="shared" si="228"/>
        <v>-70.596412797733535</v>
      </c>
      <c r="U545" s="345">
        <f t="shared" si="234"/>
        <v>83176</v>
      </c>
      <c r="V545" s="345">
        <f t="shared" si="235"/>
        <v>6918246976</v>
      </c>
      <c r="X545" s="371">
        <f t="shared" si="229"/>
        <v>5.6646485724981961</v>
      </c>
      <c r="Y545" s="372">
        <f t="shared" si="230"/>
        <v>-76.053157128964287</v>
      </c>
      <c r="AA545" s="371">
        <f t="shared" si="231"/>
        <v>23.931191199411348</v>
      </c>
      <c r="AB545" s="372">
        <f t="shared" si="232"/>
        <v>-174.54325566876923</v>
      </c>
      <c r="AD545">
        <f t="shared" si="236"/>
        <v>0</v>
      </c>
      <c r="AE545">
        <f t="shared" si="239"/>
        <v>0</v>
      </c>
    </row>
    <row r="546" spans="1:31" x14ac:dyDescent="0.2">
      <c r="A546" s="373">
        <v>83660.5</v>
      </c>
      <c r="B546" s="390">
        <f t="shared" si="233"/>
        <v>83.660499999999999</v>
      </c>
      <c r="C546" s="363">
        <f t="shared" si="214"/>
        <v>117.78661510153252</v>
      </c>
      <c r="D546" s="364">
        <f t="shared" si="215"/>
        <v>1.5623062957953917</v>
      </c>
      <c r="E546" s="364">
        <f t="shared" si="216"/>
        <v>1.4433488186062187</v>
      </c>
      <c r="F546" s="365">
        <f t="shared" si="217"/>
        <v>0.80538562474061937</v>
      </c>
      <c r="G546" s="364">
        <f t="shared" si="218"/>
        <v>2.1360600008682722</v>
      </c>
      <c r="H546" s="365">
        <f t="shared" si="219"/>
        <v>-1.0835984442144548</v>
      </c>
      <c r="I546" s="363">
        <f t="shared" si="220"/>
        <v>347036.69314301974</v>
      </c>
      <c r="J546" s="366">
        <f t="shared" si="221"/>
        <v>1.5707934452552215</v>
      </c>
      <c r="K546" s="374">
        <f t="shared" si="237"/>
        <v>104.77821184309695</v>
      </c>
      <c r="L546" s="375">
        <f t="shared" si="238"/>
        <v>1.5612522129542856</v>
      </c>
      <c r="M546" s="363">
        <f t="shared" si="222"/>
        <v>4.016634617306897</v>
      </c>
      <c r="N546" s="366">
        <f t="shared" si="223"/>
        <v>1.3191852373077482</v>
      </c>
      <c r="O546" s="367">
        <f t="shared" si="224"/>
        <v>1.565530725671257</v>
      </c>
      <c r="P546" s="368">
        <f t="shared" si="225"/>
        <v>1.2104121870818945</v>
      </c>
      <c r="Q546" s="369">
        <f t="shared" si="226"/>
        <v>-31.030870376989569</v>
      </c>
      <c r="R546" s="370">
        <f t="shared" si="227"/>
        <v>-250.93590633170248</v>
      </c>
      <c r="S546" s="372">
        <f t="shared" si="228"/>
        <v>-70.935906331702483</v>
      </c>
      <c r="U546" s="345">
        <f t="shared" si="234"/>
        <v>83660.5</v>
      </c>
      <c r="V546" s="345">
        <f t="shared" si="235"/>
        <v>6999079260.25</v>
      </c>
      <c r="X546" s="371">
        <f t="shared" si="229"/>
        <v>5.6173395161516542</v>
      </c>
      <c r="Y546" s="372">
        <f t="shared" si="230"/>
        <v>-76.130418922887131</v>
      </c>
      <c r="AA546" s="371">
        <f t="shared" si="231"/>
        <v>23.912364578863649</v>
      </c>
      <c r="AB546" s="372">
        <f t="shared" si="232"/>
        <v>-174.80548740881534</v>
      </c>
      <c r="AD546">
        <f t="shared" si="236"/>
        <v>0</v>
      </c>
      <c r="AE546">
        <f t="shared" si="239"/>
        <v>0</v>
      </c>
    </row>
    <row r="547" spans="1:31" x14ac:dyDescent="0.2">
      <c r="A547" s="373">
        <v>84145</v>
      </c>
      <c r="B547" s="390">
        <f t="shared" si="233"/>
        <v>84.144999999999996</v>
      </c>
      <c r="C547" s="363">
        <f t="shared" si="214"/>
        <v>118.46869940042465</v>
      </c>
      <c r="D547" s="364">
        <f t="shared" si="215"/>
        <v>1.5623551783678638</v>
      </c>
      <c r="E547" s="364">
        <f t="shared" si="216"/>
        <v>1.4477012754331067</v>
      </c>
      <c r="F547" s="365">
        <f t="shared" si="217"/>
        <v>0.80827024854933527</v>
      </c>
      <c r="G547" s="364">
        <f t="shared" si="218"/>
        <v>2.1457254000756829</v>
      </c>
      <c r="H547" s="365">
        <f t="shared" si="219"/>
        <v>-1.0859833924849884</v>
      </c>
      <c r="I547" s="363">
        <f t="shared" si="220"/>
        <v>349046.47407698981</v>
      </c>
      <c r="J547" s="366">
        <f t="shared" si="221"/>
        <v>1.5707934618468904</v>
      </c>
      <c r="K547" s="374">
        <f t="shared" si="237"/>
        <v>105.38495496435823</v>
      </c>
      <c r="L547" s="375">
        <f t="shared" si="238"/>
        <v>1.5613071638696507</v>
      </c>
      <c r="M547" s="363">
        <f t="shared" si="222"/>
        <v>4.0384580819514184</v>
      </c>
      <c r="N547" s="366">
        <f t="shared" si="223"/>
        <v>1.3205741122721448</v>
      </c>
      <c r="O547" s="367">
        <f t="shared" si="224"/>
        <v>1.5716545095776335</v>
      </c>
      <c r="P547" s="368">
        <f t="shared" si="225"/>
        <v>1.2154138160575227</v>
      </c>
      <c r="Q547" s="369">
        <f t="shared" si="226"/>
        <v>-31.096636290327542</v>
      </c>
      <c r="R547" s="370">
        <f t="shared" si="227"/>
        <v>-251.27307919754534</v>
      </c>
      <c r="S547" s="372">
        <f t="shared" si="228"/>
        <v>-71.273079197545343</v>
      </c>
      <c r="U547" s="345">
        <f t="shared" si="234"/>
        <v>84145</v>
      </c>
      <c r="V547" s="345">
        <f t="shared" si="235"/>
        <v>7080381025</v>
      </c>
      <c r="X547" s="371">
        <f t="shared" si="229"/>
        <v>5.5702699240210745</v>
      </c>
      <c r="Y547" s="372">
        <f t="shared" si="230"/>
        <v>-76.206848091807572</v>
      </c>
      <c r="AA547" s="371">
        <f t="shared" si="231"/>
        <v>23.893668257656255</v>
      </c>
      <c r="AB547" s="372">
        <f t="shared" si="232"/>
        <v>-175.06623110573773</v>
      </c>
      <c r="AD547">
        <f t="shared" si="236"/>
        <v>0</v>
      </c>
      <c r="AE547">
        <f t="shared" si="239"/>
        <v>0</v>
      </c>
    </row>
    <row r="548" spans="1:31" x14ac:dyDescent="0.2">
      <c r="A548" s="373">
        <v>84629.5</v>
      </c>
      <c r="B548" s="390">
        <f t="shared" si="233"/>
        <v>84.629499999999993</v>
      </c>
      <c r="C548" s="363">
        <f t="shared" si="214"/>
        <v>119.15078397915742</v>
      </c>
      <c r="D548" s="364">
        <f t="shared" si="215"/>
        <v>1.5624035012790241</v>
      </c>
      <c r="E548" s="364">
        <f t="shared" si="216"/>
        <v>1.4520657063866149</v>
      </c>
      <c r="F548" s="365">
        <f t="shared" si="217"/>
        <v>0.8111375556408833</v>
      </c>
      <c r="G548" s="364">
        <f t="shared" si="218"/>
        <v>2.1554028946227364</v>
      </c>
      <c r="H548" s="365">
        <f t="shared" si="219"/>
        <v>-1.088346937848709</v>
      </c>
      <c r="I548" s="363">
        <f t="shared" si="220"/>
        <v>351056.25501095998</v>
      </c>
      <c r="J548" s="366">
        <f t="shared" si="221"/>
        <v>1.5707934782485862</v>
      </c>
      <c r="K548" s="374">
        <f t="shared" si="237"/>
        <v>105.99169840019698</v>
      </c>
      <c r="L548" s="375">
        <f t="shared" si="238"/>
        <v>1.5613614856584128</v>
      </c>
      <c r="M548" s="363">
        <f t="shared" si="222"/>
        <v>4.0602892529254353</v>
      </c>
      <c r="N548" s="366">
        <f t="shared" si="223"/>
        <v>1.3219480545888724</v>
      </c>
      <c r="O548" s="367">
        <f t="shared" si="224"/>
        <v>1.5778069901277756</v>
      </c>
      <c r="P548" s="368">
        <f t="shared" si="225"/>
        <v>1.2203943827336297</v>
      </c>
      <c r="Q548" s="369">
        <f t="shared" si="226"/>
        <v>-31.162037540863668</v>
      </c>
      <c r="R548" s="370">
        <f t="shared" si="227"/>
        <v>-251.6079595525901</v>
      </c>
      <c r="S548" s="372">
        <f t="shared" si="228"/>
        <v>-71.607959552590103</v>
      </c>
      <c r="U548" s="345">
        <f t="shared" si="234"/>
        <v>84629.5</v>
      </c>
      <c r="V548" s="345">
        <f t="shared" si="235"/>
        <v>7162152270.25</v>
      </c>
      <c r="X548" s="371">
        <f t="shared" si="229"/>
        <v>5.5234375752368656</v>
      </c>
      <c r="Y548" s="372">
        <f t="shared" si="230"/>
        <v>-76.282457718453159</v>
      </c>
      <c r="AA548" s="371">
        <f t="shared" si="231"/>
        <v>23.875099355904339</v>
      </c>
      <c r="AB548" s="372">
        <f t="shared" si="232"/>
        <v>-175.32550183413696</v>
      </c>
      <c r="AD548">
        <f t="shared" si="236"/>
        <v>0</v>
      </c>
      <c r="AE548">
        <f t="shared" si="239"/>
        <v>0</v>
      </c>
    </row>
    <row r="549" spans="1:31" x14ac:dyDescent="0.2">
      <c r="A549" s="373">
        <v>85114</v>
      </c>
      <c r="B549" s="390">
        <f t="shared" si="233"/>
        <v>85.114000000000004</v>
      </c>
      <c r="C549" s="363">
        <f t="shared" si="214"/>
        <v>119.83286883295229</v>
      </c>
      <c r="D549" s="364">
        <f t="shared" si="215"/>
        <v>1.5624512740853673</v>
      </c>
      <c r="E549" s="364">
        <f t="shared" si="216"/>
        <v>1.4564420038203418</v>
      </c>
      <c r="F549" s="365">
        <f t="shared" si="217"/>
        <v>0.81398765475539514</v>
      </c>
      <c r="G549" s="364">
        <f t="shared" si="218"/>
        <v>2.1650923223187801</v>
      </c>
      <c r="H549" s="365">
        <f t="shared" si="219"/>
        <v>-1.0906893410731762</v>
      </c>
      <c r="I549" s="363">
        <f t="shared" si="220"/>
        <v>353066.03594493022</v>
      </c>
      <c r="J549" s="366">
        <f t="shared" si="221"/>
        <v>1.5707934944635529</v>
      </c>
      <c r="K549" s="374">
        <f t="shared" si="237"/>
        <v>106.59844214524159</v>
      </c>
      <c r="L549" s="375">
        <f t="shared" si="238"/>
        <v>1.5614151890629562</v>
      </c>
      <c r="M549" s="363">
        <f t="shared" si="222"/>
        <v>4.0821280065888805</v>
      </c>
      <c r="N549" s="366">
        <f t="shared" si="223"/>
        <v>1.3233072986907271</v>
      </c>
      <c r="O549" s="367">
        <f t="shared" si="224"/>
        <v>1.583988130749286</v>
      </c>
      <c r="P549" s="368">
        <f t="shared" si="225"/>
        <v>1.2253539848439721</v>
      </c>
      <c r="Q549" s="369">
        <f t="shared" si="226"/>
        <v>-31.227079132008164</v>
      </c>
      <c r="R549" s="370">
        <f t="shared" si="227"/>
        <v>-251.94057507134789</v>
      </c>
      <c r="S549" s="372">
        <f t="shared" si="228"/>
        <v>-71.940575071347894</v>
      </c>
      <c r="U549" s="345">
        <f t="shared" si="234"/>
        <v>85114</v>
      </c>
      <c r="V549" s="345">
        <f t="shared" si="235"/>
        <v>7244392996</v>
      </c>
      <c r="X549" s="371">
        <f t="shared" si="229"/>
        <v>5.4768402762147854</v>
      </c>
      <c r="Y549" s="372">
        <f t="shared" si="230"/>
        <v>-76.357260619526286</v>
      </c>
      <c r="AA549" s="371">
        <f t="shared" si="231"/>
        <v>23.856655063781922</v>
      </c>
      <c r="AB549" s="372">
        <f t="shared" si="232"/>
        <v>-175.58331445182162</v>
      </c>
      <c r="AD549">
        <f t="shared" si="236"/>
        <v>0</v>
      </c>
      <c r="AE549">
        <f t="shared" si="239"/>
        <v>0</v>
      </c>
    </row>
    <row r="550" spans="1:31" x14ac:dyDescent="0.2">
      <c r="A550" s="373">
        <v>85609.5</v>
      </c>
      <c r="B550" s="390">
        <f t="shared" si="233"/>
        <v>85.609499999999997</v>
      </c>
      <c r="C550" s="363">
        <f t="shared" si="214"/>
        <v>120.53043989701416</v>
      </c>
      <c r="D550" s="364">
        <f t="shared" si="215"/>
        <v>1.5624995722685224</v>
      </c>
      <c r="E550" s="364">
        <f t="shared" si="216"/>
        <v>1.460929822440576</v>
      </c>
      <c r="F550" s="365">
        <f t="shared" si="217"/>
        <v>0.81688477669097959</v>
      </c>
      <c r="G550" s="364">
        <f t="shared" si="218"/>
        <v>2.1750139134337716</v>
      </c>
      <c r="H550" s="365">
        <f t="shared" si="219"/>
        <v>-1.0930633260578353</v>
      </c>
      <c r="I550" s="363">
        <f t="shared" si="220"/>
        <v>355121.44658018777</v>
      </c>
      <c r="J550" s="366">
        <f t="shared" si="221"/>
        <v>1.5707935108568292</v>
      </c>
      <c r="K550" s="374">
        <f t="shared" si="237"/>
        <v>107.21896160441577</v>
      </c>
      <c r="L550" s="375">
        <f t="shared" si="238"/>
        <v>1.56146948307697</v>
      </c>
      <c r="M550" s="363">
        <f t="shared" si="222"/>
        <v>4.1044703000896119</v>
      </c>
      <c r="N550" s="366">
        <f t="shared" si="223"/>
        <v>1.3246824395737518</v>
      </c>
      <c r="O550" s="367">
        <f t="shared" si="224"/>
        <v>1.5903392130042431</v>
      </c>
      <c r="P550" s="368">
        <f t="shared" si="225"/>
        <v>1.2304046068059327</v>
      </c>
      <c r="Q550" s="369">
        <f t="shared" si="226"/>
        <v>-31.293230529633508</v>
      </c>
      <c r="R550" s="370">
        <f t="shared" si="227"/>
        <v>-252.27842802697089</v>
      </c>
      <c r="S550" s="372">
        <f t="shared" si="228"/>
        <v>-72.278428026970886</v>
      </c>
      <c r="U550" s="345">
        <f t="shared" si="234"/>
        <v>85609.5</v>
      </c>
      <c r="V550" s="345">
        <f t="shared" si="235"/>
        <v>7328986490.25</v>
      </c>
      <c r="X550" s="371">
        <f t="shared" si="229"/>
        <v>5.4294258979108188</v>
      </c>
      <c r="Y550" s="372">
        <f t="shared" si="230"/>
        <v>-76.432940509855698</v>
      </c>
      <c r="AA550" s="371">
        <f t="shared" si="231"/>
        <v>23.837918044460547</v>
      </c>
      <c r="AB550" s="372">
        <f t="shared" si="232"/>
        <v>-175.8454875171152</v>
      </c>
      <c r="AD550">
        <f t="shared" si="236"/>
        <v>0</v>
      </c>
      <c r="AE550">
        <f t="shared" si="239"/>
        <v>0</v>
      </c>
    </row>
    <row r="551" spans="1:31" x14ac:dyDescent="0.2">
      <c r="A551" s="373">
        <v>86105</v>
      </c>
      <c r="B551" s="390">
        <f t="shared" si="233"/>
        <v>86.105000000000004</v>
      </c>
      <c r="C551" s="363">
        <f t="shared" si="214"/>
        <v>121.22801123900338</v>
      </c>
      <c r="D551" s="364">
        <f t="shared" si="215"/>
        <v>1.5625473146160846</v>
      </c>
      <c r="E551" s="364">
        <f t="shared" si="216"/>
        <v>1.465429827941906</v>
      </c>
      <c r="F551" s="365">
        <f t="shared" si="217"/>
        <v>0.81976412985039915</v>
      </c>
      <c r="G551" s="364">
        <f t="shared" si="218"/>
        <v>2.1849476511384678</v>
      </c>
      <c r="H551" s="365">
        <f t="shared" si="219"/>
        <v>-1.0954157378300626</v>
      </c>
      <c r="I551" s="363">
        <f t="shared" si="220"/>
        <v>357176.85721544549</v>
      </c>
      <c r="J551" s="366">
        <f t="shared" si="221"/>
        <v>1.5707935270614317</v>
      </c>
      <c r="K551" s="374">
        <f t="shared" si="237"/>
        <v>107.83948137601696</v>
      </c>
      <c r="L551" s="375">
        <f t="shared" si="238"/>
        <v>1.5615231522641522</v>
      </c>
      <c r="M551" s="363">
        <f t="shared" si="222"/>
        <v>4.1268202711447852</v>
      </c>
      <c r="N551" s="366">
        <f t="shared" si="223"/>
        <v>1.326042688071303</v>
      </c>
      <c r="O551" s="367">
        <f t="shared" si="224"/>
        <v>1.5967201964172073</v>
      </c>
      <c r="P551" s="368">
        <f t="shared" si="225"/>
        <v>1.2354335082691956</v>
      </c>
      <c r="Q551" s="369">
        <f t="shared" si="226"/>
        <v>-31.359016034150851</v>
      </c>
      <c r="R551" s="370">
        <f t="shared" si="227"/>
        <v>-252.61396918280752</v>
      </c>
      <c r="S551" s="372">
        <f t="shared" si="228"/>
        <v>-72.613969182807523</v>
      </c>
      <c r="U551" s="345">
        <f t="shared" si="234"/>
        <v>86105</v>
      </c>
      <c r="V551" s="345">
        <f t="shared" si="235"/>
        <v>7414071025</v>
      </c>
      <c r="X551" s="371">
        <f t="shared" si="229"/>
        <v>5.3822528086818355</v>
      </c>
      <c r="Y551" s="372">
        <f t="shared" si="230"/>
        <v>-76.50780291847984</v>
      </c>
      <c r="AA551" s="371">
        <f t="shared" si="231"/>
        <v>23.819305629172185</v>
      </c>
      <c r="AB551" s="372">
        <f t="shared" si="232"/>
        <v>-176.10616626432767</v>
      </c>
      <c r="AD551">
        <f t="shared" si="236"/>
        <v>0</v>
      </c>
      <c r="AE551">
        <f t="shared" si="239"/>
        <v>0</v>
      </c>
    </row>
    <row r="552" spans="1:31" x14ac:dyDescent="0.2">
      <c r="A552" s="373">
        <v>86600.5</v>
      </c>
      <c r="B552" s="390">
        <f t="shared" si="233"/>
        <v>86.600499999999997</v>
      </c>
      <c r="C552" s="363">
        <f t="shared" si="214"/>
        <v>121.92558285414967</v>
      </c>
      <c r="D552" s="364">
        <f t="shared" si="215"/>
        <v>1.5625945106681243</v>
      </c>
      <c r="E552" s="364">
        <f t="shared" si="216"/>
        <v>1.4699419083994405</v>
      </c>
      <c r="F552" s="365">
        <f t="shared" si="217"/>
        <v>0.82262582989775779</v>
      </c>
      <c r="G552" s="364">
        <f t="shared" si="218"/>
        <v>2.1948933705122848</v>
      </c>
      <c r="H552" s="365">
        <f t="shared" si="219"/>
        <v>-1.0977468434401867</v>
      </c>
      <c r="I552" s="363">
        <f t="shared" si="220"/>
        <v>359232.26785070321</v>
      </c>
      <c r="J552" s="366">
        <f t="shared" si="221"/>
        <v>1.5707935430805995</v>
      </c>
      <c r="K552" s="374">
        <f t="shared" si="237"/>
        <v>108.46000145468278</v>
      </c>
      <c r="L552" s="375">
        <f t="shared" si="238"/>
        <v>1.5615762073484469</v>
      </c>
      <c r="M552" s="363">
        <f t="shared" si="222"/>
        <v>4.1491777956866018</v>
      </c>
      <c r="N552" s="366">
        <f t="shared" si="223"/>
        <v>1.3273882798480257</v>
      </c>
      <c r="O552" s="367">
        <f t="shared" si="224"/>
        <v>1.6031310441825013</v>
      </c>
      <c r="P552" s="368">
        <f t="shared" si="225"/>
        <v>1.2404407937972148</v>
      </c>
      <c r="Q552" s="369">
        <f t="shared" si="226"/>
        <v>-31.424440695829841</v>
      </c>
      <c r="R552" s="370">
        <f t="shared" si="227"/>
        <v>-252.94722663863831</v>
      </c>
      <c r="S552" s="372">
        <f t="shared" si="228"/>
        <v>-72.947226638638313</v>
      </c>
      <c r="U552" s="345">
        <f t="shared" si="234"/>
        <v>86600.5</v>
      </c>
      <c r="V552" s="345">
        <f t="shared" si="235"/>
        <v>7499646600.25</v>
      </c>
      <c r="X552" s="371">
        <f t="shared" si="229"/>
        <v>5.3353187483583175</v>
      </c>
      <c r="Y552" s="372">
        <f t="shared" si="230"/>
        <v>-76.581860733737074</v>
      </c>
      <c r="AA552" s="371">
        <f t="shared" si="231"/>
        <v>23.800815027816714</v>
      </c>
      <c r="AB552" s="372">
        <f t="shared" si="232"/>
        <v>-176.36536590490118</v>
      </c>
      <c r="AD552">
        <f t="shared" si="236"/>
        <v>0</v>
      </c>
      <c r="AE552">
        <f t="shared" si="239"/>
        <v>0</v>
      </c>
    </row>
    <row r="553" spans="1:31" x14ac:dyDescent="0.2">
      <c r="A553" s="373">
        <v>87096</v>
      </c>
      <c r="B553" s="390">
        <f t="shared" si="233"/>
        <v>87.096000000000004</v>
      </c>
      <c r="C553" s="363">
        <f t="shared" si="214"/>
        <v>122.62315473779124</v>
      </c>
      <c r="D553" s="364">
        <f t="shared" si="215"/>
        <v>1.5626411697476372</v>
      </c>
      <c r="E553" s="364">
        <f t="shared" si="216"/>
        <v>1.4744659529598119</v>
      </c>
      <c r="F553" s="365">
        <f t="shared" si="217"/>
        <v>0.82546999223983342</v>
      </c>
      <c r="G553" s="364">
        <f t="shared" si="218"/>
        <v>2.2048509094132211</v>
      </c>
      <c r="H553" s="365">
        <f t="shared" si="219"/>
        <v>-1.1000569060492933</v>
      </c>
      <c r="I553" s="363">
        <f t="shared" si="220"/>
        <v>361287.67848596105</v>
      </c>
      <c r="J553" s="366">
        <f t="shared" si="221"/>
        <v>1.5707935589174971</v>
      </c>
      <c r="K553" s="374">
        <f t="shared" si="237"/>
        <v>109.08052183517293</v>
      </c>
      <c r="L553" s="375">
        <f t="shared" si="238"/>
        <v>1.5616286588097927</v>
      </c>
      <c r="M553" s="363">
        <f t="shared" si="222"/>
        <v>4.1715427522655624</v>
      </c>
      <c r="N553" s="366">
        <f t="shared" si="223"/>
        <v>1.3287194457295479</v>
      </c>
      <c r="O553" s="367">
        <f t="shared" si="224"/>
        <v>1.6095717202579289</v>
      </c>
      <c r="P553" s="368">
        <f t="shared" si="225"/>
        <v>1.2454265679207264</v>
      </c>
      <c r="Q553" s="369">
        <f t="shared" si="226"/>
        <v>-31.489509467834431</v>
      </c>
      <c r="R553" s="370">
        <f t="shared" si="227"/>
        <v>-253.27822800855913</v>
      </c>
      <c r="S553" s="372">
        <f t="shared" si="228"/>
        <v>-73.278228008559125</v>
      </c>
      <c r="U553" s="345">
        <f t="shared" si="234"/>
        <v>87096</v>
      </c>
      <c r="V553" s="345">
        <f t="shared" si="235"/>
        <v>7585713216</v>
      </c>
      <c r="X553" s="371">
        <f t="shared" si="229"/>
        <v>5.2886214850676989</v>
      </c>
      <c r="Y553" s="372">
        <f t="shared" si="230"/>
        <v>-76.65512658068684</v>
      </c>
      <c r="AA553" s="371">
        <f t="shared" si="231"/>
        <v>23.782443519102742</v>
      </c>
      <c r="AB553" s="372">
        <f t="shared" si="232"/>
        <v>-176.62310142787231</v>
      </c>
      <c r="AD553">
        <f t="shared" si="236"/>
        <v>0</v>
      </c>
      <c r="AE553">
        <f t="shared" si="239"/>
        <v>0</v>
      </c>
    </row>
    <row r="554" spans="1:31" x14ac:dyDescent="0.2">
      <c r="A554" s="373">
        <v>87603.25</v>
      </c>
      <c r="B554" s="390">
        <f t="shared" si="233"/>
        <v>87.603250000000003</v>
      </c>
      <c r="C554" s="363">
        <f t="shared" si="214"/>
        <v>123.33726871040375</v>
      </c>
      <c r="D554" s="364">
        <f t="shared" si="215"/>
        <v>1.5626883885619218</v>
      </c>
      <c r="E554" s="364">
        <f t="shared" si="216"/>
        <v>1.4791095565062615</v>
      </c>
      <c r="F554" s="365">
        <f t="shared" si="217"/>
        <v>0.82836355314567589</v>
      </c>
      <c r="G554" s="364">
        <f t="shared" si="218"/>
        <v>2.2150566524754955</v>
      </c>
      <c r="H554" s="365">
        <f t="shared" si="219"/>
        <v>-1.102400221452285</v>
      </c>
      <c r="I554" s="363">
        <f t="shared" si="220"/>
        <v>363391.8299385031</v>
      </c>
      <c r="J554" s="366">
        <f t="shared" si="221"/>
        <v>1.570793574944366</v>
      </c>
      <c r="K554" s="374">
        <f t="shared" si="237"/>
        <v>109.71575718385105</v>
      </c>
      <c r="L554" s="375">
        <f t="shared" si="238"/>
        <v>1.561681739503586</v>
      </c>
      <c r="M554" s="363">
        <f t="shared" si="222"/>
        <v>4.1944456328364925</v>
      </c>
      <c r="N554" s="366">
        <f t="shared" si="223"/>
        <v>1.3300674710617699</v>
      </c>
      <c r="O554" s="367">
        <f t="shared" si="224"/>
        <v>1.6161959876523546</v>
      </c>
      <c r="P554" s="368">
        <f t="shared" si="225"/>
        <v>1.2505083982675731</v>
      </c>
      <c r="Q554" s="369">
        <f t="shared" si="226"/>
        <v>-31.555757665887235</v>
      </c>
      <c r="R554" s="370">
        <f t="shared" si="227"/>
        <v>-253.61476991453927</v>
      </c>
      <c r="S554" s="372">
        <f t="shared" si="228"/>
        <v>-73.614769914539266</v>
      </c>
      <c r="U554" s="345">
        <f t="shared" si="234"/>
        <v>87603.25</v>
      </c>
      <c r="V554" s="345">
        <f t="shared" si="235"/>
        <v>7674329410.5625</v>
      </c>
      <c r="X554" s="371">
        <f t="shared" si="229"/>
        <v>5.2410598555862116</v>
      </c>
      <c r="Y554" s="372">
        <f t="shared" si="230"/>
        <v>-76.729322361528602</v>
      </c>
      <c r="AA554" s="371">
        <f t="shared" si="231"/>
        <v>23.76375695053143</v>
      </c>
      <c r="AB554" s="372">
        <f t="shared" si="232"/>
        <v>-176.88544755301064</v>
      </c>
      <c r="AD554">
        <f t="shared" si="236"/>
        <v>0</v>
      </c>
      <c r="AE554">
        <f t="shared" si="239"/>
        <v>0</v>
      </c>
    </row>
    <row r="555" spans="1:31" x14ac:dyDescent="0.2">
      <c r="A555" s="373">
        <v>88110.5</v>
      </c>
      <c r="B555" s="390">
        <f t="shared" si="233"/>
        <v>88.110500000000002</v>
      </c>
      <c r="C555" s="363">
        <f t="shared" si="214"/>
        <v>124.05138295484498</v>
      </c>
      <c r="D555" s="364">
        <f t="shared" si="215"/>
        <v>1.5627350637366164</v>
      </c>
      <c r="E555" s="364">
        <f t="shared" si="216"/>
        <v>1.4837654666102633</v>
      </c>
      <c r="F555" s="365">
        <f t="shared" si="217"/>
        <v>0.8312389785819021</v>
      </c>
      <c r="G555" s="364">
        <f t="shared" si="218"/>
        <v>2.2252744470891632</v>
      </c>
      <c r="H555" s="365">
        <f t="shared" si="219"/>
        <v>-1.1047220299005367</v>
      </c>
      <c r="I555" s="363">
        <f t="shared" si="220"/>
        <v>365495.98139104526</v>
      </c>
      <c r="J555" s="366">
        <f t="shared" si="221"/>
        <v>1.5707935907867026</v>
      </c>
      <c r="K555" s="374">
        <f t="shared" si="237"/>
        <v>110.35099283810091</v>
      </c>
      <c r="L555" s="375">
        <f t="shared" si="238"/>
        <v>1.5617342090793402</v>
      </c>
      <c r="M555" s="363">
        <f t="shared" si="222"/>
        <v>4.2173560526450151</v>
      </c>
      <c r="N555" s="366">
        <f t="shared" si="223"/>
        <v>1.331400852734435</v>
      </c>
      <c r="O555" s="367">
        <f t="shared" si="224"/>
        <v>1.6228514407679278</v>
      </c>
      <c r="P555" s="368">
        <f t="shared" si="225"/>
        <v>1.2555679064011849</v>
      </c>
      <c r="Q555" s="369">
        <f t="shared" si="226"/>
        <v>-31.621643097983991</v>
      </c>
      <c r="R555" s="370">
        <f t="shared" si="227"/>
        <v>-253.94900451580881</v>
      </c>
      <c r="S555" s="372">
        <f t="shared" si="228"/>
        <v>-73.949004515808809</v>
      </c>
      <c r="U555" s="345">
        <f t="shared" si="234"/>
        <v>88110.5</v>
      </c>
      <c r="V555" s="345">
        <f t="shared" si="235"/>
        <v>7763460210.25</v>
      </c>
      <c r="X555" s="371">
        <f t="shared" si="229"/>
        <v>5.1937417426031232</v>
      </c>
      <c r="Y555" s="372">
        <f t="shared" si="230"/>
        <v>-76.802714126391763</v>
      </c>
      <c r="AA555" s="371">
        <f t="shared" si="231"/>
        <v>23.745189631417759</v>
      </c>
      <c r="AB555" s="372">
        <f t="shared" si="232"/>
        <v>-177.14629038941709</v>
      </c>
      <c r="AD555">
        <f t="shared" si="236"/>
        <v>0</v>
      </c>
      <c r="AE555">
        <f t="shared" si="239"/>
        <v>0</v>
      </c>
    </row>
    <row r="556" spans="1:31" x14ac:dyDescent="0.2">
      <c r="A556" s="373">
        <v>88617.75</v>
      </c>
      <c r="B556" s="390">
        <f t="shared" si="233"/>
        <v>88.617750000000001</v>
      </c>
      <c r="C556" s="363">
        <f t="shared" si="214"/>
        <v>124.76549746644737</v>
      </c>
      <c r="D556" s="364">
        <f t="shared" si="215"/>
        <v>1.5627812046063301</v>
      </c>
      <c r="E556" s="364">
        <f t="shared" si="216"/>
        <v>1.4884335677848555</v>
      </c>
      <c r="F556" s="365">
        <f t="shared" si="217"/>
        <v>0.83409639140878089</v>
      </c>
      <c r="G556" s="364">
        <f t="shared" si="218"/>
        <v>2.2355041280025421</v>
      </c>
      <c r="H556" s="365">
        <f t="shared" si="219"/>
        <v>-1.1070226014362854</v>
      </c>
      <c r="I556" s="363">
        <f t="shared" si="220"/>
        <v>367600.13284358755</v>
      </c>
      <c r="J556" s="366">
        <f t="shared" si="221"/>
        <v>1.5707936064476751</v>
      </c>
      <c r="K556" s="374">
        <f t="shared" si="237"/>
        <v>110.9862287926756</v>
      </c>
      <c r="L556" s="375">
        <f t="shared" si="238"/>
        <v>1.5617860780300701</v>
      </c>
      <c r="M556" s="363">
        <f t="shared" si="222"/>
        <v>4.2402738894864536</v>
      </c>
      <c r="N556" s="366">
        <f t="shared" si="223"/>
        <v>1.3327198234056581</v>
      </c>
      <c r="O556" s="367">
        <f t="shared" si="224"/>
        <v>1.6295380433676456</v>
      </c>
      <c r="P556" s="368">
        <f t="shared" si="225"/>
        <v>1.2606052042377156</v>
      </c>
      <c r="Q556" s="369">
        <f t="shared" si="226"/>
        <v>-31.687170776191142</v>
      </c>
      <c r="R556" s="370">
        <f t="shared" si="227"/>
        <v>-254.28095992173471</v>
      </c>
      <c r="S556" s="372">
        <f t="shared" si="228"/>
        <v>-74.280959921734706</v>
      </c>
      <c r="U556" s="345">
        <f t="shared" si="234"/>
        <v>88617.75</v>
      </c>
      <c r="V556" s="345">
        <f t="shared" si="235"/>
        <v>7853105615.0625</v>
      </c>
      <c r="X556" s="371">
        <f t="shared" si="229"/>
        <v>5.1466648413148928</v>
      </c>
      <c r="Y556" s="372">
        <f t="shared" si="230"/>
        <v>-76.875314604580367</v>
      </c>
      <c r="AA556" s="371">
        <f t="shared" si="231"/>
        <v>23.726738854498844</v>
      </c>
      <c r="AB556" s="372">
        <f t="shared" si="232"/>
        <v>-177.40564531715435</v>
      </c>
      <c r="AD556">
        <f t="shared" si="236"/>
        <v>0</v>
      </c>
      <c r="AE556">
        <f t="shared" si="239"/>
        <v>0</v>
      </c>
    </row>
    <row r="557" spans="1:31" x14ac:dyDescent="0.2">
      <c r="A557" s="373">
        <v>89125</v>
      </c>
      <c r="B557" s="390">
        <f t="shared" si="233"/>
        <v>89.125</v>
      </c>
      <c r="C557" s="363">
        <f t="shared" si="214"/>
        <v>125.47961224064966</v>
      </c>
      <c r="D557" s="364">
        <f t="shared" si="215"/>
        <v>1.5628268202931852</v>
      </c>
      <c r="E557" s="364">
        <f t="shared" si="216"/>
        <v>1.4931137456868093</v>
      </c>
      <c r="F557" s="365">
        <f t="shared" si="217"/>
        <v>0.83693591412873536</v>
      </c>
      <c r="G557" s="364">
        <f t="shared" si="218"/>
        <v>2.2457455327844302</v>
      </c>
      <c r="H557" s="365">
        <f t="shared" si="219"/>
        <v>-1.1093022020836041</v>
      </c>
      <c r="I557" s="363">
        <f t="shared" si="220"/>
        <v>369704.28429612989</v>
      </c>
      <c r="J557" s="366">
        <f t="shared" si="221"/>
        <v>1.5707936219303806</v>
      </c>
      <c r="K557" s="374">
        <f t="shared" si="237"/>
        <v>111.62146504244771</v>
      </c>
      <c r="L557" s="375">
        <f t="shared" si="238"/>
        <v>1.5618373566099406</v>
      </c>
      <c r="M557" s="363">
        <f t="shared" si="222"/>
        <v>4.2631990237447575</v>
      </c>
      <c r="N557" s="366">
        <f t="shared" si="223"/>
        <v>1.3340246109321285</v>
      </c>
      <c r="O557" s="367">
        <f t="shared" si="224"/>
        <v>1.636255760015217</v>
      </c>
      <c r="P557" s="368">
        <f t="shared" si="225"/>
        <v>1.2656204035771077</v>
      </c>
      <c r="Q557" s="369">
        <f t="shared" si="226"/>
        <v>-31.752345615415596</v>
      </c>
      <c r="R557" s="370">
        <f t="shared" si="227"/>
        <v>-254.6106637517093</v>
      </c>
      <c r="S557" s="372">
        <f t="shared" si="228"/>
        <v>-74.610663751709296</v>
      </c>
      <c r="U557" s="345">
        <f t="shared" si="234"/>
        <v>89125</v>
      </c>
      <c r="V557" s="345">
        <f t="shared" si="235"/>
        <v>7943265625</v>
      </c>
      <c r="X557" s="371">
        <f t="shared" si="229"/>
        <v>5.0998268763101358</v>
      </c>
      <c r="Y557" s="372">
        <f t="shared" si="230"/>
        <v>-76.947136263978194</v>
      </c>
      <c r="AA557" s="371">
        <f t="shared" si="231"/>
        <v>23.708401980279142</v>
      </c>
      <c r="AB557" s="372">
        <f t="shared" si="232"/>
        <v>-177.6635274877311</v>
      </c>
      <c r="AD557">
        <f t="shared" si="236"/>
        <v>0</v>
      </c>
      <c r="AE557">
        <f t="shared" si="239"/>
        <v>0</v>
      </c>
    </row>
    <row r="558" spans="1:31" x14ac:dyDescent="0.2">
      <c r="A558" s="373">
        <v>89644</v>
      </c>
      <c r="B558" s="390">
        <f t="shared" si="233"/>
        <v>89.644000000000005</v>
      </c>
      <c r="C558" s="363">
        <f t="shared" si="214"/>
        <v>126.21026912250383</v>
      </c>
      <c r="D558" s="364">
        <f t="shared" si="215"/>
        <v>1.5628729583532956</v>
      </c>
      <c r="E558" s="364">
        <f t="shared" si="216"/>
        <v>1.497914717310169</v>
      </c>
      <c r="F558" s="365">
        <f t="shared" si="217"/>
        <v>0.83982282275209708</v>
      </c>
      <c r="G558" s="364">
        <f t="shared" si="218"/>
        <v>2.2562361385554475</v>
      </c>
      <c r="H558" s="365">
        <f t="shared" si="219"/>
        <v>-1.1116131758166172</v>
      </c>
      <c r="I558" s="363">
        <f t="shared" si="220"/>
        <v>371857.17656595644</v>
      </c>
      <c r="J558" s="366">
        <f t="shared" si="221"/>
        <v>1.5707936375903766</v>
      </c>
      <c r="K558" s="374">
        <f t="shared" si="237"/>
        <v>112.27141628140807</v>
      </c>
      <c r="L558" s="375">
        <f t="shared" si="238"/>
        <v>1.5618892224223353</v>
      </c>
      <c r="M558" s="363">
        <f t="shared" si="222"/>
        <v>4.2866626293864796</v>
      </c>
      <c r="N558" s="366">
        <f t="shared" si="223"/>
        <v>1.3353451756997239</v>
      </c>
      <c r="O558" s="367">
        <f t="shared" si="224"/>
        <v>1.643161254018382</v>
      </c>
      <c r="P558" s="368">
        <f t="shared" si="225"/>
        <v>1.270729019799314</v>
      </c>
      <c r="Q558" s="369">
        <f t="shared" si="226"/>
        <v>-31.818670005720971</v>
      </c>
      <c r="R558" s="370">
        <f t="shared" si="227"/>
        <v>-254.94570277126186</v>
      </c>
      <c r="S558" s="372">
        <f t="shared" si="228"/>
        <v>-74.945702771261864</v>
      </c>
      <c r="U558" s="345">
        <f t="shared" si="234"/>
        <v>89644</v>
      </c>
      <c r="V558" s="345">
        <f t="shared" si="235"/>
        <v>8036046736</v>
      </c>
      <c r="X558" s="371">
        <f t="shared" si="229"/>
        <v>5.0521489106891284</v>
      </c>
      <c r="Y558" s="372">
        <f t="shared" si="230"/>
        <v>-77.019828256918572</v>
      </c>
      <c r="AA558" s="371">
        <f t="shared" si="231"/>
        <v>23.689755555594779</v>
      </c>
      <c r="AB558" s="372">
        <f t="shared" si="232"/>
        <v>-177.92587451434329</v>
      </c>
      <c r="AD558">
        <f t="shared" si="236"/>
        <v>0</v>
      </c>
      <c r="AE558">
        <f t="shared" si="239"/>
        <v>0</v>
      </c>
    </row>
    <row r="559" spans="1:31" x14ac:dyDescent="0.2">
      <c r="A559" s="373">
        <v>90163</v>
      </c>
      <c r="B559" s="390">
        <f t="shared" si="233"/>
        <v>90.162999999999997</v>
      </c>
      <c r="C559" s="363">
        <f t="shared" si="214"/>
        <v>126.94092626993157</v>
      </c>
      <c r="D559" s="364">
        <f t="shared" si="215"/>
        <v>1.5629185652829303</v>
      </c>
      <c r="E559" s="364">
        <f t="shared" si="216"/>
        <v>1.5027280930873248</v>
      </c>
      <c r="F559" s="365">
        <f t="shared" si="217"/>
        <v>0.84269126108870773</v>
      </c>
      <c r="G559" s="364">
        <f t="shared" si="218"/>
        <v>2.2667386824098594</v>
      </c>
      <c r="H559" s="365">
        <f t="shared" si="219"/>
        <v>-1.1139027466844023</v>
      </c>
      <c r="I559" s="363">
        <f t="shared" si="220"/>
        <v>374010.06883578305</v>
      </c>
      <c r="J559" s="366">
        <f t="shared" si="221"/>
        <v>1.5707936530700872</v>
      </c>
      <c r="K559" s="374">
        <f t="shared" si="237"/>
        <v>112.92136781890888</v>
      </c>
      <c r="L559" s="375">
        <f t="shared" si="238"/>
        <v>1.5619404911775487</v>
      </c>
      <c r="M559" s="363">
        <f t="shared" si="222"/>
        <v>4.3101336291040209</v>
      </c>
      <c r="N559" s="366">
        <f t="shared" si="223"/>
        <v>1.3366513603512964</v>
      </c>
      <c r="O559" s="367">
        <f t="shared" si="224"/>
        <v>1.650099247695735</v>
      </c>
      <c r="P559" s="368">
        <f t="shared" si="225"/>
        <v>1.2758147382202569</v>
      </c>
      <c r="Q559" s="369">
        <f t="shared" si="226"/>
        <v>-31.884635129129336</v>
      </c>
      <c r="R559" s="370">
        <f t="shared" si="227"/>
        <v>-255.2784416661049</v>
      </c>
      <c r="S559" s="372">
        <f t="shared" si="228"/>
        <v>-75.278441666104897</v>
      </c>
      <c r="U559" s="345">
        <f t="shared" si="234"/>
        <v>90163</v>
      </c>
      <c r="V559" s="345">
        <f t="shared" si="235"/>
        <v>8129366569</v>
      </c>
      <c r="X559" s="371">
        <f t="shared" si="229"/>
        <v>5.0047163522155769</v>
      </c>
      <c r="Y559" s="372">
        <f t="shared" si="230"/>
        <v>-77.091730528428073</v>
      </c>
      <c r="AA559" s="371">
        <f t="shared" si="231"/>
        <v>23.671222990659963</v>
      </c>
      <c r="AB559" s="372">
        <f t="shared" si="232"/>
        <v>-178.18671113767684</v>
      </c>
      <c r="AD559">
        <f t="shared" si="236"/>
        <v>0</v>
      </c>
      <c r="AE559">
        <f t="shared" si="239"/>
        <v>0</v>
      </c>
    </row>
    <row r="560" spans="1:31" x14ac:dyDescent="0.2">
      <c r="A560" s="373">
        <v>90682</v>
      </c>
      <c r="B560" s="390">
        <f t="shared" si="233"/>
        <v>90.682000000000002</v>
      </c>
      <c r="C560" s="363">
        <f t="shared" si="214"/>
        <v>127.6715836783733</v>
      </c>
      <c r="D560" s="364">
        <f t="shared" si="215"/>
        <v>1.5629636502007886</v>
      </c>
      <c r="E560" s="364">
        <f t="shared" si="216"/>
        <v>1.5075537542048989</v>
      </c>
      <c r="F560" s="365">
        <f t="shared" si="217"/>
        <v>0.84554135907892236</v>
      </c>
      <c r="G560" s="364">
        <f t="shared" si="218"/>
        <v>2.2772529991746615</v>
      </c>
      <c r="H560" s="365">
        <f t="shared" si="219"/>
        <v>-1.1161711869730435</v>
      </c>
      <c r="I560" s="363">
        <f t="shared" si="220"/>
        <v>376162.96110560984</v>
      </c>
      <c r="J560" s="366">
        <f t="shared" si="221"/>
        <v>1.5707936683726078</v>
      </c>
      <c r="K560" s="374">
        <f t="shared" si="237"/>
        <v>113.57131964982459</v>
      </c>
      <c r="L560" s="375">
        <f t="shared" si="238"/>
        <v>1.561991173125918</v>
      </c>
      <c r="M560" s="363">
        <f t="shared" si="222"/>
        <v>4.333611902757629</v>
      </c>
      <c r="N560" s="366">
        <f t="shared" si="223"/>
        <v>1.3379433941153487</v>
      </c>
      <c r="O560" s="367">
        <f t="shared" si="224"/>
        <v>1.6570697056308523</v>
      </c>
      <c r="P560" s="368">
        <f t="shared" si="225"/>
        <v>1.2808776780932327</v>
      </c>
      <c r="Q560" s="369">
        <f t="shared" si="226"/>
        <v>-31.950245948722142</v>
      </c>
      <c r="R560" s="370">
        <f t="shared" si="227"/>
        <v>-255.60890849392339</v>
      </c>
      <c r="S560" s="372">
        <f t="shared" si="228"/>
        <v>-75.608908493923394</v>
      </c>
      <c r="U560" s="345">
        <f t="shared" si="234"/>
        <v>90682</v>
      </c>
      <c r="V560" s="345">
        <f t="shared" si="235"/>
        <v>8223225124</v>
      </c>
      <c r="X560" s="371">
        <f t="shared" si="229"/>
        <v>4.9575268564939226</v>
      </c>
      <c r="Y560" s="372">
        <f t="shared" si="230"/>
        <v>-77.162855625208735</v>
      </c>
      <c r="AA560" s="371">
        <f t="shared" si="231"/>
        <v>23.652801666788804</v>
      </c>
      <c r="AB560" s="372">
        <f t="shared" si="232"/>
        <v>-178.44605286871473</v>
      </c>
      <c r="AD560">
        <f t="shared" si="236"/>
        <v>0</v>
      </c>
      <c r="AE560">
        <f t="shared" si="239"/>
        <v>0</v>
      </c>
    </row>
    <row r="561" spans="1:31" x14ac:dyDescent="0.2">
      <c r="A561" s="373">
        <v>91201</v>
      </c>
      <c r="B561" s="390">
        <f t="shared" si="233"/>
        <v>91.200999999999993</v>
      </c>
      <c r="C561" s="363">
        <f t="shared" si="214"/>
        <v>128.40224134337319</v>
      </c>
      <c r="D561" s="364">
        <f t="shared" si="215"/>
        <v>1.5630082220180235</v>
      </c>
      <c r="E561" s="364">
        <f t="shared" si="216"/>
        <v>1.5123915830646031</v>
      </c>
      <c r="F561" s="365">
        <f t="shared" si="217"/>
        <v>0.8483732461986635</v>
      </c>
      <c r="G561" s="364">
        <f t="shared" si="218"/>
        <v>2.2877789265298372</v>
      </c>
      <c r="H561" s="365">
        <f t="shared" si="219"/>
        <v>-1.1184187648358479</v>
      </c>
      <c r="I561" s="363">
        <f t="shared" si="220"/>
        <v>378315.85337543662</v>
      </c>
      <c r="J561" s="366">
        <f t="shared" si="221"/>
        <v>1.5707936835009635</v>
      </c>
      <c r="K561" s="374">
        <f t="shared" si="237"/>
        <v>114.2212717691464</v>
      </c>
      <c r="L561" s="375">
        <f t="shared" si="238"/>
        <v>1.5620412782844832</v>
      </c>
      <c r="M561" s="363">
        <f t="shared" si="222"/>
        <v>4.3570973327602207</v>
      </c>
      <c r="N561" s="366">
        <f t="shared" si="223"/>
        <v>1.3392215014693636</v>
      </c>
      <c r="O561" s="367">
        <f t="shared" si="224"/>
        <v>1.6640725932423868</v>
      </c>
      <c r="P561" s="368">
        <f t="shared" si="225"/>
        <v>1.2859179584658009</v>
      </c>
      <c r="Q561" s="369">
        <f t="shared" si="226"/>
        <v>-32.015507330666622</v>
      </c>
      <c r="R561" s="370">
        <f t="shared" si="227"/>
        <v>-255.93713081969221</v>
      </c>
      <c r="S561" s="372">
        <f t="shared" si="228"/>
        <v>-75.937130819692214</v>
      </c>
      <c r="U561" s="345">
        <f t="shared" si="234"/>
        <v>91201</v>
      </c>
      <c r="V561" s="345">
        <f t="shared" si="235"/>
        <v>8317622401</v>
      </c>
      <c r="X561" s="371">
        <f t="shared" si="229"/>
        <v>4.9105781095260639</v>
      </c>
      <c r="Y561" s="372">
        <f t="shared" si="230"/>
        <v>-77.233215835112119</v>
      </c>
      <c r="AA561" s="371">
        <f t="shared" si="231"/>
        <v>23.634489031812183</v>
      </c>
      <c r="AB561" s="372">
        <f t="shared" si="232"/>
        <v>-178.70391498458005</v>
      </c>
      <c r="AD561">
        <f t="shared" si="236"/>
        <v>0</v>
      </c>
      <c r="AE561">
        <f t="shared" si="239"/>
        <v>0</v>
      </c>
    </row>
    <row r="562" spans="1:31" x14ac:dyDescent="0.2">
      <c r="A562" s="373">
        <v>91732</v>
      </c>
      <c r="B562" s="390">
        <f t="shared" si="233"/>
        <v>91.731999999999999</v>
      </c>
      <c r="C562" s="363">
        <f t="shared" si="214"/>
        <v>129.14979308820045</v>
      </c>
      <c r="D562" s="364">
        <f t="shared" si="215"/>
        <v>1.5630533024464852</v>
      </c>
      <c r="E562" s="364">
        <f t="shared" si="216"/>
        <v>1.5173537408540576</v>
      </c>
      <c r="F562" s="365">
        <f t="shared" si="217"/>
        <v>0.85125189767740284</v>
      </c>
      <c r="G562" s="364">
        <f t="shared" si="218"/>
        <v>2.298560077946064</v>
      </c>
      <c r="H562" s="365">
        <f t="shared" si="219"/>
        <v>-1.1206969936609628</v>
      </c>
      <c r="I562" s="363">
        <f t="shared" si="220"/>
        <v>380518.52350121329</v>
      </c>
      <c r="J562" s="366">
        <f t="shared" si="221"/>
        <v>1.5707936988019391</v>
      </c>
      <c r="K562" s="374">
        <f t="shared" si="237"/>
        <v>114.88625197651534</v>
      </c>
      <c r="L562" s="375">
        <f t="shared" si="238"/>
        <v>1.5620919552048405</v>
      </c>
      <c r="M562" s="363">
        <f t="shared" si="222"/>
        <v>4.3811330649173348</v>
      </c>
      <c r="N562" s="366">
        <f t="shared" si="223"/>
        <v>1.3405149765651334</v>
      </c>
      <c r="O562" s="367">
        <f t="shared" si="224"/>
        <v>1.6712709252028977</v>
      </c>
      <c r="P562" s="368">
        <f t="shared" si="225"/>
        <v>1.2910514495999004</v>
      </c>
      <c r="Q562" s="369">
        <f t="shared" si="226"/>
        <v>-32.081920971795419</v>
      </c>
      <c r="R562" s="370">
        <f t="shared" si="227"/>
        <v>-256.2706473974568</v>
      </c>
      <c r="S562" s="372">
        <f t="shared" si="228"/>
        <v>-76.270647397456798</v>
      </c>
      <c r="U562" s="345">
        <f t="shared" si="234"/>
        <v>91732</v>
      </c>
      <c r="V562" s="345">
        <f t="shared" si="235"/>
        <v>8414759824</v>
      </c>
      <c r="X562" s="371">
        <f t="shared" si="229"/>
        <v>4.8627906232580713</v>
      </c>
      <c r="Y562" s="372">
        <f t="shared" si="230"/>
        <v>-77.304423802112524</v>
      </c>
      <c r="AA562" s="371">
        <f t="shared" si="231"/>
        <v>23.615862876951383</v>
      </c>
      <c r="AB562" s="372">
        <f t="shared" si="232"/>
        <v>-178.96622359534427</v>
      </c>
      <c r="AD562">
        <f t="shared" si="236"/>
        <v>0</v>
      </c>
      <c r="AE562">
        <f t="shared" si="239"/>
        <v>0</v>
      </c>
    </row>
    <row r="563" spans="1:31" x14ac:dyDescent="0.2">
      <c r="A563" s="373">
        <v>92263</v>
      </c>
      <c r="B563" s="390">
        <f t="shared" si="233"/>
        <v>92.263000000000005</v>
      </c>
      <c r="C563" s="363">
        <f t="shared" si="214"/>
        <v>129.8973450924708</v>
      </c>
      <c r="D563" s="364">
        <f t="shared" si="215"/>
        <v>1.5630978640043141</v>
      </c>
      <c r="E563" s="364">
        <f t="shared" si="216"/>
        <v>1.5223283903681362</v>
      </c>
      <c r="F563" s="365">
        <f t="shared" si="217"/>
        <v>0.85411175906889192</v>
      </c>
      <c r="G563" s="364">
        <f t="shared" si="218"/>
        <v>2.3093530482114852</v>
      </c>
      <c r="H563" s="365">
        <f t="shared" si="219"/>
        <v>-1.1229539390925409</v>
      </c>
      <c r="I563" s="363">
        <f t="shared" si="220"/>
        <v>382721.19362699002</v>
      </c>
      <c r="J563" s="366">
        <f t="shared" si="221"/>
        <v>1.5707937139267913</v>
      </c>
      <c r="K563" s="374">
        <f t="shared" si="237"/>
        <v>115.55123247553355</v>
      </c>
      <c r="L563" s="375">
        <f t="shared" si="238"/>
        <v>1.5621420488487461</v>
      </c>
      <c r="M563" s="363">
        <f t="shared" si="222"/>
        <v>4.4051760470555754</v>
      </c>
      <c r="N563" s="366">
        <f t="shared" si="223"/>
        <v>1.3417943344830583</v>
      </c>
      <c r="O563" s="367">
        <f t="shared" si="224"/>
        <v>1.6785031332105302</v>
      </c>
      <c r="P563" s="368">
        <f t="shared" si="225"/>
        <v>1.2961614726590585</v>
      </c>
      <c r="Q563" s="369">
        <f t="shared" si="226"/>
        <v>-32.147978833900666</v>
      </c>
      <c r="R563" s="370">
        <f t="shared" si="227"/>
        <v>-256.60187132302548</v>
      </c>
      <c r="S563" s="372">
        <f t="shared" si="228"/>
        <v>-76.601871323025478</v>
      </c>
      <c r="U563" s="345">
        <f t="shared" si="234"/>
        <v>92263</v>
      </c>
      <c r="V563" s="345">
        <f t="shared" si="235"/>
        <v>8512461169</v>
      </c>
      <c r="X563" s="371">
        <f t="shared" si="229"/>
        <v>4.8152503423681718</v>
      </c>
      <c r="Y563" s="372">
        <f t="shared" si="230"/>
        <v>-77.374856323590734</v>
      </c>
      <c r="AA563" s="371">
        <f t="shared" si="231"/>
        <v>23.597345295736041</v>
      </c>
      <c r="AB563" s="372">
        <f t="shared" si="232"/>
        <v>-179.22701499943472</v>
      </c>
      <c r="AD563">
        <f t="shared" si="236"/>
        <v>0</v>
      </c>
      <c r="AE563">
        <f t="shared" si="239"/>
        <v>0</v>
      </c>
    </row>
    <row r="564" spans="1:31" x14ac:dyDescent="0.2">
      <c r="A564" s="373">
        <v>92794</v>
      </c>
      <c r="B564" s="390">
        <f t="shared" si="233"/>
        <v>92.793999999999997</v>
      </c>
      <c r="C564" s="363">
        <f t="shared" si="214"/>
        <v>130.64489735173066</v>
      </c>
      <c r="D564" s="364">
        <f t="shared" si="215"/>
        <v>1.5631419155982904</v>
      </c>
      <c r="E564" s="364">
        <f t="shared" si="216"/>
        <v>1.5273154095457071</v>
      </c>
      <c r="F564" s="365">
        <f t="shared" si="217"/>
        <v>0.85695296742485305</v>
      </c>
      <c r="G564" s="364">
        <f t="shared" si="218"/>
        <v>2.3201576723884103</v>
      </c>
      <c r="H564" s="365">
        <f t="shared" si="219"/>
        <v>-1.1251898753167267</v>
      </c>
      <c r="I564" s="363">
        <f t="shared" si="220"/>
        <v>384923.86375276686</v>
      </c>
      <c r="J564" s="366">
        <f t="shared" si="221"/>
        <v>1.5707937288785445</v>
      </c>
      <c r="K564" s="374">
        <f t="shared" si="237"/>
        <v>116.21621326119467</v>
      </c>
      <c r="L564" s="375">
        <f t="shared" si="238"/>
        <v>1.5621915692283437</v>
      </c>
      <c r="M564" s="363">
        <f t="shared" si="222"/>
        <v>4.4292261611106412</v>
      </c>
      <c r="N564" s="366">
        <f t="shared" si="223"/>
        <v>1.3430598009639241</v>
      </c>
      <c r="O564" s="367">
        <f t="shared" si="224"/>
        <v>1.6857691828732861</v>
      </c>
      <c r="P564" s="368">
        <f t="shared" si="225"/>
        <v>1.3012481543565348</v>
      </c>
      <c r="Q564" s="369">
        <f t="shared" si="226"/>
        <v>-32.213685828142971</v>
      </c>
      <c r="R564" s="370">
        <f t="shared" si="227"/>
        <v>-256.93083058459155</v>
      </c>
      <c r="S564" s="372">
        <f t="shared" si="228"/>
        <v>-76.930830584591547</v>
      </c>
      <c r="U564" s="345">
        <f t="shared" si="234"/>
        <v>92794</v>
      </c>
      <c r="V564" s="345">
        <f t="shared" si="235"/>
        <v>8610726436</v>
      </c>
      <c r="X564" s="371">
        <f t="shared" si="229"/>
        <v>4.7679548845037543</v>
      </c>
      <c r="Y564" s="372">
        <f t="shared" si="230"/>
        <v>-77.444525760060728</v>
      </c>
      <c r="AA564" s="371">
        <f t="shared" si="231"/>
        <v>23.578933759358147</v>
      </c>
      <c r="AB564" s="372">
        <f t="shared" si="232"/>
        <v>-179.48630482453086</v>
      </c>
      <c r="AD564">
        <f t="shared" si="236"/>
        <v>0</v>
      </c>
      <c r="AE564">
        <f t="shared" si="239"/>
        <v>0</v>
      </c>
    </row>
    <row r="565" spans="1:31" x14ac:dyDescent="0.2">
      <c r="A565" s="373">
        <v>93325</v>
      </c>
      <c r="B565" s="390">
        <f t="shared" si="233"/>
        <v>93.325000000000003</v>
      </c>
      <c r="C565" s="363">
        <f t="shared" si="214"/>
        <v>131.39244986162771</v>
      </c>
      <c r="D565" s="364">
        <f t="shared" si="215"/>
        <v>1.563185465932504</v>
      </c>
      <c r="E565" s="364">
        <f t="shared" si="216"/>
        <v>1.5323146776131178</v>
      </c>
      <c r="F565" s="365">
        <f t="shared" si="217"/>
        <v>0.85977565921970389</v>
      </c>
      <c r="G565" s="364">
        <f t="shared" si="218"/>
        <v>2.3309737884207959</v>
      </c>
      <c r="H565" s="365">
        <f t="shared" si="219"/>
        <v>-1.1274050722791016</v>
      </c>
      <c r="I565" s="363">
        <f t="shared" si="220"/>
        <v>387126.53387854376</v>
      </c>
      <c r="J565" s="366">
        <f t="shared" si="221"/>
        <v>1.5707937436601527</v>
      </c>
      <c r="K565" s="374">
        <f t="shared" si="237"/>
        <v>116.88119432860621</v>
      </c>
      <c r="L565" s="375">
        <f t="shared" si="238"/>
        <v>1.5622405261279373</v>
      </c>
      <c r="M565" s="363">
        <f t="shared" si="222"/>
        <v>4.4532832915340252</v>
      </c>
      <c r="N565" s="366">
        <f t="shared" si="223"/>
        <v>1.3443115970507546</v>
      </c>
      <c r="O565" s="367">
        <f t="shared" si="224"/>
        <v>1.6930690406669127</v>
      </c>
      <c r="P565" s="368">
        <f t="shared" si="225"/>
        <v>1.3063116211044539</v>
      </c>
      <c r="Q565" s="369">
        <f t="shared" si="226"/>
        <v>-32.279046769115112</v>
      </c>
      <c r="R565" s="370">
        <f t="shared" si="227"/>
        <v>-257.25755267548084</v>
      </c>
      <c r="S565" s="372">
        <f t="shared" si="228"/>
        <v>-77.257552675480838</v>
      </c>
      <c r="U565" s="345">
        <f t="shared" si="234"/>
        <v>93325</v>
      </c>
      <c r="V565" s="345">
        <f t="shared" si="235"/>
        <v>8709555625</v>
      </c>
      <c r="X565" s="371">
        <f t="shared" si="229"/>
        <v>4.7209018986810323</v>
      </c>
      <c r="Y565" s="372">
        <f t="shared" si="230"/>
        <v>-77.513444215924849</v>
      </c>
      <c r="AA565" s="371">
        <f t="shared" si="231"/>
        <v>23.560625804208726</v>
      </c>
      <c r="AB565" s="372">
        <f t="shared" si="232"/>
        <v>-179.744108459556</v>
      </c>
      <c r="AD565">
        <f t="shared" si="236"/>
        <v>0</v>
      </c>
      <c r="AE565">
        <f t="shared" si="239"/>
        <v>0</v>
      </c>
    </row>
    <row r="566" spans="1:31" x14ac:dyDescent="0.2">
      <c r="A566" s="373">
        <v>93868.5</v>
      </c>
      <c r="B566" s="390">
        <f t="shared" si="233"/>
        <v>93.868499999999997</v>
      </c>
      <c r="C566" s="363">
        <f t="shared" si="214"/>
        <v>132.15760037875876</v>
      </c>
      <c r="D566" s="364">
        <f t="shared" si="215"/>
        <v>1.5632295312422364</v>
      </c>
      <c r="E566" s="364">
        <f t="shared" si="216"/>
        <v>1.537444190986418</v>
      </c>
      <c r="F566" s="365">
        <f t="shared" si="217"/>
        <v>0.86264576485439937</v>
      </c>
      <c r="G566" s="364">
        <f t="shared" si="218"/>
        <v>2.3420562557695672</v>
      </c>
      <c r="H566" s="365">
        <f t="shared" si="219"/>
        <v>-1.1296512161039451</v>
      </c>
      <c r="I566" s="363">
        <f t="shared" si="220"/>
        <v>389381.05593760184</v>
      </c>
      <c r="J566" s="366">
        <f t="shared" si="221"/>
        <v>1.5707937586165408</v>
      </c>
      <c r="K566" s="374">
        <f t="shared" si="237"/>
        <v>117.5618296627346</v>
      </c>
      <c r="L566" s="375">
        <f t="shared" si="238"/>
        <v>1.5622900619435049</v>
      </c>
      <c r="M566" s="363">
        <f t="shared" si="222"/>
        <v>4.4779138866247816</v>
      </c>
      <c r="N566" s="366">
        <f t="shared" si="223"/>
        <v>1.3455789300363019</v>
      </c>
      <c r="O566" s="367">
        <f t="shared" si="224"/>
        <v>1.700575717884351</v>
      </c>
      <c r="P566" s="368">
        <f t="shared" si="225"/>
        <v>1.3114703748237535</v>
      </c>
      <c r="Q566" s="369">
        <f t="shared" si="226"/>
        <v>-32.345592896164838</v>
      </c>
      <c r="R566" s="370">
        <f t="shared" si="227"/>
        <v>-257.58967736459311</v>
      </c>
      <c r="S566" s="372">
        <f t="shared" si="228"/>
        <v>-77.589677364593115</v>
      </c>
      <c r="U566" s="345">
        <f t="shared" si="234"/>
        <v>93868.5</v>
      </c>
      <c r="V566" s="345">
        <f t="shared" si="235"/>
        <v>8811295292.25</v>
      </c>
      <c r="X566" s="371">
        <f t="shared" si="229"/>
        <v>4.6729899423017116</v>
      </c>
      <c r="Y566" s="372">
        <f t="shared" si="230"/>
        <v>-77.58321971108532</v>
      </c>
      <c r="AA566" s="371">
        <f t="shared" si="231"/>
        <v>23.541991633538316</v>
      </c>
      <c r="AB566" s="372">
        <f t="shared" si="232"/>
        <v>-180.00645765350779</v>
      </c>
      <c r="AD566">
        <f t="shared" si="236"/>
        <v>0</v>
      </c>
      <c r="AE566">
        <f t="shared" si="239"/>
        <v>0</v>
      </c>
    </row>
    <row r="567" spans="1:31" x14ac:dyDescent="0.2">
      <c r="A567" s="373">
        <v>94412</v>
      </c>
      <c r="B567" s="390">
        <f t="shared" si="233"/>
        <v>94.412000000000006</v>
      </c>
      <c r="C567" s="363">
        <f t="shared" si="214"/>
        <v>132.92275114955262</v>
      </c>
      <c r="D567" s="364">
        <f t="shared" si="215"/>
        <v>1.5632730892407698</v>
      </c>
      <c r="E567" s="364">
        <f t="shared" si="216"/>
        <v>1.5425862847782941</v>
      </c>
      <c r="F567" s="365">
        <f t="shared" si="217"/>
        <v>0.86549675928731917</v>
      </c>
      <c r="G567" s="364">
        <f t="shared" si="218"/>
        <v>2.3531504278386945</v>
      </c>
      <c r="H567" s="365">
        <f t="shared" si="219"/>
        <v>-1.131876191709501</v>
      </c>
      <c r="I567" s="363">
        <f t="shared" si="220"/>
        <v>391635.57799665985</v>
      </c>
      <c r="J567" s="366">
        <f t="shared" si="221"/>
        <v>1.5707937734007307</v>
      </c>
      <c r="K567" s="374">
        <f t="shared" si="237"/>
        <v>118.24246528201481</v>
      </c>
      <c r="L567" s="375">
        <f t="shared" si="238"/>
        <v>1.56233902747608</v>
      </c>
      <c r="M567" s="363">
        <f t="shared" si="222"/>
        <v>4.5025515951465644</v>
      </c>
      <c r="N567" s="366">
        <f t="shared" si="223"/>
        <v>1.3468323954674475</v>
      </c>
      <c r="O567" s="367">
        <f t="shared" si="224"/>
        <v>1.7081177453518481</v>
      </c>
      <c r="P567" s="368">
        <f t="shared" si="225"/>
        <v>1.3166050746910862</v>
      </c>
      <c r="Q567" s="369">
        <f t="shared" si="226"/>
        <v>-32.411786392104418</v>
      </c>
      <c r="R567" s="370">
        <f t="shared" si="227"/>
        <v>-257.91951505689457</v>
      </c>
      <c r="S567" s="372">
        <f t="shared" si="228"/>
        <v>-77.919515056894568</v>
      </c>
      <c r="U567" s="345">
        <f t="shared" si="234"/>
        <v>94412</v>
      </c>
      <c r="V567" s="345">
        <f t="shared" si="235"/>
        <v>8913625744</v>
      </c>
      <c r="X567" s="371">
        <f t="shared" si="229"/>
        <v>4.6253271228502193</v>
      </c>
      <c r="Y567" s="372">
        <f t="shared" si="230"/>
        <v>-77.652233318847905</v>
      </c>
      <c r="AA567" s="371">
        <f t="shared" si="231"/>
        <v>23.523460957050233</v>
      </c>
      <c r="AB567" s="372">
        <f t="shared" si="232"/>
        <v>-180.26728173804671</v>
      </c>
      <c r="AD567">
        <f t="shared" si="236"/>
        <v>0</v>
      </c>
      <c r="AE567">
        <f t="shared" si="239"/>
        <v>0</v>
      </c>
    </row>
    <row r="568" spans="1:31" x14ac:dyDescent="0.2">
      <c r="A568" s="373">
        <v>94955.5</v>
      </c>
      <c r="B568" s="390">
        <f t="shared" si="233"/>
        <v>94.955500000000001</v>
      </c>
      <c r="C568" s="363">
        <f t="shared" si="214"/>
        <v>133.68790216965388</v>
      </c>
      <c r="D568" s="364">
        <f t="shared" si="215"/>
        <v>1.5633161486385911</v>
      </c>
      <c r="E568" s="364">
        <f t="shared" si="216"/>
        <v>1.5477408336001375</v>
      </c>
      <c r="F568" s="365">
        <f t="shared" si="217"/>
        <v>0.86832878688233162</v>
      </c>
      <c r="G568" s="364">
        <f t="shared" si="218"/>
        <v>2.3642561398564665</v>
      </c>
      <c r="H568" s="365">
        <f t="shared" si="219"/>
        <v>-1.1340802752128556</v>
      </c>
      <c r="I568" s="363">
        <f t="shared" si="220"/>
        <v>393890.1000557181</v>
      </c>
      <c r="J568" s="366">
        <f t="shared" si="221"/>
        <v>1.570793788015679</v>
      </c>
      <c r="K568" s="374">
        <f t="shared" si="237"/>
        <v>118.92310118155078</v>
      </c>
      <c r="L568" s="375">
        <f t="shared" si="238"/>
        <v>1.5623874325171756</v>
      </c>
      <c r="M568" s="363">
        <f t="shared" si="222"/>
        <v>4.5271963009621716</v>
      </c>
      <c r="N568" s="366">
        <f t="shared" si="223"/>
        <v>1.3480722158453515</v>
      </c>
      <c r="O568" s="367">
        <f t="shared" si="224"/>
        <v>1.71569508986792</v>
      </c>
      <c r="P568" s="368">
        <f t="shared" si="225"/>
        <v>1.3217158551668045</v>
      </c>
      <c r="Q568" s="369">
        <f t="shared" si="226"/>
        <v>-32.477632119973308</v>
      </c>
      <c r="R568" s="370">
        <f t="shared" si="227"/>
        <v>-258.24709369190793</v>
      </c>
      <c r="S568" s="372">
        <f t="shared" si="228"/>
        <v>-78.247093691907935</v>
      </c>
      <c r="U568" s="345">
        <f t="shared" si="234"/>
        <v>94955.5</v>
      </c>
      <c r="V568" s="345">
        <f t="shared" si="235"/>
        <v>9016546980.25</v>
      </c>
      <c r="X568" s="371">
        <f t="shared" si="229"/>
        <v>4.5779110183804459</v>
      </c>
      <c r="Y568" s="372">
        <f t="shared" si="230"/>
        <v>-77.720497226747028</v>
      </c>
      <c r="AA568" s="371">
        <f t="shared" si="231"/>
        <v>23.505031333651118</v>
      </c>
      <c r="AB568" s="372">
        <f t="shared" si="232"/>
        <v>-180.52659646516091</v>
      </c>
      <c r="AD568">
        <f t="shared" si="236"/>
        <v>0</v>
      </c>
      <c r="AE568">
        <f t="shared" si="239"/>
        <v>0</v>
      </c>
    </row>
    <row r="569" spans="1:31" x14ac:dyDescent="0.2">
      <c r="A569" s="373">
        <v>95499</v>
      </c>
      <c r="B569" s="390">
        <f t="shared" si="233"/>
        <v>95.498999999999995</v>
      </c>
      <c r="C569" s="363">
        <f t="shared" si="214"/>
        <v>134.45305343480626</v>
      </c>
      <c r="D569" s="364">
        <f t="shared" si="215"/>
        <v>1.5633587179479151</v>
      </c>
      <c r="E569" s="364">
        <f t="shared" si="216"/>
        <v>1.5529077134264375</v>
      </c>
      <c r="F569" s="365">
        <f t="shared" si="217"/>
        <v>0.87114199130590331</v>
      </c>
      <c r="G569" s="364">
        <f t="shared" si="218"/>
        <v>2.3753732299628343</v>
      </c>
      <c r="H569" s="365">
        <f t="shared" si="219"/>
        <v>-1.1362637383820458</v>
      </c>
      <c r="I569" s="363">
        <f t="shared" si="220"/>
        <v>396144.62211477634</v>
      </c>
      <c r="J569" s="366">
        <f t="shared" si="221"/>
        <v>1.5707938024642756</v>
      </c>
      <c r="K569" s="374">
        <f t="shared" si="237"/>
        <v>119.6037373565579</v>
      </c>
      <c r="L569" s="375">
        <f t="shared" si="238"/>
        <v>1.5624352866354303</v>
      </c>
      <c r="M569" s="363">
        <f t="shared" si="222"/>
        <v>4.5518478904169397</v>
      </c>
      <c r="N569" s="366">
        <f t="shared" si="223"/>
        <v>1.3492986090210044</v>
      </c>
      <c r="O569" s="367">
        <f t="shared" si="224"/>
        <v>1.7233077191310526</v>
      </c>
      <c r="P569" s="368">
        <f t="shared" si="225"/>
        <v>1.3268028503083689</v>
      </c>
      <c r="Q569" s="369">
        <f t="shared" si="226"/>
        <v>-32.543134846515237</v>
      </c>
      <c r="R569" s="370">
        <f t="shared" si="227"/>
        <v>-258.5724407118185</v>
      </c>
      <c r="S569" s="372">
        <f t="shared" si="228"/>
        <v>-78.572440711818501</v>
      </c>
      <c r="U569" s="345">
        <f t="shared" si="234"/>
        <v>95499</v>
      </c>
      <c r="V569" s="345">
        <f t="shared" si="235"/>
        <v>9120059001</v>
      </c>
      <c r="X569" s="371">
        <f t="shared" si="229"/>
        <v>4.5307392393101322</v>
      </c>
      <c r="Y569" s="372">
        <f t="shared" si="230"/>
        <v>-77.788023368648041</v>
      </c>
      <c r="AA569" s="371">
        <f t="shared" si="231"/>
        <v>23.486700386179503</v>
      </c>
      <c r="AB569" s="372">
        <f t="shared" si="232"/>
        <v>-180.78441734317039</v>
      </c>
      <c r="AD569">
        <f t="shared" si="236"/>
        <v>0</v>
      </c>
      <c r="AE569">
        <f t="shared" si="239"/>
        <v>0</v>
      </c>
    </row>
    <row r="570" spans="1:31" x14ac:dyDescent="0.2">
      <c r="A570" s="373">
        <v>96611.5</v>
      </c>
      <c r="B570" s="390">
        <f t="shared" si="233"/>
        <v>96.611500000000007</v>
      </c>
      <c r="C570" s="363">
        <f t="shared" si="214"/>
        <v>136.01925617326353</v>
      </c>
      <c r="D570" s="364">
        <f t="shared" si="215"/>
        <v>1.5634443603398571</v>
      </c>
      <c r="E570" s="364">
        <f t="shared" si="216"/>
        <v>1.5635218317620394</v>
      </c>
      <c r="F570" s="365">
        <f t="shared" si="217"/>
        <v>0.87684229288303328</v>
      </c>
      <c r="G570" s="364">
        <f t="shared" si="218"/>
        <v>2.3981638187502599</v>
      </c>
      <c r="H570" s="365">
        <f t="shared" si="219"/>
        <v>-1.1406699269678822</v>
      </c>
      <c r="I570" s="363">
        <f t="shared" si="220"/>
        <v>400759.44417678635</v>
      </c>
      <c r="J570" s="366">
        <f t="shared" si="221"/>
        <v>1.5707938315324279</v>
      </c>
      <c r="K570" s="374">
        <f t="shared" si="237"/>
        <v>120.9969447180091</v>
      </c>
      <c r="L570" s="375">
        <f t="shared" si="238"/>
        <v>1.5625315612108317</v>
      </c>
      <c r="M570" s="363">
        <f t="shared" si="222"/>
        <v>4.6023286762094404</v>
      </c>
      <c r="N570" s="366">
        <f t="shared" si="223"/>
        <v>1.3517679565995908</v>
      </c>
      <c r="O570" s="367">
        <f t="shared" si="224"/>
        <v>1.7390000485604029</v>
      </c>
      <c r="P570" s="368">
        <f t="shared" si="225"/>
        <v>1.3371419024537783</v>
      </c>
      <c r="Q570" s="369">
        <f t="shared" si="226"/>
        <v>-32.67616350608786</v>
      </c>
      <c r="R570" s="370">
        <f t="shared" si="227"/>
        <v>-259.23155323270214</v>
      </c>
      <c r="S570" s="372">
        <f t="shared" si="228"/>
        <v>-79.23155323270214</v>
      </c>
      <c r="U570" s="345">
        <f t="shared" si="234"/>
        <v>96611.5</v>
      </c>
      <c r="V570" s="345">
        <f t="shared" si="235"/>
        <v>9333781932.25</v>
      </c>
      <c r="X570" s="371">
        <f t="shared" si="229"/>
        <v>4.434934489621579</v>
      </c>
      <c r="Y570" s="372">
        <f t="shared" si="230"/>
        <v>-77.923992101844789</v>
      </c>
      <c r="AA570" s="371">
        <f t="shared" si="231"/>
        <v>23.449476476295427</v>
      </c>
      <c r="AB570" s="372">
        <f t="shared" si="232"/>
        <v>-181.30756113085732</v>
      </c>
      <c r="AD570">
        <f t="shared" si="236"/>
        <v>0</v>
      </c>
      <c r="AE570">
        <f t="shared" si="239"/>
        <v>0</v>
      </c>
    </row>
    <row r="571" spans="1:31" x14ac:dyDescent="0.2">
      <c r="A571" s="373">
        <v>97724</v>
      </c>
      <c r="B571" s="390">
        <f t="shared" si="233"/>
        <v>97.724000000000004</v>
      </c>
      <c r="C571" s="363">
        <f t="shared" si="214"/>
        <v>137.58545988665679</v>
      </c>
      <c r="D571" s="364">
        <f t="shared" si="215"/>
        <v>1.5635280529125235</v>
      </c>
      <c r="E571" s="364">
        <f t="shared" si="216"/>
        <v>1.5741860682365574</v>
      </c>
      <c r="F571" s="365">
        <f t="shared" si="217"/>
        <v>0.88246554237008812</v>
      </c>
      <c r="G571" s="364">
        <f t="shared" si="218"/>
        <v>2.4210000895741017</v>
      </c>
      <c r="H571" s="365">
        <f t="shared" si="219"/>
        <v>-1.144993074742036</v>
      </c>
      <c r="I571" s="363">
        <f t="shared" si="220"/>
        <v>405374.26623879676</v>
      </c>
      <c r="J571" s="366">
        <f t="shared" si="221"/>
        <v>1.5707938599387508</v>
      </c>
      <c r="K571" s="374">
        <f t="shared" si="237"/>
        <v>122.39015317542335</v>
      </c>
      <c r="L571" s="375">
        <f t="shared" si="238"/>
        <v>1.5626256439350612</v>
      </c>
      <c r="M571" s="363">
        <f t="shared" si="222"/>
        <v>4.6528369164710499</v>
      </c>
      <c r="N571" s="366">
        <f t="shared" si="223"/>
        <v>1.3541837073077263</v>
      </c>
      <c r="O571" s="367">
        <f t="shared" si="224"/>
        <v>1.7548398278828699</v>
      </c>
      <c r="P571" s="368">
        <f t="shared" si="225"/>
        <v>1.3473829968312603</v>
      </c>
      <c r="Q571" s="369">
        <f t="shared" si="226"/>
        <v>-32.807813399775512</v>
      </c>
      <c r="R571" s="370">
        <f t="shared" si="227"/>
        <v>-259.88165301344412</v>
      </c>
      <c r="S571" s="372">
        <f t="shared" si="228"/>
        <v>-79.881653013444122</v>
      </c>
      <c r="U571" s="345">
        <f t="shared" si="234"/>
        <v>97724</v>
      </c>
      <c r="V571" s="345">
        <f t="shared" si="235"/>
        <v>9549980176</v>
      </c>
      <c r="X571" s="371">
        <f t="shared" si="229"/>
        <v>4.3401237747434207</v>
      </c>
      <c r="Y571" s="372">
        <f t="shared" si="230"/>
        <v>-78.057015506467664</v>
      </c>
      <c r="AA571" s="371">
        <f t="shared" si="231"/>
        <v>23.41263729748594</v>
      </c>
      <c r="AB571" s="372">
        <f t="shared" si="232"/>
        <v>-181.82463750697647</v>
      </c>
      <c r="AD571">
        <f t="shared" si="236"/>
        <v>0</v>
      </c>
      <c r="AE571">
        <f t="shared" si="239"/>
        <v>0</v>
      </c>
    </row>
    <row r="572" spans="1:31" x14ac:dyDescent="0.2">
      <c r="A572" s="373">
        <v>98862</v>
      </c>
      <c r="B572" s="390">
        <f t="shared" si="233"/>
        <v>98.861999999999995</v>
      </c>
      <c r="C572" s="363">
        <f t="shared" si="214"/>
        <v>139.18756407529702</v>
      </c>
      <c r="D572" s="364">
        <f t="shared" si="215"/>
        <v>1.563611715081896</v>
      </c>
      <c r="E572" s="364">
        <f t="shared" si="216"/>
        <v>1.585145543263681</v>
      </c>
      <c r="F572" s="365">
        <f t="shared" si="217"/>
        <v>0.88813921719820976</v>
      </c>
      <c r="G572" s="364">
        <f t="shared" si="218"/>
        <v>2.4444057283807181</v>
      </c>
      <c r="H572" s="365">
        <f t="shared" si="219"/>
        <v>-1.1493316575063348</v>
      </c>
      <c r="I572" s="363">
        <f t="shared" si="220"/>
        <v>410094.86624470068</v>
      </c>
      <c r="J572" s="366">
        <f t="shared" si="221"/>
        <v>1.5707938883347199</v>
      </c>
      <c r="K572" s="374">
        <f t="shared" si="237"/>
        <v>123.81529694452662</v>
      </c>
      <c r="L572" s="375">
        <f t="shared" si="238"/>
        <v>1.5627196925117002</v>
      </c>
      <c r="M572" s="363">
        <f t="shared" si="222"/>
        <v>4.7045303574333248</v>
      </c>
      <c r="N572" s="366">
        <f t="shared" si="223"/>
        <v>1.3566011473635542</v>
      </c>
      <c r="O572" s="367">
        <f t="shared" si="224"/>
        <v>1.7711949810769534</v>
      </c>
      <c r="P572" s="368">
        <f t="shared" si="225"/>
        <v>1.3577586597154403</v>
      </c>
      <c r="Q572" s="369">
        <f t="shared" si="226"/>
        <v>-32.941093289701662</v>
      </c>
      <c r="R572" s="370">
        <f t="shared" si="227"/>
        <v>-260.53755520868253</v>
      </c>
      <c r="S572" s="372">
        <f t="shared" si="228"/>
        <v>-80.537555208682534</v>
      </c>
      <c r="U572" s="345">
        <f t="shared" si="234"/>
        <v>98862</v>
      </c>
      <c r="V572" s="345">
        <f t="shared" si="235"/>
        <v>9773695044</v>
      </c>
      <c r="X572" s="371">
        <f t="shared" si="229"/>
        <v>4.2441482450754746</v>
      </c>
      <c r="Y572" s="372">
        <f t="shared" si="230"/>
        <v>-78.190137659503151</v>
      </c>
      <c r="AA572" s="371">
        <f t="shared" si="231"/>
        <v>23.375332937227732</v>
      </c>
      <c r="AB572" s="372">
        <f t="shared" si="232"/>
        <v>-182.34741754917937</v>
      </c>
      <c r="AD572">
        <f t="shared" si="236"/>
        <v>0</v>
      </c>
      <c r="AE572">
        <f t="shared" si="239"/>
        <v>0</v>
      </c>
    </row>
    <row r="573" spans="1:31" x14ac:dyDescent="0.2">
      <c r="A573" s="373">
        <v>100000</v>
      </c>
      <c r="B573" s="390">
        <f t="shared" si="233"/>
        <v>100</v>
      </c>
      <c r="C573" s="363">
        <f t="shared" si="214"/>
        <v>140.78966921598877</v>
      </c>
      <c r="D573" s="364">
        <f t="shared" si="215"/>
        <v>1.5636934731974719</v>
      </c>
      <c r="E573" s="364">
        <f t="shared" si="216"/>
        <v>1.5961553433874132</v>
      </c>
      <c r="F573" s="365">
        <f t="shared" si="217"/>
        <v>0.89373479948105183</v>
      </c>
      <c r="G573" s="364">
        <f t="shared" si="218"/>
        <v>2.467856505701393</v>
      </c>
      <c r="H573" s="365">
        <f t="shared" si="219"/>
        <v>-1.1535878644605408</v>
      </c>
      <c r="I573" s="363">
        <f t="shared" si="220"/>
        <v>414815.46625060501</v>
      </c>
      <c r="J573" s="366">
        <f t="shared" si="221"/>
        <v>1.5707939160843967</v>
      </c>
      <c r="K573" s="374">
        <f t="shared" si="237"/>
        <v>125.2404417838686</v>
      </c>
      <c r="L573" s="375">
        <f t="shared" si="238"/>
        <v>1.5628116006807875</v>
      </c>
      <c r="M573" s="363">
        <f t="shared" si="222"/>
        <v>4.7562506940312357</v>
      </c>
      <c r="N573" s="366">
        <f t="shared" si="223"/>
        <v>1.3589660256232301</v>
      </c>
      <c r="O573" s="367">
        <f t="shared" si="224"/>
        <v>1.7877039219695761</v>
      </c>
      <c r="P573" s="368">
        <f t="shared" si="225"/>
        <v>1.368034209832079</v>
      </c>
      <c r="Q573" s="369">
        <f t="shared" si="226"/>
        <v>-33.073007965464221</v>
      </c>
      <c r="R573" s="370">
        <f t="shared" si="227"/>
        <v>-261.1844778878185</v>
      </c>
      <c r="S573" s="372">
        <f t="shared" si="228"/>
        <v>-81.184477887818502</v>
      </c>
      <c r="U573" s="345">
        <f t="shared" si="234"/>
        <v>100000</v>
      </c>
      <c r="V573" s="345">
        <f t="shared" si="235"/>
        <v>10000000000</v>
      </c>
      <c r="X573" s="371">
        <f t="shared" si="229"/>
        <v>4.1491725902091119</v>
      </c>
      <c r="Y573" s="372">
        <f t="shared" si="230"/>
        <v>-78.320370842741511</v>
      </c>
      <c r="AA573" s="371">
        <f t="shared" si="231"/>
        <v>23.338393916331537</v>
      </c>
      <c r="AB573" s="372">
        <f t="shared" si="232"/>
        <v>-182.86410704507699</v>
      </c>
      <c r="AD573">
        <f t="shared" si="236"/>
        <v>0</v>
      </c>
      <c r="AE573">
        <f t="shared" si="239"/>
        <v>0</v>
      </c>
    </row>
    <row r="574" spans="1:31" x14ac:dyDescent="0.2">
      <c r="A574" s="373">
        <v>101165</v>
      </c>
      <c r="B574" s="390">
        <f t="shared" si="233"/>
        <v>101.16500000000001</v>
      </c>
      <c r="C574" s="363">
        <f t="shared" si="214"/>
        <v>142.42978659123642</v>
      </c>
      <c r="D574" s="364">
        <f t="shared" si="215"/>
        <v>1.563775265822587</v>
      </c>
      <c r="E574" s="364">
        <f t="shared" si="216"/>
        <v>1.607477410839443</v>
      </c>
      <c r="F574" s="365">
        <f t="shared" si="217"/>
        <v>0.8993835612384935</v>
      </c>
      <c r="G574" s="364">
        <f t="shared" si="218"/>
        <v>2.4919090994019819</v>
      </c>
      <c r="H574" s="365">
        <f t="shared" si="219"/>
        <v>-1.1578619923038744</v>
      </c>
      <c r="I574" s="363">
        <f t="shared" si="220"/>
        <v>419648.06643239659</v>
      </c>
      <c r="J574" s="366">
        <f t="shared" si="221"/>
        <v>1.5707939438457543</v>
      </c>
      <c r="K574" s="374">
        <f t="shared" si="237"/>
        <v>126.69940044515403</v>
      </c>
      <c r="L574" s="375">
        <f t="shared" si="238"/>
        <v>1.5629035476718516</v>
      </c>
      <c r="M574" s="363">
        <f t="shared" si="222"/>
        <v>4.809225093201837</v>
      </c>
      <c r="N574" s="366">
        <f t="shared" si="223"/>
        <v>1.3613343087682104</v>
      </c>
      <c r="O574" s="367">
        <f t="shared" si="224"/>
        <v>1.8047636158963347</v>
      </c>
      <c r="P574" s="368">
        <f t="shared" si="225"/>
        <v>1.37845109713105</v>
      </c>
      <c r="Q574" s="369">
        <f t="shared" si="226"/>
        <v>-33.206676734573975</v>
      </c>
      <c r="R574" s="370">
        <f t="shared" si="227"/>
        <v>-261.83767326200086</v>
      </c>
      <c r="S574" s="372">
        <f t="shared" si="228"/>
        <v>-81.837673262000862</v>
      </c>
      <c r="U574" s="345">
        <f t="shared" si="234"/>
        <v>101165</v>
      </c>
      <c r="V574" s="345">
        <f t="shared" si="235"/>
        <v>10234357225</v>
      </c>
      <c r="X574" s="371">
        <f t="shared" si="229"/>
        <v>4.0529589101987504</v>
      </c>
      <c r="Y574" s="372">
        <f t="shared" si="230"/>
        <v>-78.450796887871618</v>
      </c>
      <c r="AA574" s="371">
        <f t="shared" si="231"/>
        <v>23.300938827232148</v>
      </c>
      <c r="AB574" s="372">
        <f t="shared" si="232"/>
        <v>-183.38687637412926</v>
      </c>
      <c r="AD574">
        <f t="shared" si="236"/>
        <v>0</v>
      </c>
      <c r="AE574">
        <f t="shared" si="239"/>
        <v>0</v>
      </c>
    </row>
    <row r="575" spans="1:31" x14ac:dyDescent="0.2">
      <c r="A575" s="373">
        <v>102330</v>
      </c>
      <c r="B575" s="390">
        <f t="shared" si="233"/>
        <v>102.33</v>
      </c>
      <c r="C575" s="363">
        <f t="shared" si="214"/>
        <v>144.06990489764905</v>
      </c>
      <c r="D575" s="364">
        <f t="shared" si="215"/>
        <v>1.5638551961636382</v>
      </c>
      <c r="E575" s="364">
        <f t="shared" si="216"/>
        <v>1.6188500520879918</v>
      </c>
      <c r="F575" s="365">
        <f t="shared" si="217"/>
        <v>0.90495313200635485</v>
      </c>
      <c r="G575" s="364">
        <f t="shared" si="218"/>
        <v>2.5160063448620664</v>
      </c>
      <c r="H575" s="365">
        <f t="shared" si="219"/>
        <v>-1.1620543239362879</v>
      </c>
      <c r="I575" s="363">
        <f t="shared" si="220"/>
        <v>424480.66661418858</v>
      </c>
      <c r="J575" s="366">
        <f t="shared" si="221"/>
        <v>1.5707939709750003</v>
      </c>
      <c r="K575" s="374">
        <f t="shared" si="237"/>
        <v>128.15836015319979</v>
      </c>
      <c r="L575" s="375">
        <f t="shared" si="238"/>
        <v>1.5629934012074855</v>
      </c>
      <c r="M575" s="363">
        <f t="shared" si="222"/>
        <v>4.8622258783345904</v>
      </c>
      <c r="N575" s="366">
        <f t="shared" si="223"/>
        <v>1.3636509736414257</v>
      </c>
      <c r="O575" s="367">
        <f t="shared" si="224"/>
        <v>1.8219840110401859</v>
      </c>
      <c r="P575" s="368">
        <f t="shared" si="225"/>
        <v>1.3887655826997074</v>
      </c>
      <c r="Q575" s="369">
        <f t="shared" si="226"/>
        <v>-33.338991369012277</v>
      </c>
      <c r="R575" s="370">
        <f t="shared" si="227"/>
        <v>-262.48190788083213</v>
      </c>
      <c r="S575" s="372">
        <f t="shared" si="228"/>
        <v>-82.481907880832125</v>
      </c>
      <c r="U575" s="345">
        <f t="shared" si="234"/>
        <v>102330</v>
      </c>
      <c r="V575" s="345">
        <f t="shared" si="235"/>
        <v>10471428900</v>
      </c>
      <c r="X575" s="371">
        <f t="shared" si="229"/>
        <v>3.9577522655432262</v>
      </c>
      <c r="Y575" s="372">
        <f t="shared" si="230"/>
        <v>-78.578385333823988</v>
      </c>
      <c r="AA575" s="371">
        <f t="shared" si="231"/>
        <v>23.263830837449365</v>
      </c>
      <c r="AB575" s="372">
        <f t="shared" si="232"/>
        <v>-183.90352254700815</v>
      </c>
      <c r="AD575">
        <f t="shared" si="236"/>
        <v>0</v>
      </c>
      <c r="AE575">
        <f t="shared" si="239"/>
        <v>0</v>
      </c>
    </row>
    <row r="576" spans="1:31" x14ac:dyDescent="0.2">
      <c r="A576" s="373">
        <v>103520</v>
      </c>
      <c r="B576" s="390">
        <f t="shared" si="233"/>
        <v>103.52</v>
      </c>
      <c r="C576" s="363">
        <f t="shared" si="214"/>
        <v>145.74521980453827</v>
      </c>
      <c r="D576" s="364">
        <f t="shared" si="215"/>
        <v>1.5639349844625672</v>
      </c>
      <c r="E576" s="364">
        <f t="shared" si="216"/>
        <v>1.6305178544008794</v>
      </c>
      <c r="F576" s="365">
        <f t="shared" si="217"/>
        <v>0.91056183075645147</v>
      </c>
      <c r="G576" s="364">
        <f t="shared" si="218"/>
        <v>2.5406654768234551</v>
      </c>
      <c r="H576" s="365">
        <f t="shared" si="219"/>
        <v>-1.1662544408584046</v>
      </c>
      <c r="I576" s="363">
        <f t="shared" si="220"/>
        <v>429416.97066254285</v>
      </c>
      <c r="J576" s="366">
        <f t="shared" si="221"/>
        <v>1.5707939980560057</v>
      </c>
      <c r="K576" s="374">
        <f t="shared" si="237"/>
        <v>129.64862905343745</v>
      </c>
      <c r="L576" s="375">
        <f t="shared" si="238"/>
        <v>1.5630830950929719</v>
      </c>
      <c r="M576" s="363">
        <f t="shared" si="222"/>
        <v>4.9163903734174319</v>
      </c>
      <c r="N576" s="366">
        <f t="shared" si="223"/>
        <v>1.3659657710841666</v>
      </c>
      <c r="O576" s="367">
        <f t="shared" si="224"/>
        <v>1.8397396306642244</v>
      </c>
      <c r="P576" s="368">
        <f t="shared" si="225"/>
        <v>1.3991969939230096</v>
      </c>
      <c r="Q576" s="369">
        <f t="shared" si="226"/>
        <v>-33.472785253627684</v>
      </c>
      <c r="R576" s="370">
        <f t="shared" si="227"/>
        <v>-263.130940052413</v>
      </c>
      <c r="S576" s="372">
        <f t="shared" si="228"/>
        <v>-83.130940052412996</v>
      </c>
      <c r="U576" s="345">
        <f t="shared" si="234"/>
        <v>103520</v>
      </c>
      <c r="V576" s="345">
        <f t="shared" si="235"/>
        <v>10716390400</v>
      </c>
      <c r="X576" s="371">
        <f t="shared" si="229"/>
        <v>3.8615216377891888</v>
      </c>
      <c r="Y576" s="372">
        <f t="shared" si="230"/>
        <v>-78.705875928407224</v>
      </c>
      <c r="AA576" s="371">
        <f t="shared" si="231"/>
        <v>23.226267580587997</v>
      </c>
      <c r="AB576" s="372">
        <f t="shared" si="232"/>
        <v>-184.42506412400581</v>
      </c>
      <c r="AD576">
        <f t="shared" si="236"/>
        <v>0</v>
      </c>
      <c r="AE576">
        <f t="shared" si="239"/>
        <v>0</v>
      </c>
    </row>
    <row r="577" spans="1:31" x14ac:dyDescent="0.2">
      <c r="A577" s="373">
        <v>104710</v>
      </c>
      <c r="B577" s="390">
        <f t="shared" si="233"/>
        <v>104.71</v>
      </c>
      <c r="C577" s="363">
        <f t="shared" si="214"/>
        <v>147.42053561817843</v>
      </c>
      <c r="D577" s="364">
        <f t="shared" si="215"/>
        <v>1.5640129593022996</v>
      </c>
      <c r="E577" s="364">
        <f t="shared" si="216"/>
        <v>1.6422362189567974</v>
      </c>
      <c r="F577" s="365">
        <f t="shared" si="217"/>
        <v>0.91609065834700731</v>
      </c>
      <c r="G577" s="364">
        <f t="shared" si="218"/>
        <v>2.5653685665184169</v>
      </c>
      <c r="H577" s="365">
        <f t="shared" si="219"/>
        <v>-1.1703737396519311</v>
      </c>
      <c r="I577" s="363">
        <f t="shared" si="220"/>
        <v>434353.27471089747</v>
      </c>
      <c r="J577" s="366">
        <f t="shared" si="221"/>
        <v>1.5707940245214749</v>
      </c>
      <c r="K577" s="374">
        <f t="shared" si="237"/>
        <v>131.13889897299157</v>
      </c>
      <c r="L577" s="375">
        <f t="shared" si="238"/>
        <v>1.5631707504063004</v>
      </c>
      <c r="M577" s="363">
        <f t="shared" si="222"/>
        <v>4.9705806377210315</v>
      </c>
      <c r="N577" s="366">
        <f t="shared" si="223"/>
        <v>1.3682301076709911</v>
      </c>
      <c r="O577" s="367">
        <f t="shared" si="224"/>
        <v>1.8576624866094014</v>
      </c>
      <c r="P577" s="368">
        <f t="shared" si="225"/>
        <v>1.4095241978858479</v>
      </c>
      <c r="Q577" s="369">
        <f t="shared" si="226"/>
        <v>-33.605241625159351</v>
      </c>
      <c r="R577" s="370">
        <f t="shared" si="227"/>
        <v>-263.77106899911502</v>
      </c>
      <c r="S577" s="372">
        <f t="shared" si="228"/>
        <v>-83.771068999115016</v>
      </c>
      <c r="U577" s="345">
        <f t="shared" si="234"/>
        <v>104710</v>
      </c>
      <c r="V577" s="345">
        <f t="shared" si="235"/>
        <v>10964184100</v>
      </c>
      <c r="X577" s="371">
        <f t="shared" si="229"/>
        <v>3.7663005160262526</v>
      </c>
      <c r="Y577" s="372">
        <f t="shared" si="230"/>
        <v>-78.830592095225882</v>
      </c>
      <c r="AA577" s="371">
        <f t="shared" si="231"/>
        <v>23.189032330819266</v>
      </c>
      <c r="AB577" s="372">
        <f t="shared" si="232"/>
        <v>-184.94047690388908</v>
      </c>
      <c r="AD577">
        <f t="shared" si="236"/>
        <v>0</v>
      </c>
      <c r="AE577">
        <f t="shared" si="239"/>
        <v>0</v>
      </c>
    </row>
    <row r="578" spans="1:31" x14ac:dyDescent="0.2">
      <c r="A578" s="373">
        <v>105930</v>
      </c>
      <c r="B578" s="390">
        <f t="shared" si="233"/>
        <v>105.93</v>
      </c>
      <c r="C578" s="363">
        <f t="shared" si="214"/>
        <v>149.13808719360196</v>
      </c>
      <c r="D578" s="364">
        <f t="shared" si="215"/>
        <v>1.5640910812587416</v>
      </c>
      <c r="E578" s="364">
        <f t="shared" si="216"/>
        <v>1.654301369934895</v>
      </c>
      <c r="F578" s="365">
        <f t="shared" si="217"/>
        <v>0.921677378178409</v>
      </c>
      <c r="G578" s="364">
        <f t="shared" si="218"/>
        <v>2.5907387407852962</v>
      </c>
      <c r="H578" s="365">
        <f t="shared" si="219"/>
        <v>-1.1745152623333908</v>
      </c>
      <c r="I578" s="363">
        <f t="shared" si="220"/>
        <v>439414.02339912695</v>
      </c>
      <c r="J578" s="366">
        <f t="shared" si="221"/>
        <v>1.570794051036849</v>
      </c>
      <c r="K578" s="374">
        <f t="shared" si="237"/>
        <v>132.66673974467619</v>
      </c>
      <c r="L578" s="375">
        <f t="shared" si="238"/>
        <v>1.5632585711252081</v>
      </c>
      <c r="M578" s="363">
        <f t="shared" si="222"/>
        <v>5.0261629224565016</v>
      </c>
      <c r="N578" s="366">
        <f t="shared" si="223"/>
        <v>1.3705008280247415</v>
      </c>
      <c r="O578" s="367">
        <f t="shared" si="224"/>
        <v>1.8762105873270694</v>
      </c>
      <c r="P578" s="368">
        <f t="shared" si="225"/>
        <v>1.4200049440064584</v>
      </c>
      <c r="Q578" s="369">
        <f t="shared" si="226"/>
        <v>-33.739686204022355</v>
      </c>
      <c r="R578" s="370">
        <f t="shared" si="227"/>
        <v>-264.41831633524532</v>
      </c>
      <c r="S578" s="372">
        <f t="shared" si="228"/>
        <v>-84.418316335245322</v>
      </c>
      <c r="U578" s="345">
        <f t="shared" si="234"/>
        <v>105930</v>
      </c>
      <c r="V578" s="345">
        <f t="shared" si="235"/>
        <v>11221164900</v>
      </c>
      <c r="X578" s="371">
        <f t="shared" si="229"/>
        <v>3.6697059658533373</v>
      </c>
      <c r="Y578" s="372">
        <f t="shared" si="230"/>
        <v>-78.955664550764993</v>
      </c>
      <c r="AA578" s="371">
        <f t="shared" si="231"/>
        <v>23.151182302129175</v>
      </c>
      <c r="AB578" s="372">
        <f t="shared" si="232"/>
        <v>-185.46265178448027</v>
      </c>
      <c r="AD578">
        <f t="shared" si="236"/>
        <v>0</v>
      </c>
      <c r="AE578">
        <f t="shared" si="239"/>
        <v>0</v>
      </c>
    </row>
    <row r="579" spans="1:31" x14ac:dyDescent="0.2">
      <c r="A579" s="373">
        <v>107150</v>
      </c>
      <c r="B579" s="390">
        <f t="shared" si="233"/>
        <v>107.15</v>
      </c>
      <c r="C579" s="363">
        <f t="shared" si="214"/>
        <v>150.85563965849536</v>
      </c>
      <c r="D579" s="364">
        <f t="shared" si="215"/>
        <v>1.5641674243155061</v>
      </c>
      <c r="E579" s="364">
        <f t="shared" si="216"/>
        <v>1.6664174054407639</v>
      </c>
      <c r="F579" s="365">
        <f t="shared" si="217"/>
        <v>0.92718302895190496</v>
      </c>
      <c r="G579" s="364">
        <f t="shared" si="218"/>
        <v>2.6161524896531021</v>
      </c>
      <c r="H579" s="365">
        <f t="shared" si="219"/>
        <v>-1.1785763906425542</v>
      </c>
      <c r="I579" s="363">
        <f t="shared" si="220"/>
        <v>444474.77208735666</v>
      </c>
      <c r="J579" s="366">
        <f t="shared" si="221"/>
        <v>1.5707940769484199</v>
      </c>
      <c r="K579" s="374">
        <f t="shared" si="237"/>
        <v>134.19458151625167</v>
      </c>
      <c r="L579" s="375">
        <f t="shared" si="238"/>
        <v>1.5633443921192733</v>
      </c>
      <c r="M579" s="363">
        <f t="shared" si="222"/>
        <v>5.0817705559587356</v>
      </c>
      <c r="N579" s="366">
        <f t="shared" si="223"/>
        <v>1.3727218645866912</v>
      </c>
      <c r="O579" s="367">
        <f t="shared" si="224"/>
        <v>1.8949340615311372</v>
      </c>
      <c r="P579" s="368">
        <f t="shared" si="225"/>
        <v>1.4303789400114908</v>
      </c>
      <c r="Q579" s="369">
        <f t="shared" si="226"/>
        <v>-33.87279966684099</v>
      </c>
      <c r="R579" s="370">
        <f t="shared" si="227"/>
        <v>-265.05665194309233</v>
      </c>
      <c r="S579" s="372">
        <f t="shared" si="228"/>
        <v>-85.056651943092334</v>
      </c>
      <c r="U579" s="345">
        <f t="shared" si="234"/>
        <v>107150</v>
      </c>
      <c r="V579" s="345">
        <f t="shared" si="235"/>
        <v>11481122500</v>
      </c>
      <c r="X579" s="371">
        <f t="shared" si="229"/>
        <v>3.5741305689666811</v>
      </c>
      <c r="Y579" s="372">
        <f t="shared" si="230"/>
        <v>-79.078004875918822</v>
      </c>
      <c r="AA579" s="371">
        <f t="shared" si="231"/>
        <v>23.113644236197203</v>
      </c>
      <c r="AB579" s="372">
        <f t="shared" si="232"/>
        <v>-185.97864706717345</v>
      </c>
      <c r="AD579">
        <f t="shared" si="236"/>
        <v>0</v>
      </c>
      <c r="AE579">
        <f t="shared" si="239"/>
        <v>0</v>
      </c>
    </row>
    <row r="580" spans="1:31" x14ac:dyDescent="0.2">
      <c r="A580" s="373">
        <v>108400</v>
      </c>
      <c r="B580" s="390">
        <f t="shared" si="233"/>
        <v>108.4</v>
      </c>
      <c r="C580" s="363">
        <f t="shared" si="214"/>
        <v>152.61542791121084</v>
      </c>
      <c r="D580" s="364">
        <f t="shared" si="215"/>
        <v>1.5642438624109165</v>
      </c>
      <c r="E580" s="364">
        <f t="shared" si="216"/>
        <v>1.6788830010244067</v>
      </c>
      <c r="F580" s="365">
        <f t="shared" si="217"/>
        <v>0.93274147100591986</v>
      </c>
      <c r="G580" s="364">
        <f t="shared" si="218"/>
        <v>2.6422350470088656</v>
      </c>
      <c r="H580" s="365">
        <f t="shared" si="219"/>
        <v>-1.182656286476278</v>
      </c>
      <c r="I580" s="363">
        <f t="shared" si="220"/>
        <v>449659.96541546116</v>
      </c>
      <c r="J580" s="366">
        <f t="shared" si="221"/>
        <v>1.5707941028922214</v>
      </c>
      <c r="K580" s="374">
        <f t="shared" si="237"/>
        <v>135.75999416922974</v>
      </c>
      <c r="L580" s="375">
        <f t="shared" si="238"/>
        <v>1.5634303199739172</v>
      </c>
      <c r="M580" s="363">
        <f t="shared" si="222"/>
        <v>5.1387710211987976</v>
      </c>
      <c r="N580" s="366">
        <f t="shared" si="223"/>
        <v>1.3749476494642565</v>
      </c>
      <c r="O580" s="367">
        <f t="shared" si="224"/>
        <v>1.9142996575658844</v>
      </c>
      <c r="P580" s="368">
        <f t="shared" si="225"/>
        <v>1.4408987601500505</v>
      </c>
      <c r="Q580" s="369">
        <f t="shared" si="226"/>
        <v>-34.007842957613697</v>
      </c>
      <c r="R580" s="370">
        <f t="shared" si="227"/>
        <v>-265.70166462367399</v>
      </c>
      <c r="S580" s="372">
        <f t="shared" si="228"/>
        <v>-85.701664623673992</v>
      </c>
      <c r="U580" s="345">
        <f t="shared" si="234"/>
        <v>108400</v>
      </c>
      <c r="V580" s="345">
        <f t="shared" si="235"/>
        <v>11750560000</v>
      </c>
      <c r="X580" s="371">
        <f t="shared" si="229"/>
        <v>3.4772407634828708</v>
      </c>
      <c r="Y580" s="372">
        <f t="shared" si="230"/>
        <v>-79.20061113870409</v>
      </c>
      <c r="AA580" s="371">
        <f t="shared" si="231"/>
        <v>23.075490750908312</v>
      </c>
      <c r="AB580" s="372">
        <f t="shared" si="232"/>
        <v>-186.50105348496993</v>
      </c>
      <c r="AD580">
        <f t="shared" si="236"/>
        <v>0</v>
      </c>
      <c r="AE580">
        <f t="shared" si="239"/>
        <v>0</v>
      </c>
    </row>
    <row r="581" spans="1:31" x14ac:dyDescent="0.2">
      <c r="A581" s="373">
        <v>109650</v>
      </c>
      <c r="B581" s="390">
        <f t="shared" si="233"/>
        <v>109.65</v>
      </c>
      <c r="C581" s="363">
        <f t="shared" si="214"/>
        <v>154.37521703529535</v>
      </c>
      <c r="D581" s="364">
        <f t="shared" si="215"/>
        <v>1.5643185578056717</v>
      </c>
      <c r="E581" s="364">
        <f t="shared" si="216"/>
        <v>1.691399702336523</v>
      </c>
      <c r="F581" s="365">
        <f t="shared" si="217"/>
        <v>0.93821781298147278</v>
      </c>
      <c r="G581" s="364">
        <f t="shared" si="218"/>
        <v>2.6683607255827004</v>
      </c>
      <c r="H581" s="365">
        <f t="shared" si="219"/>
        <v>-1.1866563560295376</v>
      </c>
      <c r="I581" s="363">
        <f t="shared" si="220"/>
        <v>454845.15874356602</v>
      </c>
      <c r="J581" s="366">
        <f t="shared" si="221"/>
        <v>1.570794128244509</v>
      </c>
      <c r="K581" s="374">
        <f t="shared" si="237"/>
        <v>137.32540780175151</v>
      </c>
      <c r="L581" s="375">
        <f t="shared" si="238"/>
        <v>1.5635142887942433</v>
      </c>
      <c r="M581" s="363">
        <f t="shared" si="222"/>
        <v>5.1957963858703664</v>
      </c>
      <c r="N581" s="366">
        <f t="shared" si="223"/>
        <v>1.3771245876676184</v>
      </c>
      <c r="O581" s="367">
        <f t="shared" si="224"/>
        <v>1.9338489955348188</v>
      </c>
      <c r="P581" s="368">
        <f t="shared" si="225"/>
        <v>1.4513094367717625</v>
      </c>
      <c r="Q581" s="369">
        <f t="shared" si="226"/>
        <v>-34.141562861987872</v>
      </c>
      <c r="R581" s="370">
        <f t="shared" si="227"/>
        <v>-266.3377677732372</v>
      </c>
      <c r="S581" s="372">
        <f t="shared" si="228"/>
        <v>-86.337767773237204</v>
      </c>
      <c r="U581" s="345">
        <f t="shared" si="234"/>
        <v>109650</v>
      </c>
      <c r="V581" s="345">
        <f t="shared" si="235"/>
        <v>12023122500</v>
      </c>
      <c r="X581" s="371">
        <f t="shared" si="229"/>
        <v>3.3813782789756659</v>
      </c>
      <c r="Y581" s="372">
        <f t="shared" si="230"/>
        <v>-79.32053090371825</v>
      </c>
      <c r="AA581" s="371">
        <f t="shared" si="231"/>
        <v>23.037633331041334</v>
      </c>
      <c r="AB581" s="372">
        <f t="shared" si="232"/>
        <v>-187.01723686951894</v>
      </c>
      <c r="AD581">
        <f t="shared" si="236"/>
        <v>0</v>
      </c>
      <c r="AE581">
        <f t="shared" si="239"/>
        <v>0</v>
      </c>
    </row>
    <row r="582" spans="1:31" x14ac:dyDescent="0.2">
      <c r="A582" s="373">
        <v>110925</v>
      </c>
      <c r="B582" s="390">
        <f t="shared" si="233"/>
        <v>110.925</v>
      </c>
      <c r="C582" s="363">
        <f t="shared" si="214"/>
        <v>156.17020280899726</v>
      </c>
      <c r="D582" s="364">
        <f t="shared" si="215"/>
        <v>1.5643930128733932</v>
      </c>
      <c r="E582" s="364">
        <f t="shared" si="216"/>
        <v>1.7042182189882802</v>
      </c>
      <c r="F582" s="365">
        <f t="shared" si="217"/>
        <v>0.94372064152161916</v>
      </c>
      <c r="G582" s="364">
        <f t="shared" si="218"/>
        <v>2.6950520406677763</v>
      </c>
      <c r="H582" s="365">
        <f t="shared" si="219"/>
        <v>-1.190656466706917</v>
      </c>
      <c r="I582" s="363">
        <f t="shared" si="220"/>
        <v>460134.05593823316</v>
      </c>
      <c r="J582" s="366">
        <f t="shared" si="221"/>
        <v>1.5707941535152032</v>
      </c>
      <c r="K582" s="374">
        <f t="shared" si="237"/>
        <v>138.92213068170895</v>
      </c>
      <c r="L582" s="375">
        <f t="shared" si="238"/>
        <v>1.5635979874722856</v>
      </c>
      <c r="M582" s="363">
        <f t="shared" si="222"/>
        <v>5.253987068419633</v>
      </c>
      <c r="N582" s="366">
        <f t="shared" si="223"/>
        <v>1.3792963712107147</v>
      </c>
      <c r="O582" s="367">
        <f t="shared" si="224"/>
        <v>1.953978446881353</v>
      </c>
      <c r="P582" s="368">
        <f t="shared" si="225"/>
        <v>1.461817392679982</v>
      </c>
      <c r="Q582" s="369">
        <f t="shared" si="226"/>
        <v>-34.276630306405394</v>
      </c>
      <c r="R582" s="370">
        <f t="shared" si="227"/>
        <v>-266.97763576656411</v>
      </c>
      <c r="S582" s="372">
        <f t="shared" si="228"/>
        <v>-86.977635766564106</v>
      </c>
      <c r="U582" s="345">
        <f t="shared" si="234"/>
        <v>110925</v>
      </c>
      <c r="V582" s="345">
        <f t="shared" si="235"/>
        <v>12304355625</v>
      </c>
      <c r="X582" s="371">
        <f t="shared" si="229"/>
        <v>3.2846354946804195</v>
      </c>
      <c r="Y582" s="372">
        <f t="shared" si="230"/>
        <v>-79.440170801791837</v>
      </c>
      <c r="AA582" s="371">
        <f t="shared" si="231"/>
        <v>22.999308670919053</v>
      </c>
      <c r="AB582" s="372">
        <f t="shared" si="232"/>
        <v>-187.53746496477228</v>
      </c>
      <c r="AD582">
        <f t="shared" si="236"/>
        <v>0</v>
      </c>
      <c r="AE582">
        <f t="shared" si="239"/>
        <v>0</v>
      </c>
    </row>
    <row r="583" spans="1:31" x14ac:dyDescent="0.2">
      <c r="A583" s="373">
        <v>112200</v>
      </c>
      <c r="B583" s="390">
        <f t="shared" si="233"/>
        <v>112.2</v>
      </c>
      <c r="C583" s="363">
        <f t="shared" si="214"/>
        <v>157.96518942876253</v>
      </c>
      <c r="D583" s="364">
        <f t="shared" si="215"/>
        <v>1.5644657758490836</v>
      </c>
      <c r="E583" s="364">
        <f t="shared" si="216"/>
        <v>1.7170875698764321</v>
      </c>
      <c r="F583" s="365">
        <f t="shared" si="217"/>
        <v>0.94914114617329448</v>
      </c>
      <c r="G583" s="364">
        <f t="shared" si="218"/>
        <v>2.7217856327942984</v>
      </c>
      <c r="H583" s="365">
        <f t="shared" si="219"/>
        <v>-1.1945780603087073</v>
      </c>
      <c r="I583" s="363">
        <f t="shared" si="220"/>
        <v>465422.9531329007</v>
      </c>
      <c r="J583" s="366">
        <f t="shared" si="221"/>
        <v>1.5707941782115633</v>
      </c>
      <c r="K583" s="374">
        <f t="shared" si="237"/>
        <v>140.51885451276365</v>
      </c>
      <c r="L583" s="375">
        <f t="shared" si="238"/>
        <v>1.5636797840050991</v>
      </c>
      <c r="M583" s="363">
        <f t="shared" si="222"/>
        <v>5.3122019891730341</v>
      </c>
      <c r="N583" s="366">
        <f t="shared" si="223"/>
        <v>1.3814205646661992</v>
      </c>
      <c r="O583" s="367">
        <f t="shared" si="224"/>
        <v>1.9742987472431566</v>
      </c>
      <c r="P583" s="368">
        <f t="shared" si="225"/>
        <v>1.4722148269636779</v>
      </c>
      <c r="Q583" s="369">
        <f t="shared" si="226"/>
        <v>-34.410393347809652</v>
      </c>
      <c r="R583" s="370">
        <f t="shared" si="227"/>
        <v>-267.60867474265029</v>
      </c>
      <c r="S583" s="372">
        <f t="shared" si="228"/>
        <v>-87.608674742650294</v>
      </c>
      <c r="U583" s="345">
        <f t="shared" si="234"/>
        <v>112200</v>
      </c>
      <c r="V583" s="345">
        <f t="shared" si="235"/>
        <v>12588840000</v>
      </c>
      <c r="X583" s="371">
        <f t="shared" si="229"/>
        <v>3.1889187974661297</v>
      </c>
      <c r="Y583" s="372">
        <f t="shared" si="230"/>
        <v>-79.557192940682299</v>
      </c>
      <c r="AA583" s="371">
        <f t="shared" si="231"/>
        <v>22.961262326729091</v>
      </c>
      <c r="AB583" s="372">
        <f t="shared" si="232"/>
        <v>-188.05148180196798</v>
      </c>
      <c r="AD583">
        <f t="shared" si="236"/>
        <v>0</v>
      </c>
      <c r="AE583">
        <f t="shared" si="239"/>
        <v>0</v>
      </c>
    </row>
    <row r="584" spans="1:31" x14ac:dyDescent="0.2">
      <c r="A584" s="373">
        <v>113510</v>
      </c>
      <c r="B584" s="390">
        <f t="shared" si="233"/>
        <v>113.51</v>
      </c>
      <c r="C584" s="363">
        <f t="shared" si="214"/>
        <v>159.80945104228573</v>
      </c>
      <c r="D584" s="364">
        <f t="shared" si="215"/>
        <v>1.5645388337646395</v>
      </c>
      <c r="E584" s="364">
        <f t="shared" si="216"/>
        <v>1.7303619514355193</v>
      </c>
      <c r="F584" s="365">
        <f t="shared" si="217"/>
        <v>0.9546263040259545</v>
      </c>
      <c r="G584" s="364">
        <f t="shared" si="218"/>
        <v>2.7492958257295732</v>
      </c>
      <c r="H584" s="365">
        <f t="shared" si="219"/>
        <v>-1.1985278083763524</v>
      </c>
      <c r="I584" s="363">
        <f t="shared" si="220"/>
        <v>470857.03574075544</v>
      </c>
      <c r="J584" s="366">
        <f t="shared" si="221"/>
        <v>1.5707942030080058</v>
      </c>
      <c r="K584" s="374">
        <f t="shared" si="237"/>
        <v>142.15941093532967</v>
      </c>
      <c r="L584" s="375">
        <f t="shared" si="238"/>
        <v>1.5637619121146928</v>
      </c>
      <c r="M584" s="363">
        <f t="shared" si="222"/>
        <v>5.3720393837164186</v>
      </c>
      <c r="N584" s="366">
        <f t="shared" si="223"/>
        <v>1.3835551080797026</v>
      </c>
      <c r="O584" s="367">
        <f t="shared" si="224"/>
        <v>1.9953754976702498</v>
      </c>
      <c r="P584" s="368">
        <f t="shared" si="225"/>
        <v>1.4827841445106267</v>
      </c>
      <c r="Q584" s="369">
        <f t="shared" si="226"/>
        <v>-34.546505833116363</v>
      </c>
      <c r="R584" s="370">
        <f t="shared" si="227"/>
        <v>-268.24806159632516</v>
      </c>
      <c r="S584" s="372">
        <f t="shared" si="228"/>
        <v>-88.248061596325158</v>
      </c>
      <c r="U584" s="345">
        <f t="shared" si="234"/>
        <v>113510</v>
      </c>
      <c r="V584" s="345">
        <f t="shared" si="235"/>
        <v>12884520100</v>
      </c>
      <c r="X584" s="371">
        <f t="shared" si="229"/>
        <v>3.0916215940137559</v>
      </c>
      <c r="Y584" s="372">
        <f t="shared" si="230"/>
        <v>-79.674789096270246</v>
      </c>
      <c r="AA584" s="371">
        <f t="shared" si="231"/>
        <v>22.922447044874751</v>
      </c>
      <c r="AB584" s="372">
        <f t="shared" si="232"/>
        <v>-188.57327250005488</v>
      </c>
      <c r="AD584">
        <f t="shared" si="236"/>
        <v>0</v>
      </c>
      <c r="AE584">
        <f t="shared" si="239"/>
        <v>0</v>
      </c>
    </row>
    <row r="585" spans="1:31" x14ac:dyDescent="0.2">
      <c r="A585" s="373">
        <v>114820</v>
      </c>
      <c r="B585" s="390">
        <f t="shared" si="233"/>
        <v>114.82</v>
      </c>
      <c r="C585" s="363">
        <f t="shared" si="214"/>
        <v>161.65371348932263</v>
      </c>
      <c r="D585" s="364">
        <f t="shared" si="215"/>
        <v>1.5646102246855189</v>
      </c>
      <c r="E585" s="364">
        <f t="shared" si="216"/>
        <v>1.7436876007470079</v>
      </c>
      <c r="F585" s="365">
        <f t="shared" si="217"/>
        <v>0.9600277847347648</v>
      </c>
      <c r="G585" s="364">
        <f t="shared" si="218"/>
        <v>2.7768480588661024</v>
      </c>
      <c r="H585" s="365">
        <f t="shared" si="219"/>
        <v>-1.2023992360591929</v>
      </c>
      <c r="I585" s="363">
        <f t="shared" si="220"/>
        <v>476291.11834861047</v>
      </c>
      <c r="J585" s="366">
        <f t="shared" si="221"/>
        <v>1.5707942272386348</v>
      </c>
      <c r="K585" s="374">
        <f t="shared" si="237"/>
        <v>143.79996829488593</v>
      </c>
      <c r="L585" s="375">
        <f t="shared" si="238"/>
        <v>1.5638421662901263</v>
      </c>
      <c r="M585" s="363">
        <f t="shared" si="222"/>
        <v>5.4319007154252255</v>
      </c>
      <c r="N585" s="366">
        <f t="shared" si="223"/>
        <v>1.3856426140902001</v>
      </c>
      <c r="O585" s="367">
        <f t="shared" si="224"/>
        <v>2.0166534479239013</v>
      </c>
      <c r="P585" s="368">
        <f t="shared" si="225"/>
        <v>1.4932399799887719</v>
      </c>
      <c r="Q585" s="369">
        <f t="shared" si="226"/>
        <v>-34.681313364808169</v>
      </c>
      <c r="R585" s="370">
        <f t="shared" si="227"/>
        <v>-268.8785701057509</v>
      </c>
      <c r="S585" s="372">
        <f t="shared" si="228"/>
        <v>-88.878570105750896</v>
      </c>
      <c r="U585" s="345">
        <f t="shared" si="234"/>
        <v>114820</v>
      </c>
      <c r="V585" s="345">
        <f t="shared" si="235"/>
        <v>13183632400</v>
      </c>
      <c r="X585" s="371">
        <f t="shared" si="229"/>
        <v>2.9953640111435123</v>
      </c>
      <c r="Y585" s="372">
        <f t="shared" si="230"/>
        <v>-79.789797543283512</v>
      </c>
      <c r="AA585" s="371">
        <f t="shared" si="231"/>
        <v>22.88389709605319</v>
      </c>
      <c r="AB585" s="372">
        <f t="shared" si="232"/>
        <v>-189.08877256246743</v>
      </c>
      <c r="AD585">
        <f t="shared" si="236"/>
        <v>0</v>
      </c>
      <c r="AE585">
        <f t="shared" si="239"/>
        <v>0</v>
      </c>
    </row>
    <row r="586" spans="1:31" x14ac:dyDescent="0.2">
      <c r="A586" s="373">
        <v>116155</v>
      </c>
      <c r="B586" s="390">
        <f t="shared" si="233"/>
        <v>116.155</v>
      </c>
      <c r="C586" s="363">
        <f t="shared" si="214"/>
        <v>163.53317261291394</v>
      </c>
      <c r="D586" s="364">
        <f t="shared" si="215"/>
        <v>1.564681321403242</v>
      </c>
      <c r="E586" s="364">
        <f t="shared" si="216"/>
        <v>1.7573190934855145</v>
      </c>
      <c r="F586" s="365">
        <f t="shared" si="217"/>
        <v>0.96544790774760736</v>
      </c>
      <c r="G586" s="364">
        <f t="shared" si="218"/>
        <v>2.8049680666316972</v>
      </c>
      <c r="H586" s="365">
        <f t="shared" si="219"/>
        <v>-1.2062662404933591</v>
      </c>
      <c r="I586" s="363">
        <f t="shared" si="220"/>
        <v>481828.9048230279</v>
      </c>
      <c r="J586" s="366">
        <f t="shared" si="221"/>
        <v>1.5707942513693878</v>
      </c>
      <c r="K586" s="374">
        <f t="shared" si="237"/>
        <v>145.47183493216036</v>
      </c>
      <c r="L586" s="375">
        <f t="shared" si="238"/>
        <v>1.5639220897553654</v>
      </c>
      <c r="M586" s="363">
        <f t="shared" si="222"/>
        <v>5.4929282554470156</v>
      </c>
      <c r="N586" s="366">
        <f t="shared" si="223"/>
        <v>1.3877231392105356</v>
      </c>
      <c r="O586" s="367">
        <f t="shared" si="224"/>
        <v>2.0385443460195294</v>
      </c>
      <c r="P586" s="368">
        <f t="shared" si="225"/>
        <v>1.5037802426124949</v>
      </c>
      <c r="Q586" s="369">
        <f t="shared" si="226"/>
        <v>-34.817386515518557</v>
      </c>
      <c r="R586" s="370">
        <f t="shared" si="227"/>
        <v>-269.51219648590927</v>
      </c>
      <c r="S586" s="372">
        <f t="shared" si="228"/>
        <v>-89.512196485909271</v>
      </c>
      <c r="U586" s="345">
        <f t="shared" si="234"/>
        <v>116155</v>
      </c>
      <c r="V586" s="345">
        <f t="shared" si="235"/>
        <v>13491984025</v>
      </c>
      <c r="X586" s="371">
        <f t="shared" si="229"/>
        <v>2.8983171444033622</v>
      </c>
      <c r="Y586" s="372">
        <f t="shared" si="230"/>
        <v>-79.904424957328715</v>
      </c>
      <c r="AA586" s="371">
        <f t="shared" si="231"/>
        <v>22.844870812082952</v>
      </c>
      <c r="AB586" s="372">
        <f t="shared" si="232"/>
        <v>-189.60777152858054</v>
      </c>
      <c r="AD586">
        <f t="shared" si="236"/>
        <v>0</v>
      </c>
      <c r="AE586">
        <f t="shared" si="239"/>
        <v>0</v>
      </c>
    </row>
    <row r="587" spans="1:31" x14ac:dyDescent="0.2">
      <c r="A587" s="373">
        <v>117490</v>
      </c>
      <c r="B587" s="390">
        <f t="shared" si="233"/>
        <v>117.49</v>
      </c>
      <c r="C587" s="363">
        <f t="shared" si="214"/>
        <v>165.41263254433895</v>
      </c>
      <c r="D587" s="364">
        <f t="shared" si="215"/>
        <v>1.5647508024837353</v>
      </c>
      <c r="E587" s="364">
        <f t="shared" si="216"/>
        <v>1.7710014166622765</v>
      </c>
      <c r="F587" s="365">
        <f t="shared" si="217"/>
        <v>0.97078443644075996</v>
      </c>
      <c r="G587" s="364">
        <f t="shared" si="218"/>
        <v>2.8331291861138337</v>
      </c>
      <c r="H587" s="365">
        <f t="shared" si="219"/>
        <v>-1.2100564251261456</v>
      </c>
      <c r="I587" s="363">
        <f t="shared" si="220"/>
        <v>487366.69129744556</v>
      </c>
      <c r="J587" s="366">
        <f t="shared" si="221"/>
        <v>1.5707942749517612</v>
      </c>
      <c r="K587" s="374">
        <f t="shared" si="237"/>
        <v>147.14370247755772</v>
      </c>
      <c r="L587" s="375">
        <f t="shared" si="238"/>
        <v>1.5640001970176765</v>
      </c>
      <c r="M587" s="363">
        <f t="shared" si="222"/>
        <v>5.5539790494969061</v>
      </c>
      <c r="N587" s="366">
        <f t="shared" si="223"/>
        <v>1.3897579336226895</v>
      </c>
      <c r="O587" s="367">
        <f t="shared" si="224"/>
        <v>2.0606439788585873</v>
      </c>
      <c r="P587" s="368">
        <f t="shared" si="225"/>
        <v>1.5142059471576803</v>
      </c>
      <c r="Q587" s="369">
        <f t="shared" si="226"/>
        <v>-34.952174855344566</v>
      </c>
      <c r="R587" s="370">
        <f t="shared" si="227"/>
        <v>-270.13703860653089</v>
      </c>
      <c r="S587" s="372">
        <f t="shared" si="228"/>
        <v>-90.137038606530894</v>
      </c>
      <c r="U587" s="345">
        <f t="shared" si="234"/>
        <v>117490</v>
      </c>
      <c r="V587" s="345">
        <f t="shared" si="235"/>
        <v>13803900100</v>
      </c>
      <c r="X587" s="371">
        <f t="shared" si="229"/>
        <v>2.8023062958810523</v>
      </c>
      <c r="Y587" s="372">
        <f t="shared" si="230"/>
        <v>-80.016536224140765</v>
      </c>
      <c r="AA587" s="371">
        <f t="shared" si="231"/>
        <v>22.806093320779258</v>
      </c>
      <c r="AB587" s="372">
        <f t="shared" si="232"/>
        <v>-190.12050238239007</v>
      </c>
      <c r="AD587">
        <f t="shared" si="236"/>
        <v>0</v>
      </c>
      <c r="AE587">
        <f t="shared" si="239"/>
        <v>0</v>
      </c>
    </row>
    <row r="588" spans="1:31" x14ac:dyDescent="0.2">
      <c r="A588" s="373">
        <v>118860</v>
      </c>
      <c r="B588" s="390">
        <f t="shared" si="233"/>
        <v>118.86</v>
      </c>
      <c r="C588" s="363">
        <f t="shared" si="214"/>
        <v>167.34136751750984</v>
      </c>
      <c r="D588" s="364">
        <f t="shared" si="215"/>
        <v>1.5648204825273042</v>
      </c>
      <c r="E588" s="364">
        <f t="shared" si="216"/>
        <v>1.7850940734638765</v>
      </c>
      <c r="F588" s="365">
        <f t="shared" si="217"/>
        <v>0.97617566460772598</v>
      </c>
      <c r="G588" s="364">
        <f t="shared" si="218"/>
        <v>2.8620700819721607</v>
      </c>
      <c r="H588" s="365">
        <f t="shared" si="219"/>
        <v>-1.213868376371074</v>
      </c>
      <c r="I588" s="363">
        <f t="shared" si="220"/>
        <v>493049.66318505054</v>
      </c>
      <c r="J588" s="366">
        <f t="shared" si="221"/>
        <v>1.5707942986016441</v>
      </c>
      <c r="K588" s="374">
        <f t="shared" si="237"/>
        <v>148.85940266841303</v>
      </c>
      <c r="L588" s="375">
        <f t="shared" si="238"/>
        <v>1.5640785279620117</v>
      </c>
      <c r="M588" s="363">
        <f t="shared" si="222"/>
        <v>5.6166538074079435</v>
      </c>
      <c r="N588" s="366">
        <f t="shared" si="223"/>
        <v>1.3918000764361855</v>
      </c>
      <c r="O588" s="367">
        <f t="shared" si="224"/>
        <v>2.083539928974862</v>
      </c>
      <c r="P588" s="368">
        <f t="shared" si="225"/>
        <v>1.5247875892007559</v>
      </c>
      <c r="Q588" s="369">
        <f t="shared" si="226"/>
        <v>-35.089196195753736</v>
      </c>
      <c r="R588" s="370">
        <f t="shared" si="227"/>
        <v>-270.76934799363642</v>
      </c>
      <c r="S588" s="372">
        <f t="shared" si="228"/>
        <v>-90.769347993636416</v>
      </c>
      <c r="U588" s="345">
        <f t="shared" si="234"/>
        <v>118860</v>
      </c>
      <c r="V588" s="345">
        <f t="shared" si="235"/>
        <v>14127699600</v>
      </c>
      <c r="X588" s="371">
        <f t="shared" si="229"/>
        <v>2.7048333187807794</v>
      </c>
      <c r="Y588" s="372">
        <f t="shared" si="230"/>
        <v>-80.129055711168391</v>
      </c>
      <c r="AA588" s="371">
        <f t="shared" si="231"/>
        <v>22.766544957470352</v>
      </c>
      <c r="AB588" s="372">
        <f t="shared" si="232"/>
        <v>-190.64029228246804</v>
      </c>
      <c r="AD588">
        <f t="shared" si="236"/>
        <v>0</v>
      </c>
      <c r="AE588">
        <f t="shared" si="239"/>
        <v>0</v>
      </c>
    </row>
    <row r="589" spans="1:31" x14ac:dyDescent="0.2">
      <c r="A589" s="373">
        <v>120230</v>
      </c>
      <c r="B589" s="390">
        <f t="shared" si="233"/>
        <v>120.23</v>
      </c>
      <c r="C589" s="363">
        <f t="shared" ref="C589:C613" si="240">SQRT(1+(A589/pole1)^2)</f>
        <v>169.27010328465886</v>
      </c>
      <c r="D589" s="364">
        <f t="shared" ref="D589:D613" si="241">ATAN(A589/pole1)</f>
        <v>1.564888574642914</v>
      </c>
      <c r="E589" s="364">
        <f t="shared" ref="E589:E613" si="242">SQRT(1+(A589/Zero1)^2)</f>
        <v>1.7992378009861618</v>
      </c>
      <c r="F589" s="365">
        <f t="shared" ref="F589:F613" si="243">ATAN(A589/Zero1)</f>
        <v>0.98148228459740894</v>
      </c>
      <c r="G589" s="364">
        <f t="shared" ref="G589:G613" si="244">IF(VIN_nom&gt;Vout, 1, SQRT(1+(A589/z_RHP)^2))</f>
        <v>2.8910517334959578</v>
      </c>
      <c r="H589" s="365">
        <f t="shared" ref="H589:H613" si="245">IF(VIN_nom&gt;Vout, 0, -ATAN(A589/z_RHP))</f>
        <v>-1.217603954384215</v>
      </c>
      <c r="I589" s="363">
        <f t="shared" ref="I589:I613" si="246">SQRT(1+(A589/Pole2)^2)</f>
        <v>498732.63507265568</v>
      </c>
      <c r="J589" s="366">
        <f t="shared" ref="J589:J613" si="247">ATAN(A589/Pole2)</f>
        <v>1.5707943217125546</v>
      </c>
      <c r="K589" s="374">
        <f t="shared" si="237"/>
        <v>150.57510375181616</v>
      </c>
      <c r="L589" s="375">
        <f t="shared" si="238"/>
        <v>1.5641550738509427</v>
      </c>
      <c r="M589" s="363">
        <f t="shared" ref="M589:M613" si="248">SQRT(1+(A589/pole4)^2)</f>
        <v>5.679351471679559</v>
      </c>
      <c r="N589" s="366">
        <f t="shared" ref="N589:N613" si="249">ATAN(A589/pole4)</f>
        <v>1.3937971386209409</v>
      </c>
      <c r="O589" s="367">
        <f t="shared" ref="O589:O613" si="250">SQRT((1-(V589/pterm2))^2+(A589/pterm1)^2)</f>
        <v>2.1066555381604499</v>
      </c>
      <c r="P589" s="368">
        <f t="shared" ref="P589:P613" si="251">IF((ATAN((A589/pterm1)/(1-A589^2/pterm2))&gt;0),ATAN((A589/pterm1)/(1-A589^2/pterm2)),PI()+ATAN((A589/pterm1)/(1-A589^2/pterm2)))</f>
        <v>1.5352520343605469</v>
      </c>
      <c r="Q589" s="369">
        <f t="shared" ref="Q589:Q613" si="252">20*LOG10(((E589*K589*G589)/(C589*I589*O589*M589))*Adc)</f>
        <v>-35.22493422185314</v>
      </c>
      <c r="R589" s="370">
        <f t="shared" ref="R589:R613" si="253">((F589+L589+H589)-(D589+J589+P589+N589))*radconv</f>
        <v>-271.39284265549429</v>
      </c>
      <c r="S589" s="372">
        <f t="shared" ref="S589:S613" si="254">IF(R589&gt;0,R589,R589+180)</f>
        <v>-91.392842655494292</v>
      </c>
      <c r="U589" s="345">
        <f t="shared" si="234"/>
        <v>120230</v>
      </c>
      <c r="V589" s="345">
        <f t="shared" si="235"/>
        <v>14455252900</v>
      </c>
      <c r="X589" s="371">
        <f t="shared" ref="X589:X613" si="255">20*LOG10((K589/(I589*M589))*AEA)</f>
        <v>2.6084070769944208</v>
      </c>
      <c r="Y589" s="372">
        <f t="shared" ref="Y589:Y613" si="256">(L589-(J589+N589))*radconv</f>
        <v>-80.239094513688599</v>
      </c>
      <c r="AA589" s="371">
        <f t="shared" ref="AA589:AA613" si="257">20*LOG10((E589*G589/(C589*O589))*Acs*Am)</f>
        <v>22.727233173157316</v>
      </c>
      <c r="AB589" s="372">
        <f t="shared" ref="AB589:AB613" si="258">(F589+H589-(D589+P589))*radconv</f>
        <v>-191.15374814180572</v>
      </c>
      <c r="AD589">
        <f t="shared" si="236"/>
        <v>0</v>
      </c>
      <c r="AE589">
        <f t="shared" si="239"/>
        <v>0</v>
      </c>
    </row>
    <row r="590" spans="1:31" x14ac:dyDescent="0.2">
      <c r="A590" s="373">
        <v>126030</v>
      </c>
      <c r="B590" s="390">
        <f t="shared" ref="B590:B613" si="259">A590/1000</f>
        <v>126.03</v>
      </c>
      <c r="C590" s="363">
        <f t="shared" si="240"/>
        <v>177.43556217767477</v>
      </c>
      <c r="D590" s="364">
        <f t="shared" si="241"/>
        <v>1.5651604481604156</v>
      </c>
      <c r="E590" s="364">
        <f t="shared" si="242"/>
        <v>1.8596552343161474</v>
      </c>
      <c r="F590" s="365">
        <f t="shared" si="243"/>
        <v>1.0030490848280751</v>
      </c>
      <c r="G590" s="364">
        <f t="shared" si="244"/>
        <v>3.0141721905207697</v>
      </c>
      <c r="H590" s="365">
        <f t="shared" si="245"/>
        <v>-1.2326212854797998</v>
      </c>
      <c r="I590" s="363">
        <f t="shared" si="246"/>
        <v>522791.93211507477</v>
      </c>
      <c r="J590" s="366">
        <f t="shared" si="247"/>
        <v>1.5707944139880254</v>
      </c>
      <c r="K590" s="374">
        <f t="shared" si="237"/>
        <v>157.83866500172311</v>
      </c>
      <c r="L590" s="375">
        <f t="shared" si="238"/>
        <v>1.5644607011733433</v>
      </c>
      <c r="M590" s="363">
        <f t="shared" si="248"/>
        <v>5.9450239162607179</v>
      </c>
      <c r="N590" s="366">
        <f t="shared" si="249"/>
        <v>1.4017849425200726</v>
      </c>
      <c r="O590" s="367">
        <f t="shared" si="250"/>
        <v>2.2069496557241841</v>
      </c>
      <c r="P590" s="368">
        <f t="shared" si="251"/>
        <v>1.5782944827307861</v>
      </c>
      <c r="Q590" s="369">
        <f t="shared" si="252"/>
        <v>-35.786113424885365</v>
      </c>
      <c r="R590" s="370">
        <f t="shared" si="253"/>
        <v>-273.93947513786759</v>
      </c>
      <c r="S590" s="372">
        <f t="shared" si="254"/>
        <v>-93.939475137867589</v>
      </c>
      <c r="U590" s="345">
        <f t="shared" ref="U590:U613" si="260">IF(Q590&lt;0,A590,1000000000)</f>
        <v>126030</v>
      </c>
      <c r="V590" s="345">
        <f t="shared" ref="V590:V613" si="261">A590^2</f>
        <v>15883560900</v>
      </c>
      <c r="X590" s="371">
        <f t="shared" si="255"/>
        <v>2.2112926548359066</v>
      </c>
      <c r="Y590" s="372">
        <f t="shared" si="256"/>
        <v>-80.679256096507558</v>
      </c>
      <c r="AA590" s="371">
        <f t="shared" si="257"/>
        <v>22.563168392283597</v>
      </c>
      <c r="AB590" s="372">
        <f t="shared" si="258"/>
        <v>-193.26021904136002</v>
      </c>
      <c r="AD590">
        <f t="shared" ref="AD590:AD613" si="262">SUM((Q591&lt;0)*(Q590&gt;0))*A590</f>
        <v>0</v>
      </c>
      <c r="AE590">
        <f t="shared" si="239"/>
        <v>0</v>
      </c>
    </row>
    <row r="591" spans="1:31" x14ac:dyDescent="0.2">
      <c r="A591" s="373">
        <v>131830</v>
      </c>
      <c r="B591" s="390">
        <f t="shared" si="259"/>
        <v>131.83000000000001</v>
      </c>
      <c r="C591" s="363">
        <f t="shared" si="240"/>
        <v>185.60103303187992</v>
      </c>
      <c r="D591" s="364">
        <f t="shared" si="241"/>
        <v>1.5654083996806238</v>
      </c>
      <c r="E591" s="364">
        <f t="shared" si="242"/>
        <v>1.9208830058261015</v>
      </c>
      <c r="F591" s="365">
        <f t="shared" si="243"/>
        <v>1.0232499159634783</v>
      </c>
      <c r="G591" s="364">
        <f t="shared" si="244"/>
        <v>3.137918977079778</v>
      </c>
      <c r="H591" s="365">
        <f t="shared" si="245"/>
        <v>-1.2464570902698067</v>
      </c>
      <c r="I591" s="363">
        <f t="shared" si="246"/>
        <v>546851.22915749787</v>
      </c>
      <c r="J591" s="366">
        <f t="shared" si="247"/>
        <v>1.5707944981439828</v>
      </c>
      <c r="K591" s="374">
        <f t="shared" si="237"/>
        <v>165.1022396977807</v>
      </c>
      <c r="L591" s="375">
        <f t="shared" si="238"/>
        <v>1.5647394367358871</v>
      </c>
      <c r="M591" s="363">
        <f t="shared" si="248"/>
        <v>6.2110432193944405</v>
      </c>
      <c r="N591" s="366">
        <f t="shared" si="249"/>
        <v>1.40908894366222</v>
      </c>
      <c r="O591" s="367">
        <f t="shared" si="250"/>
        <v>2.3111785848212514</v>
      </c>
      <c r="P591" s="368">
        <f t="shared" si="251"/>
        <v>1.6193904624002129</v>
      </c>
      <c r="Q591" s="369">
        <f t="shared" si="252"/>
        <v>-36.327120454367389</v>
      </c>
      <c r="R591" s="370">
        <f t="shared" si="253"/>
        <v>-276.34614164963318</v>
      </c>
      <c r="S591" s="372">
        <f t="shared" si="254"/>
        <v>-96.346141649633182</v>
      </c>
      <c r="U591" s="345">
        <f t="shared" si="260"/>
        <v>131830</v>
      </c>
      <c r="V591" s="345">
        <f t="shared" si="261"/>
        <v>17379148900</v>
      </c>
      <c r="X591" s="371">
        <f t="shared" si="255"/>
        <v>1.8310587490840597</v>
      </c>
      <c r="Y591" s="372">
        <f t="shared" si="256"/>
        <v>-81.081778986418499</v>
      </c>
      <c r="AA591" s="371">
        <f t="shared" si="257"/>
        <v>22.402395268553423</v>
      </c>
      <c r="AB591" s="372">
        <f t="shared" si="258"/>
        <v>-195.26436266321468</v>
      </c>
      <c r="AD591">
        <f t="shared" si="262"/>
        <v>0</v>
      </c>
      <c r="AE591">
        <f t="shared" si="239"/>
        <v>0</v>
      </c>
    </row>
    <row r="592" spans="1:31" x14ac:dyDescent="0.2">
      <c r="A592" s="373">
        <v>144540</v>
      </c>
      <c r="B592" s="390">
        <f t="shared" si="259"/>
        <v>144.54</v>
      </c>
      <c r="C592" s="363">
        <f t="shared" si="240"/>
        <v>203.49471171205587</v>
      </c>
      <c r="D592" s="364">
        <f t="shared" si="241"/>
        <v>1.5658821744004012</v>
      </c>
      <c r="E592" s="364">
        <f t="shared" si="242"/>
        <v>2.0575350546886333</v>
      </c>
      <c r="F592" s="365">
        <f t="shared" si="243"/>
        <v>1.0632681919608162</v>
      </c>
      <c r="G592" s="364">
        <f t="shared" si="244"/>
        <v>3.41095173335489</v>
      </c>
      <c r="H592" s="365">
        <f t="shared" si="245"/>
        <v>-1.273252017432791</v>
      </c>
      <c r="I592" s="363">
        <f t="shared" si="246"/>
        <v>599574.27491771616</v>
      </c>
      <c r="J592" s="366">
        <f t="shared" si="247"/>
        <v>1.5707946589448205</v>
      </c>
      <c r="K592" s="374">
        <f t="shared" si="237"/>
        <v>181.01952611621837</v>
      </c>
      <c r="L592" s="375">
        <f t="shared" si="238"/>
        <v>1.5652720327710565</v>
      </c>
      <c r="M592" s="363">
        <f t="shared" si="248"/>
        <v>6.7950062027367473</v>
      </c>
      <c r="N592" s="366">
        <f t="shared" si="249"/>
        <v>1.4230929555799081</v>
      </c>
      <c r="O592" s="367">
        <f t="shared" si="250"/>
        <v>2.5533596881885936</v>
      </c>
      <c r="P592" s="368">
        <f t="shared" si="251"/>
        <v>1.7031955182409149</v>
      </c>
      <c r="Q592" s="369">
        <f t="shared" si="252"/>
        <v>-37.451074450254708</v>
      </c>
      <c r="R592" s="370">
        <f t="shared" si="253"/>
        <v>-281.18918535668627</v>
      </c>
      <c r="S592" s="372">
        <f t="shared" si="254"/>
        <v>-101.18918535668627</v>
      </c>
      <c r="U592" s="345">
        <f t="shared" si="260"/>
        <v>144540</v>
      </c>
      <c r="V592" s="345">
        <f t="shared" si="261"/>
        <v>20891811600</v>
      </c>
      <c r="X592" s="371">
        <f t="shared" si="255"/>
        <v>1.0505258365949617</v>
      </c>
      <c r="Y592" s="372">
        <f t="shared" si="256"/>
        <v>-81.853643474643661</v>
      </c>
      <c r="AA592" s="371">
        <f t="shared" si="257"/>
        <v>22.058974185155201</v>
      </c>
      <c r="AB592" s="372">
        <f t="shared" si="258"/>
        <v>-199.33554188204261</v>
      </c>
      <c r="AD592">
        <f t="shared" si="262"/>
        <v>0</v>
      </c>
      <c r="AE592">
        <f t="shared" si="239"/>
        <v>0</v>
      </c>
    </row>
    <row r="593" spans="1:31" x14ac:dyDescent="0.2">
      <c r="A593" s="373">
        <v>158490</v>
      </c>
      <c r="B593" s="390">
        <f t="shared" si="259"/>
        <v>158.49</v>
      </c>
      <c r="C593" s="363">
        <f t="shared" si="240"/>
        <v>223.13415887605237</v>
      </c>
      <c r="D593" s="364">
        <f t="shared" si="241"/>
        <v>1.5663147030375264</v>
      </c>
      <c r="E593" s="364">
        <f t="shared" si="242"/>
        <v>2.2108165616141262</v>
      </c>
      <c r="F593" s="365">
        <f t="shared" si="243"/>
        <v>1.1014296297121642</v>
      </c>
      <c r="G593" s="364">
        <f t="shared" si="244"/>
        <v>3.7130048293101181</v>
      </c>
      <c r="H593" s="365">
        <f t="shared" si="245"/>
        <v>-1.2981056682139689</v>
      </c>
      <c r="I593" s="363">
        <f t="shared" si="246"/>
        <v>657441.03245943401</v>
      </c>
      <c r="J593" s="366">
        <f t="shared" si="247"/>
        <v>1.5707948057459347</v>
      </c>
      <c r="K593" s="374">
        <f t="shared" si="237"/>
        <v>198.48976769094924</v>
      </c>
      <c r="L593" s="375">
        <f t="shared" si="238"/>
        <v>1.5657582624050066</v>
      </c>
      <c r="M593" s="363">
        <f t="shared" si="248"/>
        <v>7.4372223113655336</v>
      </c>
      <c r="N593" s="366">
        <f t="shared" si="249"/>
        <v>1.4359290424480904</v>
      </c>
      <c r="O593" s="367">
        <f t="shared" si="250"/>
        <v>2.8410262355312228</v>
      </c>
      <c r="P593" s="368">
        <f t="shared" si="251"/>
        <v>1.7863351526299642</v>
      </c>
      <c r="Q593" s="369">
        <f t="shared" si="252"/>
        <v>-38.601930332789351</v>
      </c>
      <c r="R593" s="370">
        <f t="shared" si="253"/>
        <v>-285.92264066841904</v>
      </c>
      <c r="S593" s="372">
        <f t="shared" si="254"/>
        <v>-105.92264066841904</v>
      </c>
      <c r="U593" s="345">
        <f t="shared" si="260"/>
        <v>158490</v>
      </c>
      <c r="V593" s="345">
        <f t="shared" si="261"/>
        <v>25119080100</v>
      </c>
      <c r="X593" s="371">
        <f t="shared" si="255"/>
        <v>0.26608541256033091</v>
      </c>
      <c r="Y593" s="372">
        <f t="shared" si="256"/>
        <v>-82.56124658364709</v>
      </c>
      <c r="AA593" s="371">
        <f t="shared" si="257"/>
        <v>21.692558726655186</v>
      </c>
      <c r="AB593" s="372">
        <f t="shared" si="258"/>
        <v>-203.36139408477197</v>
      </c>
      <c r="AD593">
        <f t="shared" si="262"/>
        <v>0</v>
      </c>
      <c r="AE593">
        <f t="shared" si="239"/>
        <v>0</v>
      </c>
    </row>
    <row r="594" spans="1:31" x14ac:dyDescent="0.2">
      <c r="A594" s="373">
        <v>173780</v>
      </c>
      <c r="B594" s="390">
        <f t="shared" si="259"/>
        <v>173.78</v>
      </c>
      <c r="C594" s="363">
        <f t="shared" si="240"/>
        <v>244.66015912772912</v>
      </c>
      <c r="D594" s="364">
        <f t="shared" si="241"/>
        <v>1.5667090132415742</v>
      </c>
      <c r="E594" s="364">
        <f t="shared" si="242"/>
        <v>2.3820181983639976</v>
      </c>
      <c r="F594" s="365">
        <f t="shared" si="243"/>
        <v>1.1375580723709842</v>
      </c>
      <c r="G594" s="364">
        <f t="shared" si="244"/>
        <v>4.046293747653503</v>
      </c>
      <c r="H594" s="365">
        <f t="shared" si="245"/>
        <v>-1.3210690101532048</v>
      </c>
      <c r="I594" s="363">
        <f t="shared" si="246"/>
        <v>720866.3172489003</v>
      </c>
      <c r="J594" s="366">
        <f t="shared" si="247"/>
        <v>1.5707949395751362</v>
      </c>
      <c r="K594" s="374">
        <f t="shared" si="237"/>
        <v>217.63819916956678</v>
      </c>
      <c r="L594" s="375">
        <f t="shared" si="238"/>
        <v>1.5662015289950673</v>
      </c>
      <c r="M594" s="363">
        <f t="shared" si="248"/>
        <v>8.14230275961574</v>
      </c>
      <c r="N594" s="366">
        <f t="shared" si="249"/>
        <v>1.4476700829941129</v>
      </c>
      <c r="O594" s="367">
        <f t="shared" si="250"/>
        <v>3.1827785863648685</v>
      </c>
      <c r="P594" s="368">
        <f t="shared" si="251"/>
        <v>1.8682294074795318</v>
      </c>
      <c r="Q594" s="369">
        <f t="shared" si="252"/>
        <v>-39.780760892945047</v>
      </c>
      <c r="R594" s="370">
        <f t="shared" si="253"/>
        <v>-290.53044587876514</v>
      </c>
      <c r="S594" s="372">
        <f t="shared" si="254"/>
        <v>-110.53044587876514</v>
      </c>
      <c r="U594" s="345">
        <f t="shared" si="260"/>
        <v>173780</v>
      </c>
      <c r="V594" s="345">
        <f t="shared" si="261"/>
        <v>30199488400</v>
      </c>
      <c r="X594" s="371">
        <f t="shared" si="255"/>
        <v>-0.52066280079584581</v>
      </c>
      <c r="Y594" s="372">
        <f t="shared" si="256"/>
        <v>-83.208569017804621</v>
      </c>
      <c r="AA594" s="371">
        <f t="shared" si="257"/>
        <v>21.300476379855674</v>
      </c>
      <c r="AB594" s="372">
        <f t="shared" si="258"/>
        <v>-207.32187686096054</v>
      </c>
      <c r="AD594">
        <f t="shared" si="262"/>
        <v>0</v>
      </c>
      <c r="AE594">
        <f t="shared" si="239"/>
        <v>0</v>
      </c>
    </row>
    <row r="595" spans="1:31" x14ac:dyDescent="0.2">
      <c r="A595" s="373">
        <v>190550</v>
      </c>
      <c r="B595" s="390">
        <f t="shared" si="259"/>
        <v>190.55</v>
      </c>
      <c r="C595" s="363">
        <f t="shared" si="240"/>
        <v>268.26981122057538</v>
      </c>
      <c r="D595" s="364">
        <f t="shared" si="241"/>
        <v>1.5670687276614477</v>
      </c>
      <c r="E595" s="364">
        <f t="shared" si="242"/>
        <v>2.5728649175948579</v>
      </c>
      <c r="F595" s="365">
        <f t="shared" si="243"/>
        <v>1.1716067286607472</v>
      </c>
      <c r="G595" s="364">
        <f t="shared" si="244"/>
        <v>4.4139077217393252</v>
      </c>
      <c r="H595" s="365">
        <f t="shared" si="245"/>
        <v>-1.3422554144667642</v>
      </c>
      <c r="I595" s="363">
        <f t="shared" si="246"/>
        <v>790430.87093886361</v>
      </c>
      <c r="J595" s="366">
        <f t="shared" si="247"/>
        <v>1.5707950616621231</v>
      </c>
      <c r="K595" s="374">
        <f t="shared" si="237"/>
        <v>238.64014954499095</v>
      </c>
      <c r="L595" s="375">
        <f t="shared" si="238"/>
        <v>1.5666059048205612</v>
      </c>
      <c r="M595" s="363">
        <f t="shared" si="248"/>
        <v>8.9167082381186908</v>
      </c>
      <c r="N595" s="366">
        <f t="shared" si="249"/>
        <v>1.4584108858276859</v>
      </c>
      <c r="O595" s="367">
        <f t="shared" si="250"/>
        <v>3.5896938938995642</v>
      </c>
      <c r="P595" s="368">
        <f t="shared" si="251"/>
        <v>1.9484889125193661</v>
      </c>
      <c r="Q595" s="369">
        <f t="shared" si="252"/>
        <v>-40.990358251739032</v>
      </c>
      <c r="R595" s="370">
        <f t="shared" si="253"/>
        <v>-295.00487479116492</v>
      </c>
      <c r="S595" s="372">
        <f t="shared" si="254"/>
        <v>-115.00487479116492</v>
      </c>
      <c r="U595" s="345">
        <f t="shared" si="260"/>
        <v>190550</v>
      </c>
      <c r="V595" s="345">
        <f t="shared" si="261"/>
        <v>36309302500</v>
      </c>
      <c r="X595" s="371">
        <f t="shared" si="255"/>
        <v>-1.309824418543176</v>
      </c>
      <c r="Y595" s="372">
        <f t="shared" si="256"/>
        <v>-83.800809656358396</v>
      </c>
      <c r="AA595" s="371">
        <f t="shared" si="257"/>
        <v>20.880040638809021</v>
      </c>
      <c r="AB595" s="372">
        <f t="shared" si="258"/>
        <v>-211.20406513480654</v>
      </c>
      <c r="AD595">
        <f t="shared" si="262"/>
        <v>0</v>
      </c>
      <c r="AE595">
        <f t="shared" si="239"/>
        <v>0</v>
      </c>
    </row>
    <row r="596" spans="1:31" x14ac:dyDescent="0.2">
      <c r="A596" s="373">
        <v>208930</v>
      </c>
      <c r="B596" s="390">
        <f t="shared" si="259"/>
        <v>208.93</v>
      </c>
      <c r="C596" s="363">
        <f t="shared" si="240"/>
        <v>294.14613570602251</v>
      </c>
      <c r="D596" s="364">
        <f t="shared" si="241"/>
        <v>1.5673966495429645</v>
      </c>
      <c r="E596" s="364">
        <f t="shared" si="242"/>
        <v>2.7849654248167206</v>
      </c>
      <c r="F596" s="365">
        <f t="shared" si="243"/>
        <v>1.203524129085416</v>
      </c>
      <c r="G596" s="364">
        <f t="shared" si="244"/>
        <v>4.8187255973514809</v>
      </c>
      <c r="H596" s="365">
        <f t="shared" si="245"/>
        <v>-1.3617534088082139</v>
      </c>
      <c r="I596" s="363">
        <f t="shared" si="246"/>
        <v>866673.95363544766</v>
      </c>
      <c r="J596" s="366">
        <f t="shared" si="247"/>
        <v>1.5707951729584442</v>
      </c>
      <c r="K596" s="374">
        <f t="shared" si="237"/>
        <v>261.65842462577706</v>
      </c>
      <c r="L596" s="375">
        <f t="shared" si="238"/>
        <v>1.5669745410611662</v>
      </c>
      <c r="M596" s="363">
        <f t="shared" si="248"/>
        <v>9.7664454388154809</v>
      </c>
      <c r="N596" s="366">
        <f t="shared" si="249"/>
        <v>1.4682251677469895</v>
      </c>
      <c r="O596" s="367">
        <f t="shared" si="250"/>
        <v>4.0745885674191697</v>
      </c>
      <c r="P596" s="368">
        <f t="shared" si="251"/>
        <v>2.0266389915197958</v>
      </c>
      <c r="Q596" s="369">
        <f t="shared" si="252"/>
        <v>-42.231128921964157</v>
      </c>
      <c r="R596" s="370">
        <f t="shared" si="253"/>
        <v>-299.33095548761503</v>
      </c>
      <c r="S596" s="372">
        <f t="shared" si="254"/>
        <v>-119.33095548761503</v>
      </c>
      <c r="U596" s="345">
        <f t="shared" si="260"/>
        <v>208930</v>
      </c>
      <c r="V596" s="345">
        <f t="shared" si="261"/>
        <v>43651744900</v>
      </c>
      <c r="X596" s="371">
        <f t="shared" si="255"/>
        <v>-2.1004766813446683</v>
      </c>
      <c r="Y596" s="372">
        <f t="shared" si="256"/>
        <v>-84.342011665951688</v>
      </c>
      <c r="AA596" s="371">
        <f t="shared" si="257"/>
        <v>20.429922231385383</v>
      </c>
      <c r="AB596" s="372">
        <f t="shared" si="258"/>
        <v>-214.98894382166333</v>
      </c>
      <c r="AD596">
        <f t="shared" si="262"/>
        <v>0</v>
      </c>
      <c r="AE596">
        <f t="shared" si="239"/>
        <v>0</v>
      </c>
    </row>
    <row r="597" spans="1:31" x14ac:dyDescent="0.2">
      <c r="A597" s="373">
        <v>229090</v>
      </c>
      <c r="B597" s="390">
        <f t="shared" si="259"/>
        <v>229.09</v>
      </c>
      <c r="C597" s="363">
        <f t="shared" si="240"/>
        <v>322.52846746353009</v>
      </c>
      <c r="D597" s="364">
        <f t="shared" si="241"/>
        <v>1.5676958203185034</v>
      </c>
      <c r="E597" s="364">
        <f t="shared" si="242"/>
        <v>3.0203868614964855</v>
      </c>
      <c r="F597" s="365">
        <f t="shared" si="243"/>
        <v>1.2333448113415533</v>
      </c>
      <c r="G597" s="364">
        <f t="shared" si="244"/>
        <v>5.2645143307459579</v>
      </c>
      <c r="H597" s="365">
        <f t="shared" si="245"/>
        <v>-1.3796840430467885</v>
      </c>
      <c r="I597" s="363">
        <f t="shared" si="246"/>
        <v>950300.75163127587</v>
      </c>
      <c r="J597" s="366">
        <f t="shared" si="247"/>
        <v>1.5707952744964551</v>
      </c>
      <c r="K597" s="374">
        <f t="shared" si="237"/>
        <v>286.90592466636292</v>
      </c>
      <c r="L597" s="375">
        <f t="shared" si="238"/>
        <v>1.5673108566850824</v>
      </c>
      <c r="M597" s="363">
        <f t="shared" si="248"/>
        <v>10.699376487781686</v>
      </c>
      <c r="N597" s="366">
        <f t="shared" si="249"/>
        <v>1.4771963254290865</v>
      </c>
      <c r="O597" s="367">
        <f t="shared" si="250"/>
        <v>4.6536846990120662</v>
      </c>
      <c r="P597" s="368">
        <f t="shared" si="251"/>
        <v>2.1023585520550325</v>
      </c>
      <c r="Q597" s="369">
        <f t="shared" si="252"/>
        <v>-43.504562780489415</v>
      </c>
      <c r="R597" s="370">
        <f t="shared" si="253"/>
        <v>-303.50000421520639</v>
      </c>
      <c r="S597" s="372">
        <f t="shared" si="254"/>
        <v>-123.50000421520639</v>
      </c>
      <c r="U597" s="345">
        <f t="shared" si="260"/>
        <v>229090</v>
      </c>
      <c r="V597" s="345">
        <f t="shared" si="261"/>
        <v>52482228100</v>
      </c>
      <c r="X597" s="371">
        <f t="shared" si="255"/>
        <v>-2.8929261840588509</v>
      </c>
      <c r="Y597" s="372">
        <f t="shared" si="256"/>
        <v>-84.836757490912348</v>
      </c>
      <c r="AA597" s="371">
        <f t="shared" si="257"/>
        <v>19.948937875574309</v>
      </c>
      <c r="AB597" s="372">
        <f t="shared" si="258"/>
        <v>-218.66324672429403</v>
      </c>
      <c r="AD597">
        <f t="shared" si="262"/>
        <v>0</v>
      </c>
      <c r="AE597">
        <f t="shared" si="239"/>
        <v>0</v>
      </c>
    </row>
    <row r="598" spans="1:31" x14ac:dyDescent="0.2">
      <c r="A598" s="373">
        <v>251190</v>
      </c>
      <c r="B598" s="390">
        <f t="shared" si="259"/>
        <v>251.19</v>
      </c>
      <c r="C598" s="363">
        <f t="shared" si="240"/>
        <v>353.64206309894882</v>
      </c>
      <c r="D598" s="364">
        <f t="shared" si="241"/>
        <v>1.5679686051039117</v>
      </c>
      <c r="E598" s="364">
        <f t="shared" si="242"/>
        <v>3.2810832479158307</v>
      </c>
      <c r="F598" s="365">
        <f t="shared" si="243"/>
        <v>1.2610916326652941</v>
      </c>
      <c r="G598" s="364">
        <f t="shared" si="244"/>
        <v>5.7548299675392505</v>
      </c>
      <c r="H598" s="365">
        <f t="shared" si="245"/>
        <v>-1.3961426636030692</v>
      </c>
      <c r="I598" s="363">
        <f t="shared" si="246"/>
        <v>1041974.9696723468</v>
      </c>
      <c r="J598" s="366">
        <f t="shared" si="247"/>
        <v>1.5707953670789445</v>
      </c>
      <c r="K598" s="374">
        <f t="shared" si="237"/>
        <v>314.58302665639349</v>
      </c>
      <c r="L598" s="375">
        <f t="shared" si="238"/>
        <v>1.5676175103953716</v>
      </c>
      <c r="M598" s="363">
        <f t="shared" si="248"/>
        <v>11.722907929036859</v>
      </c>
      <c r="N598" s="366">
        <f t="shared" si="249"/>
        <v>1.4853894667051151</v>
      </c>
      <c r="O598" s="367">
        <f t="shared" si="250"/>
        <v>5.3458060361463016</v>
      </c>
      <c r="P598" s="368">
        <f t="shared" si="251"/>
        <v>2.1752685305630348</v>
      </c>
      <c r="Q598" s="369">
        <f t="shared" si="252"/>
        <v>-44.809774206229946</v>
      </c>
      <c r="R598" s="370">
        <f t="shared" si="253"/>
        <v>-307.49816918460562</v>
      </c>
      <c r="S598" s="372">
        <f t="shared" si="254"/>
        <v>-127.49816918460562</v>
      </c>
      <c r="U598" s="345">
        <f t="shared" si="260"/>
        <v>251190</v>
      </c>
      <c r="V598" s="345">
        <f t="shared" si="261"/>
        <v>63096416100</v>
      </c>
      <c r="X598" s="371">
        <f t="shared" si="255"/>
        <v>-3.6864727477079446</v>
      </c>
      <c r="Y598" s="372">
        <f t="shared" si="256"/>
        <v>-85.288625248713842</v>
      </c>
      <c r="AA598" s="371">
        <f t="shared" si="257"/>
        <v>19.437273013482873</v>
      </c>
      <c r="AB598" s="372">
        <f t="shared" si="258"/>
        <v>-222.20954393589182</v>
      </c>
      <c r="AD598">
        <f t="shared" si="262"/>
        <v>0</v>
      </c>
      <c r="AE598">
        <f t="shared" si="239"/>
        <v>0</v>
      </c>
    </row>
    <row r="599" spans="1:31" x14ac:dyDescent="0.2">
      <c r="A599" s="373">
        <v>275420</v>
      </c>
      <c r="B599" s="390">
        <f t="shared" si="259"/>
        <v>275.42</v>
      </c>
      <c r="C599" s="363">
        <f t="shared" si="240"/>
        <v>387.75441505197711</v>
      </c>
      <c r="D599" s="364">
        <f t="shared" si="241"/>
        <v>1.5682173719985517</v>
      </c>
      <c r="E599" s="364">
        <f t="shared" si="242"/>
        <v>3.5693627638930443</v>
      </c>
      <c r="F599" s="365">
        <f t="shared" si="243"/>
        <v>1.2868334081732409</v>
      </c>
      <c r="G599" s="364">
        <f t="shared" si="244"/>
        <v>6.293900921955049</v>
      </c>
      <c r="H599" s="365">
        <f t="shared" si="245"/>
        <v>-1.4112361603638062</v>
      </c>
      <c r="I599" s="363">
        <f t="shared" si="246"/>
        <v>1142484.7571445343</v>
      </c>
      <c r="J599" s="366">
        <f t="shared" si="247"/>
        <v>1.5707954515096958</v>
      </c>
      <c r="K599" s="374">
        <f t="shared" ref="K599:K613" si="263">SQRT(1+(A599/Zero2)^2)</f>
        <v>344.92767851865835</v>
      </c>
      <c r="L599" s="375">
        <f t="shared" ref="L599:L613" si="264">ATAN(A599/Zero2)</f>
        <v>1.5678971642656578</v>
      </c>
      <c r="M599" s="363">
        <f t="shared" si="248"/>
        <v>12.845840681057195</v>
      </c>
      <c r="N599" s="366">
        <f t="shared" si="249"/>
        <v>1.492871277394983</v>
      </c>
      <c r="O599" s="367">
        <f t="shared" si="250"/>
        <v>6.1740679200545348</v>
      </c>
      <c r="P599" s="368">
        <f t="shared" si="251"/>
        <v>2.245098784781125</v>
      </c>
      <c r="Q599" s="369">
        <f t="shared" si="252"/>
        <v>-46.146129073991197</v>
      </c>
      <c r="R599" s="370">
        <f t="shared" si="253"/>
        <v>-311.31595792652092</v>
      </c>
      <c r="S599" s="372">
        <f t="shared" si="254"/>
        <v>-131.31595792652092</v>
      </c>
      <c r="U599" s="345">
        <f t="shared" si="260"/>
        <v>275420</v>
      </c>
      <c r="V599" s="345">
        <f t="shared" si="261"/>
        <v>75856176400</v>
      </c>
      <c r="X599" s="371">
        <f t="shared" si="255"/>
        <v>-4.4810236765557914</v>
      </c>
      <c r="Y599" s="372">
        <f t="shared" si="256"/>
        <v>-85.701283275864469</v>
      </c>
      <c r="AA599" s="371">
        <f t="shared" si="257"/>
        <v>18.895469074569466</v>
      </c>
      <c r="AB599" s="372">
        <f t="shared" si="258"/>
        <v>-225.61467465065641</v>
      </c>
      <c r="AD599">
        <f t="shared" si="262"/>
        <v>0</v>
      </c>
      <c r="AE599">
        <f t="shared" si="239"/>
        <v>0</v>
      </c>
    </row>
    <row r="600" spans="1:31" x14ac:dyDescent="0.2">
      <c r="A600" s="373">
        <v>302000</v>
      </c>
      <c r="B600" s="390">
        <f t="shared" si="259"/>
        <v>302</v>
      </c>
      <c r="C600" s="363">
        <f t="shared" si="240"/>
        <v>425.17525166555106</v>
      </c>
      <c r="D600" s="364">
        <f t="shared" si="241"/>
        <v>1.5684443533015042</v>
      </c>
      <c r="E600" s="364">
        <f t="shared" si="242"/>
        <v>3.8878980738178717</v>
      </c>
      <c r="F600" s="365">
        <f t="shared" si="243"/>
        <v>1.3106640413629345</v>
      </c>
      <c r="G600" s="364">
        <f t="shared" si="244"/>
        <v>6.886633111239135</v>
      </c>
      <c r="H600" s="365">
        <f t="shared" si="245"/>
        <v>-1.4250722811769725</v>
      </c>
      <c r="I600" s="363">
        <f t="shared" si="246"/>
        <v>1252742.708073586</v>
      </c>
      <c r="J600" s="366">
        <f t="shared" si="247"/>
        <v>1.5707955285463868</v>
      </c>
      <c r="K600" s="374">
        <f t="shared" si="263"/>
        <v>378.21539918709914</v>
      </c>
      <c r="L600" s="375">
        <f t="shared" si="264"/>
        <v>1.5681523277211622</v>
      </c>
      <c r="M600" s="363">
        <f t="shared" si="248"/>
        <v>14.078372250663641</v>
      </c>
      <c r="N600" s="366">
        <f t="shared" si="249"/>
        <v>1.4997055219644697</v>
      </c>
      <c r="O600" s="367">
        <f t="shared" si="250"/>
        <v>7.1667886331609321</v>
      </c>
      <c r="P600" s="368">
        <f t="shared" si="251"/>
        <v>2.3116614970481271</v>
      </c>
      <c r="Q600" s="369">
        <f t="shared" si="252"/>
        <v>-47.512997333500387</v>
      </c>
      <c r="R600" s="370">
        <f t="shared" si="253"/>
        <v>-314.94704010451682</v>
      </c>
      <c r="S600" s="372">
        <f t="shared" si="254"/>
        <v>-134.94704010451682</v>
      </c>
      <c r="U600" s="345">
        <f t="shared" si="260"/>
        <v>302000</v>
      </c>
      <c r="V600" s="345">
        <f t="shared" si="261"/>
        <v>91204000000</v>
      </c>
      <c r="X600" s="371">
        <f t="shared" si="255"/>
        <v>-5.2768280774404044</v>
      </c>
      <c r="Y600" s="372">
        <f t="shared" si="256"/>
        <v>-86.078241271077886</v>
      </c>
      <c r="AA600" s="371">
        <f t="shared" si="257"/>
        <v>18.324405215944882</v>
      </c>
      <c r="AB600" s="372">
        <f t="shared" si="258"/>
        <v>-228.86879883343894</v>
      </c>
      <c r="AD600">
        <f t="shared" si="262"/>
        <v>0</v>
      </c>
      <c r="AE600">
        <f t="shared" si="239"/>
        <v>0</v>
      </c>
    </row>
    <row r="601" spans="1:31" x14ac:dyDescent="0.2">
      <c r="A601" s="373">
        <v>331130</v>
      </c>
      <c r="B601" s="390">
        <f t="shared" si="259"/>
        <v>331.13</v>
      </c>
      <c r="C601" s="363">
        <f t="shared" si="240"/>
        <v>466.18614432008633</v>
      </c>
      <c r="D601" s="364">
        <f t="shared" si="241"/>
        <v>1.568651259252521</v>
      </c>
      <c r="E601" s="364">
        <f t="shared" si="242"/>
        <v>4.2391282541341617</v>
      </c>
      <c r="F601" s="365">
        <f t="shared" si="243"/>
        <v>1.3326542382651867</v>
      </c>
      <c r="G601" s="364">
        <f t="shared" si="244"/>
        <v>7.5374945478734574</v>
      </c>
      <c r="H601" s="365">
        <f t="shared" si="245"/>
        <v>-1.4377339366446542</v>
      </c>
      <c r="I601" s="363">
        <f t="shared" si="246"/>
        <v>1373578.4533920011</v>
      </c>
      <c r="J601" s="366">
        <f t="shared" si="247"/>
        <v>1.5707955987694988</v>
      </c>
      <c r="K601" s="374">
        <f t="shared" si="263"/>
        <v>414.69666059921821</v>
      </c>
      <c r="L601" s="375">
        <f t="shared" si="264"/>
        <v>1.5683849233181959</v>
      </c>
      <c r="M601" s="363">
        <f t="shared" si="248"/>
        <v>15.429777697112581</v>
      </c>
      <c r="N601" s="366">
        <f t="shared" si="249"/>
        <v>1.5059411229987454</v>
      </c>
      <c r="O601" s="367">
        <f t="shared" si="250"/>
        <v>8.356445441461128</v>
      </c>
      <c r="P601" s="368">
        <f t="shared" si="251"/>
        <v>2.3747318128725494</v>
      </c>
      <c r="Q601" s="369">
        <f t="shared" si="252"/>
        <v>-48.90727933153363</v>
      </c>
      <c r="R601" s="370">
        <f t="shared" si="253"/>
        <v>-318.38202270171007</v>
      </c>
      <c r="S601" s="372">
        <f t="shared" si="254"/>
        <v>-138.38202270171007</v>
      </c>
      <c r="U601" s="345">
        <f t="shared" si="260"/>
        <v>331130</v>
      </c>
      <c r="V601" s="345">
        <f t="shared" si="261"/>
        <v>109647076900</v>
      </c>
      <c r="X601" s="371">
        <f t="shared" si="255"/>
        <v>-6.0729776785769367</v>
      </c>
      <c r="Y601" s="372">
        <f t="shared" si="256"/>
        <v>-86.422192170906897</v>
      </c>
      <c r="AA601" s="371">
        <f t="shared" si="257"/>
        <v>17.72627281904818</v>
      </c>
      <c r="AB601" s="372">
        <f t="shared" si="258"/>
        <v>-231.95983053080309</v>
      </c>
      <c r="AD601">
        <f t="shared" si="262"/>
        <v>0</v>
      </c>
      <c r="AE601">
        <f t="shared" si="239"/>
        <v>0</v>
      </c>
    </row>
    <row r="602" spans="1:31" x14ac:dyDescent="0.2">
      <c r="A602" s="373">
        <v>363080</v>
      </c>
      <c r="B602" s="390">
        <f t="shared" si="259"/>
        <v>363.08</v>
      </c>
      <c r="C602" s="363">
        <f t="shared" si="240"/>
        <v>511.1672145692155</v>
      </c>
      <c r="D602" s="364">
        <f t="shared" si="241"/>
        <v>1.568840018547115</v>
      </c>
      <c r="E602" s="364">
        <f t="shared" si="242"/>
        <v>4.6263414028432983</v>
      </c>
      <c r="F602" s="365">
        <f t="shared" si="243"/>
        <v>1.352923196280627</v>
      </c>
      <c r="G602" s="364">
        <f t="shared" si="244"/>
        <v>8.2525238073102916</v>
      </c>
      <c r="H602" s="365">
        <f t="shared" si="245"/>
        <v>-1.4493227547685248</v>
      </c>
      <c r="I602" s="363">
        <f t="shared" si="246"/>
        <v>1506111.9948586524</v>
      </c>
      <c r="J602" s="366">
        <f t="shared" si="247"/>
        <v>1.5707956628336484</v>
      </c>
      <c r="K602" s="374">
        <f t="shared" si="263"/>
        <v>454.70960008430853</v>
      </c>
      <c r="L602" s="375">
        <f t="shared" si="264"/>
        <v>1.5685971191997619</v>
      </c>
      <c r="M602" s="363">
        <f t="shared" si="248"/>
        <v>16.91258349149939</v>
      </c>
      <c r="N602" s="366">
        <f t="shared" si="249"/>
        <v>1.5116342480149043</v>
      </c>
      <c r="O602" s="367">
        <f t="shared" si="250"/>
        <v>9.7841671187250636</v>
      </c>
      <c r="P602" s="368">
        <f t="shared" si="251"/>
        <v>2.4342614487260059</v>
      </c>
      <c r="Q602" s="369">
        <f t="shared" si="252"/>
        <v>-50.327989518821809</v>
      </c>
      <c r="R602" s="370">
        <f t="shared" si="253"/>
        <v>-321.62033710314597</v>
      </c>
      <c r="S602" s="372">
        <f t="shared" si="254"/>
        <v>-141.62033710314597</v>
      </c>
      <c r="U602" s="345">
        <f t="shared" si="260"/>
        <v>363080</v>
      </c>
      <c r="V602" s="345">
        <f t="shared" si="261"/>
        <v>131827086400</v>
      </c>
      <c r="X602" s="371">
        <f t="shared" si="255"/>
        <v>-6.8699876177995538</v>
      </c>
      <c r="Y602" s="372">
        <f t="shared" si="256"/>
        <v>-86.736229949093584</v>
      </c>
      <c r="AA602" s="371">
        <f t="shared" si="257"/>
        <v>17.102572570982609</v>
      </c>
      <c r="AB602" s="372">
        <f t="shared" si="258"/>
        <v>-234.88410715405232</v>
      </c>
      <c r="AD602">
        <f t="shared" si="262"/>
        <v>0</v>
      </c>
      <c r="AE602">
        <f t="shared" ref="AE602:AE613" si="265">IF(AD602&gt;0,S602,0)</f>
        <v>0</v>
      </c>
    </row>
    <row r="603" spans="1:31" x14ac:dyDescent="0.2">
      <c r="A603" s="373">
        <v>398110</v>
      </c>
      <c r="B603" s="390">
        <f t="shared" si="259"/>
        <v>398.11</v>
      </c>
      <c r="C603" s="363">
        <f t="shared" si="240"/>
        <v>560.48450555713339</v>
      </c>
      <c r="D603" s="364">
        <f t="shared" si="241"/>
        <v>1.5690121552065119</v>
      </c>
      <c r="E603" s="364">
        <f t="shared" si="242"/>
        <v>5.0527150033875756</v>
      </c>
      <c r="F603" s="365">
        <f t="shared" si="243"/>
        <v>1.3715675732585948</v>
      </c>
      <c r="G603" s="364">
        <f t="shared" si="244"/>
        <v>9.0375447050964421</v>
      </c>
      <c r="H603" s="365">
        <f t="shared" si="245"/>
        <v>-1.4599197656814689</v>
      </c>
      <c r="I603" s="363">
        <f t="shared" si="246"/>
        <v>1651421.8526857877</v>
      </c>
      <c r="J603" s="366">
        <f t="shared" si="247"/>
        <v>1.5707957212561008</v>
      </c>
      <c r="K603" s="374">
        <f t="shared" si="263"/>
        <v>498.57983155418361</v>
      </c>
      <c r="L603" s="375">
        <f t="shared" si="264"/>
        <v>1.5687906285953646</v>
      </c>
      <c r="M603" s="363">
        <f t="shared" si="248"/>
        <v>18.538857024999523</v>
      </c>
      <c r="N603" s="366">
        <f t="shared" si="249"/>
        <v>1.5168293767873258</v>
      </c>
      <c r="O603" s="367">
        <f t="shared" si="250"/>
        <v>11.49786545310033</v>
      </c>
      <c r="P603" s="368">
        <f t="shared" si="251"/>
        <v>2.4901850320722829</v>
      </c>
      <c r="Q603" s="369">
        <f t="shared" si="252"/>
        <v>-51.77231675110513</v>
      </c>
      <c r="R603" s="370">
        <f t="shared" si="253"/>
        <v>-324.65988002835167</v>
      </c>
      <c r="S603" s="372">
        <f t="shared" si="254"/>
        <v>-144.65988002835167</v>
      </c>
      <c r="U603" s="345">
        <f t="shared" si="260"/>
        <v>398110</v>
      </c>
      <c r="V603" s="345">
        <f t="shared" si="261"/>
        <v>158491572100</v>
      </c>
      <c r="X603" s="371">
        <f t="shared" si="255"/>
        <v>-7.6674511822589588</v>
      </c>
      <c r="Y603" s="372">
        <f t="shared" si="256"/>
        <v>-87.022804977803588</v>
      </c>
      <c r="AA603" s="371">
        <f t="shared" si="257"/>
        <v>16.455708903158705</v>
      </c>
      <c r="AB603" s="372">
        <f t="shared" si="258"/>
        <v>-237.63707505054811</v>
      </c>
      <c r="AD603">
        <f t="shared" si="262"/>
        <v>0</v>
      </c>
      <c r="AE603">
        <f t="shared" si="265"/>
        <v>0</v>
      </c>
    </row>
    <row r="604" spans="1:31" x14ac:dyDescent="0.2">
      <c r="A604" s="373">
        <v>436520</v>
      </c>
      <c r="B604" s="390">
        <f t="shared" si="259"/>
        <v>436.52</v>
      </c>
      <c r="C604" s="363">
        <f t="shared" si="240"/>
        <v>614.56037489844857</v>
      </c>
      <c r="D604" s="364">
        <f t="shared" si="241"/>
        <v>1.569169146647704</v>
      </c>
      <c r="E604" s="364">
        <f t="shared" si="242"/>
        <v>5.521920413763306</v>
      </c>
      <c r="F604" s="365">
        <f t="shared" si="243"/>
        <v>1.3886951394066014</v>
      </c>
      <c r="G604" s="364">
        <f t="shared" si="244"/>
        <v>9.8992837554884634</v>
      </c>
      <c r="H604" s="365">
        <f t="shared" si="245"/>
        <v>-1.4696063179761838</v>
      </c>
      <c r="I604" s="363">
        <f t="shared" si="246"/>
        <v>1810752.4732721555</v>
      </c>
      <c r="J604" s="366">
        <f t="shared" si="247"/>
        <v>1.570795774538299</v>
      </c>
      <c r="K604" s="374">
        <f t="shared" si="263"/>
        <v>546.6830635266125</v>
      </c>
      <c r="L604" s="375">
        <f t="shared" si="264"/>
        <v>1.56896711234801</v>
      </c>
      <c r="M604" s="363">
        <f t="shared" si="248"/>
        <v>20.322526223152064</v>
      </c>
      <c r="N604" s="366">
        <f t="shared" si="249"/>
        <v>1.5215699670579841</v>
      </c>
      <c r="O604" s="367">
        <f t="shared" si="250"/>
        <v>13.555812992224707</v>
      </c>
      <c r="P604" s="368">
        <f t="shared" si="251"/>
        <v>2.5425190766706134</v>
      </c>
      <c r="Q604" s="369">
        <f t="shared" si="252"/>
        <v>-53.238027149962342</v>
      </c>
      <c r="R604" s="370">
        <f t="shared" si="253"/>
        <v>-327.50256326341707</v>
      </c>
      <c r="S604" s="372">
        <f t="shared" si="254"/>
        <v>-147.50256326341707</v>
      </c>
      <c r="U604" s="345">
        <f t="shared" si="260"/>
        <v>436520</v>
      </c>
      <c r="V604" s="345">
        <f t="shared" si="261"/>
        <v>190549710400</v>
      </c>
      <c r="X604" s="371">
        <f t="shared" si="255"/>
        <v>-8.4653488718421492</v>
      </c>
      <c r="Y604" s="372">
        <f t="shared" si="256"/>
        <v>-87.284312071677761</v>
      </c>
      <c r="AA604" s="371">
        <f t="shared" si="257"/>
        <v>15.787896193884677</v>
      </c>
      <c r="AB604" s="372">
        <f t="shared" si="258"/>
        <v>-240.21825119173931</v>
      </c>
      <c r="AD604">
        <f t="shared" si="262"/>
        <v>0</v>
      </c>
      <c r="AE604">
        <f t="shared" si="265"/>
        <v>0</v>
      </c>
    </row>
    <row r="605" spans="1:31" x14ac:dyDescent="0.2">
      <c r="A605" s="373">
        <v>478630</v>
      </c>
      <c r="B605" s="390">
        <f t="shared" si="259"/>
        <v>478.63</v>
      </c>
      <c r="C605" s="363">
        <f t="shared" si="240"/>
        <v>673.84533751337574</v>
      </c>
      <c r="D605" s="364">
        <f t="shared" si="241"/>
        <v>1.5693123061875223</v>
      </c>
      <c r="E605" s="364">
        <f t="shared" si="242"/>
        <v>6.037881842494194</v>
      </c>
      <c r="F605" s="365">
        <f t="shared" si="243"/>
        <v>1.4044086571078127</v>
      </c>
      <c r="G605" s="364">
        <f t="shared" si="244"/>
        <v>10.844922847044694</v>
      </c>
      <c r="H605" s="365">
        <f t="shared" si="245"/>
        <v>-1.4784561093128357</v>
      </c>
      <c r="I605" s="363">
        <f t="shared" si="246"/>
        <v>1985431.2661097534</v>
      </c>
      <c r="J605" s="366">
        <f t="shared" si="247"/>
        <v>1.5707958231259875</v>
      </c>
      <c r="K605" s="374">
        <f t="shared" si="263"/>
        <v>599.42005190148211</v>
      </c>
      <c r="L605" s="375">
        <f t="shared" si="264"/>
        <v>1.5691280468288067</v>
      </c>
      <c r="M605" s="363">
        <f t="shared" si="248"/>
        <v>22.27845136722809</v>
      </c>
      <c r="N605" s="366">
        <f t="shared" si="249"/>
        <v>1.525894816953361</v>
      </c>
      <c r="O605" s="367">
        <f t="shared" si="250"/>
        <v>16.027550857507183</v>
      </c>
      <c r="P605" s="368">
        <f t="shared" si="251"/>
        <v>2.5913142516325398</v>
      </c>
      <c r="Q605" s="369">
        <f t="shared" si="252"/>
        <v>-54.722577857941879</v>
      </c>
      <c r="R605" s="370">
        <f t="shared" si="253"/>
        <v>-330.15183830074619</v>
      </c>
      <c r="S605" s="372">
        <f t="shared" si="254"/>
        <v>-150.15183830074619</v>
      </c>
      <c r="U605" s="345">
        <f t="shared" si="260"/>
        <v>478630</v>
      </c>
      <c r="V605" s="345">
        <f t="shared" si="261"/>
        <v>229086676900</v>
      </c>
      <c r="X605" s="371">
        <f t="shared" si="255"/>
        <v>-9.2634974363738358</v>
      </c>
      <c r="Y605" s="372">
        <f t="shared" si="256"/>
        <v>-87.522889635324759</v>
      </c>
      <c r="AA605" s="371">
        <f t="shared" si="257"/>
        <v>15.101494050436825</v>
      </c>
      <c r="AB605" s="372">
        <f t="shared" si="258"/>
        <v>-242.6289486654214</v>
      </c>
      <c r="AD605">
        <f t="shared" si="262"/>
        <v>0</v>
      </c>
      <c r="AE605">
        <f t="shared" si="265"/>
        <v>0</v>
      </c>
    </row>
    <row r="606" spans="1:31" x14ac:dyDescent="0.2">
      <c r="A606" s="373">
        <v>524810</v>
      </c>
      <c r="B606" s="390">
        <f t="shared" si="259"/>
        <v>524.80999999999995</v>
      </c>
      <c r="C606" s="363">
        <f t="shared" si="240"/>
        <v>738.86030140931018</v>
      </c>
      <c r="D606" s="364">
        <f t="shared" si="241"/>
        <v>1.5694428905588573</v>
      </c>
      <c r="E606" s="364">
        <f t="shared" si="242"/>
        <v>6.6051447700946486</v>
      </c>
      <c r="F606" s="365">
        <f t="shared" si="243"/>
        <v>1.4188147781036524</v>
      </c>
      <c r="G606" s="364">
        <f t="shared" si="244"/>
        <v>11.882772991209439</v>
      </c>
      <c r="H606" s="365">
        <f t="shared" si="245"/>
        <v>-1.4865412345871907</v>
      </c>
      <c r="I606" s="363">
        <f t="shared" si="246"/>
        <v>2176993.0484237038</v>
      </c>
      <c r="J606" s="366">
        <f t="shared" si="247"/>
        <v>1.5707958674457037</v>
      </c>
      <c r="K606" s="374">
        <f t="shared" si="263"/>
        <v>657.25417083518414</v>
      </c>
      <c r="L606" s="375">
        <f t="shared" si="264"/>
        <v>1.569274844801793</v>
      </c>
      <c r="M606" s="363">
        <f t="shared" si="248"/>
        <v>24.423818478125074</v>
      </c>
      <c r="N606" s="366">
        <f t="shared" si="249"/>
        <v>1.5298412399070338</v>
      </c>
      <c r="O606" s="367">
        <f t="shared" si="250"/>
        <v>18.997848520805814</v>
      </c>
      <c r="P606" s="368">
        <f t="shared" si="251"/>
        <v>2.6366799404016636</v>
      </c>
      <c r="Q606" s="369">
        <f t="shared" si="252"/>
        <v>-56.224157135391337</v>
      </c>
      <c r="R606" s="370">
        <f t="shared" si="253"/>
        <v>-332.61412137537963</v>
      </c>
      <c r="S606" s="372">
        <f t="shared" si="254"/>
        <v>-152.61412137537963</v>
      </c>
      <c r="U606" s="345">
        <f t="shared" si="260"/>
        <v>524810</v>
      </c>
      <c r="V606" s="345">
        <f t="shared" si="261"/>
        <v>275425536100</v>
      </c>
      <c r="X606" s="371">
        <f t="shared" si="255"/>
        <v>-10.062070768674173</v>
      </c>
      <c r="Y606" s="372">
        <f t="shared" si="256"/>
        <v>-87.740594650032023</v>
      </c>
      <c r="AA606" s="371">
        <f t="shared" si="257"/>
        <v>14.398488105287715</v>
      </c>
      <c r="AB606" s="372">
        <f t="shared" si="258"/>
        <v>-244.87352672534757</v>
      </c>
      <c r="AD606">
        <f t="shared" si="262"/>
        <v>0</v>
      </c>
      <c r="AE606">
        <f t="shared" si="265"/>
        <v>0</v>
      </c>
    </row>
    <row r="607" spans="1:31" x14ac:dyDescent="0.2">
      <c r="A607" s="373">
        <v>575440</v>
      </c>
      <c r="B607" s="390">
        <f t="shared" si="259"/>
        <v>575.44000000000005</v>
      </c>
      <c r="C607" s="363">
        <f t="shared" si="240"/>
        <v>810.14025329751621</v>
      </c>
      <c r="D607" s="364">
        <f t="shared" si="241"/>
        <v>1.5695619723113756</v>
      </c>
      <c r="E607" s="364">
        <f t="shared" si="242"/>
        <v>7.2283862808204766</v>
      </c>
      <c r="F607" s="365">
        <f t="shared" si="243"/>
        <v>1.4320077273058105</v>
      </c>
      <c r="G607" s="364">
        <f t="shared" si="244"/>
        <v>13.021375980980787</v>
      </c>
      <c r="H607" s="365">
        <f t="shared" si="245"/>
        <v>-1.4939238382435347</v>
      </c>
      <c r="I607" s="363">
        <f t="shared" si="246"/>
        <v>2387014.1189857549</v>
      </c>
      <c r="J607" s="366">
        <f t="shared" si="247"/>
        <v>1.5707959078614717</v>
      </c>
      <c r="K607" s="374">
        <f t="shared" si="263"/>
        <v>720.6613182325766</v>
      </c>
      <c r="L607" s="375">
        <f t="shared" si="264"/>
        <v>1.569408711981096</v>
      </c>
      <c r="M607" s="363">
        <f t="shared" si="248"/>
        <v>26.776281290633552</v>
      </c>
      <c r="N607" s="366">
        <f t="shared" si="249"/>
        <v>1.5334411543136131</v>
      </c>
      <c r="O607" s="367">
        <f t="shared" si="250"/>
        <v>22.566948033259145</v>
      </c>
      <c r="P607" s="368">
        <f t="shared" si="251"/>
        <v>2.6787288793319499</v>
      </c>
      <c r="Q607" s="369">
        <f t="shared" si="252"/>
        <v>-57.740256716374915</v>
      </c>
      <c r="R607" s="370">
        <f t="shared" si="253"/>
        <v>-334.89585490961309</v>
      </c>
      <c r="S607" s="372">
        <f t="shared" si="254"/>
        <v>-154.89585490961309</v>
      </c>
      <c r="U607" s="345">
        <f t="shared" si="260"/>
        <v>575440</v>
      </c>
      <c r="V607" s="345">
        <f t="shared" si="261"/>
        <v>331131193600</v>
      </c>
      <c r="X607" s="371">
        <f t="shared" si="255"/>
        <v>-10.860806423507015</v>
      </c>
      <c r="Y607" s="372">
        <f t="shared" si="256"/>
        <v>-87.939186843627866</v>
      </c>
      <c r="AA607" s="371">
        <f t="shared" si="257"/>
        <v>13.681124179136976</v>
      </c>
      <c r="AB607" s="372">
        <f t="shared" si="258"/>
        <v>-246.95666806598521</v>
      </c>
      <c r="AD607">
        <f t="shared" si="262"/>
        <v>0</v>
      </c>
      <c r="AE607">
        <f t="shared" si="265"/>
        <v>0</v>
      </c>
    </row>
    <row r="608" spans="1:31" x14ac:dyDescent="0.2">
      <c r="A608" s="373">
        <v>630960</v>
      </c>
      <c r="B608" s="390">
        <f t="shared" si="259"/>
        <v>630.96</v>
      </c>
      <c r="C608" s="363">
        <f t="shared" si="240"/>
        <v>888.30465157859896</v>
      </c>
      <c r="D608" s="364">
        <f t="shared" si="241"/>
        <v>1.5696705866454579</v>
      </c>
      <c r="E608" s="364">
        <f t="shared" si="242"/>
        <v>7.9130296595082319</v>
      </c>
      <c r="F608" s="365">
        <f t="shared" si="243"/>
        <v>1.4440836666936061</v>
      </c>
      <c r="G608" s="364">
        <f t="shared" si="244"/>
        <v>14.270628057191095</v>
      </c>
      <c r="H608" s="365">
        <f t="shared" si="245"/>
        <v>-1.5006648508759142</v>
      </c>
      <c r="I608" s="363">
        <f t="shared" si="246"/>
        <v>2617319.665847403</v>
      </c>
      <c r="J608" s="366">
        <f t="shared" si="247"/>
        <v>1.5707959447246387</v>
      </c>
      <c r="K608" s="374">
        <f t="shared" si="263"/>
        <v>790.19253388915047</v>
      </c>
      <c r="L608" s="375">
        <f t="shared" si="264"/>
        <v>1.5695308120955871</v>
      </c>
      <c r="M608" s="363">
        <f t="shared" si="248"/>
        <v>29.356284018463597</v>
      </c>
      <c r="N608" s="366">
        <f t="shared" si="249"/>
        <v>1.5367254785899509</v>
      </c>
      <c r="O608" s="367">
        <f t="shared" si="250"/>
        <v>26.856974479253914</v>
      </c>
      <c r="P608" s="368">
        <f t="shared" si="251"/>
        <v>2.7176169029172192</v>
      </c>
      <c r="Q608" s="369">
        <f t="shared" si="252"/>
        <v>-59.269241181510317</v>
      </c>
      <c r="R608" s="370">
        <f t="shared" si="253"/>
        <v>-337.00571310335778</v>
      </c>
      <c r="S608" s="372">
        <f t="shared" si="254"/>
        <v>-157.00571310335778</v>
      </c>
      <c r="U608" s="345">
        <f t="shared" si="260"/>
        <v>630960</v>
      </c>
      <c r="V608" s="345">
        <f t="shared" si="261"/>
        <v>398110521600</v>
      </c>
      <c r="X608" s="371">
        <f t="shared" si="255"/>
        <v>-11.659824211648202</v>
      </c>
      <c r="Y608" s="372">
        <f t="shared" si="256"/>
        <v>-88.120371054286892</v>
      </c>
      <c r="AA608" s="371">
        <f t="shared" si="257"/>
        <v>12.951157502142756</v>
      </c>
      <c r="AB608" s="372">
        <f t="shared" si="258"/>
        <v>-248.88534204907097</v>
      </c>
      <c r="AD608">
        <f t="shared" si="262"/>
        <v>0</v>
      </c>
      <c r="AE608">
        <f t="shared" si="265"/>
        <v>0</v>
      </c>
    </row>
    <row r="609" spans="1:31" x14ac:dyDescent="0.2">
      <c r="A609" s="373">
        <v>691830</v>
      </c>
      <c r="B609" s="390">
        <f t="shared" si="259"/>
        <v>691.83</v>
      </c>
      <c r="C609" s="363">
        <f t="shared" si="240"/>
        <v>974.00111194422811</v>
      </c>
      <c r="D609" s="364">
        <f t="shared" si="241"/>
        <v>1.5697696337414493</v>
      </c>
      <c r="E609" s="364">
        <f t="shared" si="242"/>
        <v>8.664752742515919</v>
      </c>
      <c r="F609" s="365">
        <f t="shared" si="243"/>
        <v>1.455128475999</v>
      </c>
      <c r="G609" s="364">
        <f t="shared" si="244"/>
        <v>15.64088057196216</v>
      </c>
      <c r="H609" s="365">
        <f t="shared" si="245"/>
        <v>-1.5068176695347677</v>
      </c>
      <c r="I609" s="363">
        <f t="shared" si="246"/>
        <v>2869817.8401533957</v>
      </c>
      <c r="J609" s="366">
        <f t="shared" si="247"/>
        <v>1.5707959783407244</v>
      </c>
      <c r="K609" s="374">
        <f t="shared" si="263"/>
        <v>866.42390496616906</v>
      </c>
      <c r="L609" s="375">
        <f t="shared" si="264"/>
        <v>1.569642157090799</v>
      </c>
      <c r="M609" s="363">
        <f t="shared" si="248"/>
        <v>32.185202867857747</v>
      </c>
      <c r="N609" s="366">
        <f t="shared" si="249"/>
        <v>1.5397211471011139</v>
      </c>
      <c r="O609" s="367">
        <f t="shared" si="250"/>
        <v>32.012979766660507</v>
      </c>
      <c r="P609" s="368">
        <f t="shared" si="251"/>
        <v>2.7534987237080064</v>
      </c>
      <c r="Q609" s="369">
        <f t="shared" si="252"/>
        <v>-60.809046484053496</v>
      </c>
      <c r="R609" s="370">
        <f t="shared" si="253"/>
        <v>-338.95223605152216</v>
      </c>
      <c r="S609" s="372">
        <f t="shared" si="254"/>
        <v>-158.95223605152216</v>
      </c>
      <c r="U609" s="345">
        <f t="shared" si="260"/>
        <v>691830</v>
      </c>
      <c r="V609" s="345">
        <f t="shared" si="261"/>
        <v>478628748900</v>
      </c>
      <c r="X609" s="371">
        <f t="shared" si="255"/>
        <v>-12.458928783699307</v>
      </c>
      <c r="Y609" s="372">
        <f t="shared" si="256"/>
        <v>-88.285632544749873</v>
      </c>
      <c r="AA609" s="371">
        <f t="shared" si="257"/>
        <v>12.210456771650684</v>
      </c>
      <c r="AB609" s="372">
        <f t="shared" si="258"/>
        <v>-250.66660350677228</v>
      </c>
      <c r="AD609">
        <f t="shared" si="262"/>
        <v>0</v>
      </c>
      <c r="AE609">
        <f t="shared" si="265"/>
        <v>0</v>
      </c>
    </row>
    <row r="610" spans="1:31" x14ac:dyDescent="0.2">
      <c r="A610" s="373">
        <v>758580</v>
      </c>
      <c r="B610" s="390">
        <f t="shared" si="259"/>
        <v>758.58</v>
      </c>
      <c r="C610" s="363">
        <f t="shared" si="240"/>
        <v>1067.975800387479</v>
      </c>
      <c r="D610" s="364">
        <f t="shared" si="241"/>
        <v>1.5698599758534588</v>
      </c>
      <c r="E610" s="364">
        <f t="shared" si="242"/>
        <v>9.4901049599119425</v>
      </c>
      <c r="F610" s="365">
        <f t="shared" si="243"/>
        <v>1.4652274329394226</v>
      </c>
      <c r="G610" s="364">
        <f t="shared" si="244"/>
        <v>17.144065135963274</v>
      </c>
      <c r="H610" s="365">
        <f t="shared" si="245"/>
        <v>-1.5124339773923059</v>
      </c>
      <c r="I610" s="363">
        <f t="shared" si="246"/>
        <v>3146707.1638748548</v>
      </c>
      <c r="J610" s="366">
        <f t="shared" si="247"/>
        <v>1.5707960090023765</v>
      </c>
      <c r="K610" s="374">
        <f t="shared" si="263"/>
        <v>950.01918416079309</v>
      </c>
      <c r="L610" s="375">
        <f t="shared" si="264"/>
        <v>1.5697437162778278</v>
      </c>
      <c r="M610" s="363">
        <f t="shared" si="248"/>
        <v>35.287669547135039</v>
      </c>
      <c r="N610" s="366">
        <f t="shared" si="249"/>
        <v>1.5424540217794207</v>
      </c>
      <c r="O610" s="367">
        <f t="shared" si="250"/>
        <v>38.211530521387218</v>
      </c>
      <c r="P610" s="368">
        <f t="shared" si="251"/>
        <v>2.7865538077293062</v>
      </c>
      <c r="Q610" s="369">
        <f t="shared" si="252"/>
        <v>-62.358438850565925</v>
      </c>
      <c r="R610" s="370">
        <f t="shared" si="253"/>
        <v>-340.74525723668563</v>
      </c>
      <c r="S610" s="372">
        <f t="shared" si="254"/>
        <v>-160.74525723668563</v>
      </c>
      <c r="U610" s="345">
        <f t="shared" si="260"/>
        <v>758580</v>
      </c>
      <c r="V610" s="345">
        <f t="shared" si="261"/>
        <v>575443616400</v>
      </c>
      <c r="X610" s="371">
        <f t="shared" si="255"/>
        <v>-13.258264295588804</v>
      </c>
      <c r="Y610" s="372">
        <f t="shared" si="256"/>
        <v>-88.436397573923045</v>
      </c>
      <c r="AA610" s="371">
        <f t="shared" si="257"/>
        <v>11.460399917027752</v>
      </c>
      <c r="AB610" s="372">
        <f t="shared" si="258"/>
        <v>-252.30885966276264</v>
      </c>
      <c r="AD610">
        <f t="shared" si="262"/>
        <v>0</v>
      </c>
      <c r="AE610">
        <f t="shared" si="265"/>
        <v>0</v>
      </c>
    </row>
    <row r="611" spans="1:31" x14ac:dyDescent="0.2">
      <c r="A611" s="373">
        <v>831760</v>
      </c>
      <c r="B611" s="390">
        <f t="shared" si="259"/>
        <v>831.76</v>
      </c>
      <c r="C611" s="363">
        <f t="shared" si="240"/>
        <v>1171.0030401836286</v>
      </c>
      <c r="D611" s="364">
        <f t="shared" si="241"/>
        <v>1.5699423579432128</v>
      </c>
      <c r="E611" s="364">
        <f t="shared" si="242"/>
        <v>10.395890070157671</v>
      </c>
      <c r="F611" s="365">
        <f t="shared" si="243"/>
        <v>1.4744555040606488</v>
      </c>
      <c r="G611" s="364">
        <f t="shared" si="244"/>
        <v>18.792568058906465</v>
      </c>
      <c r="H611" s="365">
        <f t="shared" si="245"/>
        <v>-1.5175586570937774</v>
      </c>
      <c r="I611" s="363">
        <f t="shared" si="246"/>
        <v>3450269.1220761514</v>
      </c>
      <c r="J611" s="366">
        <f t="shared" si="247"/>
        <v>1.570796036962433</v>
      </c>
      <c r="K611" s="374">
        <f t="shared" si="263"/>
        <v>1041.6671715259913</v>
      </c>
      <c r="L611" s="375">
        <f t="shared" si="264"/>
        <v>1.5698363271127189</v>
      </c>
      <c r="M611" s="363">
        <f t="shared" si="248"/>
        <v>38.689247505256496</v>
      </c>
      <c r="N611" s="366">
        <f t="shared" si="249"/>
        <v>1.5449464733517473</v>
      </c>
      <c r="O611" s="367">
        <f t="shared" si="250"/>
        <v>45.661941855694892</v>
      </c>
      <c r="P611" s="368">
        <f t="shared" si="251"/>
        <v>2.8169500574655437</v>
      </c>
      <c r="Q611" s="369">
        <f t="shared" si="252"/>
        <v>-63.915657114480382</v>
      </c>
      <c r="R611" s="370">
        <f t="shared" si="253"/>
        <v>-342.39394954524175</v>
      </c>
      <c r="S611" s="372">
        <f t="shared" si="254"/>
        <v>-162.39394954524175</v>
      </c>
      <c r="U611" s="345">
        <f t="shared" si="260"/>
        <v>831760</v>
      </c>
      <c r="V611" s="345">
        <f t="shared" si="261"/>
        <v>691824697600</v>
      </c>
      <c r="X611" s="371">
        <f t="shared" si="255"/>
        <v>-14.057611206670071</v>
      </c>
      <c r="Y611" s="372">
        <f t="shared" si="256"/>
        <v>-88.573899921832009</v>
      </c>
      <c r="AA611" s="371">
        <f t="shared" si="257"/>
        <v>10.702528564194559</v>
      </c>
      <c r="AB611" s="372">
        <f t="shared" si="258"/>
        <v>-253.82004962340974</v>
      </c>
      <c r="AD611">
        <f t="shared" si="262"/>
        <v>0</v>
      </c>
      <c r="AE611">
        <f t="shared" si="265"/>
        <v>0</v>
      </c>
    </row>
    <row r="612" spans="1:31" x14ac:dyDescent="0.2">
      <c r="A612" s="373">
        <v>912010</v>
      </c>
      <c r="B612" s="390">
        <f t="shared" si="259"/>
        <v>912.01</v>
      </c>
      <c r="C612" s="363">
        <f t="shared" si="240"/>
        <v>1283.9838621260726</v>
      </c>
      <c r="D612" s="364">
        <f t="shared" si="241"/>
        <v>1.5700175007281585</v>
      </c>
      <c r="E612" s="364">
        <f t="shared" si="242"/>
        <v>11.39003204791214</v>
      </c>
      <c r="F612" s="365">
        <f t="shared" si="243"/>
        <v>1.482887077371442</v>
      </c>
      <c r="G612" s="364">
        <f t="shared" si="244"/>
        <v>20.600806820787419</v>
      </c>
      <c r="H612" s="365">
        <f t="shared" si="245"/>
        <v>-1.5222354552118931</v>
      </c>
      <c r="I612" s="363">
        <f t="shared" si="246"/>
        <v>3783158.5337412818</v>
      </c>
      <c r="J612" s="366">
        <f t="shared" si="247"/>
        <v>1.5707960624655033</v>
      </c>
      <c r="K612" s="374">
        <f t="shared" si="263"/>
        <v>1142.1693799328189</v>
      </c>
      <c r="L612" s="375">
        <f t="shared" si="264"/>
        <v>1.5699207997974765</v>
      </c>
      <c r="M612" s="363">
        <f t="shared" si="248"/>
        <v>42.419685485805083</v>
      </c>
      <c r="N612" s="366">
        <f t="shared" si="249"/>
        <v>1.5472201820485476</v>
      </c>
      <c r="O612" s="367">
        <f t="shared" si="250"/>
        <v>54.619645662003116</v>
      </c>
      <c r="P612" s="368">
        <f t="shared" si="251"/>
        <v>2.8448714299854352</v>
      </c>
      <c r="Q612" s="369">
        <f t="shared" si="252"/>
        <v>-65.479894591967991</v>
      </c>
      <c r="R612" s="370">
        <f t="shared" si="253"/>
        <v>-343.90833438851837</v>
      </c>
      <c r="S612" s="372">
        <f t="shared" si="254"/>
        <v>-163.90833438851837</v>
      </c>
      <c r="U612" s="345">
        <f t="shared" si="260"/>
        <v>912010</v>
      </c>
      <c r="V612" s="345">
        <f t="shared" si="261"/>
        <v>831762240100</v>
      </c>
      <c r="X612" s="371">
        <f t="shared" si="255"/>
        <v>-14.857155105705743</v>
      </c>
      <c r="Y612" s="372">
        <f t="shared" si="256"/>
        <v>-88.699335367041726</v>
      </c>
      <c r="AA612" s="371">
        <f t="shared" si="257"/>
        <v>9.9378349857426258</v>
      </c>
      <c r="AB612" s="372">
        <f t="shared" si="258"/>
        <v>-255.20899902147656</v>
      </c>
      <c r="AD612">
        <f t="shared" si="262"/>
        <v>0</v>
      </c>
      <c r="AE612">
        <f t="shared" si="265"/>
        <v>0</v>
      </c>
    </row>
    <row r="613" spans="1:31" x14ac:dyDescent="0.2">
      <c r="A613" s="373">
        <v>1000000</v>
      </c>
      <c r="B613" s="390">
        <f t="shared" si="259"/>
        <v>1000</v>
      </c>
      <c r="C613" s="363">
        <f t="shared" si="240"/>
        <v>1407.8615328911976</v>
      </c>
      <c r="D613" s="364">
        <f t="shared" si="241"/>
        <v>1.5700860296096093</v>
      </c>
      <c r="E613" s="364">
        <f t="shared" si="242"/>
        <v>12.480832825673899</v>
      </c>
      <c r="F613" s="365">
        <f t="shared" si="243"/>
        <v>1.4905874928041059</v>
      </c>
      <c r="G613" s="364">
        <f t="shared" si="244"/>
        <v>22.583878614473399</v>
      </c>
      <c r="H613" s="365">
        <f t="shared" si="245"/>
        <v>-1.5265024708597092</v>
      </c>
      <c r="I613" s="363">
        <f t="shared" si="246"/>
        <v>4148154.6624941169</v>
      </c>
      <c r="J613" s="366">
        <f t="shared" si="247"/>
        <v>1.5707960857238465</v>
      </c>
      <c r="K613" s="374">
        <f t="shared" si="263"/>
        <v>1252.364893240727</v>
      </c>
      <c r="L613" s="375">
        <f t="shared" si="264"/>
        <v>1.5699978373836543</v>
      </c>
      <c r="M613" s="363">
        <f t="shared" si="248"/>
        <v>46.51012864363269</v>
      </c>
      <c r="N613" s="366">
        <f t="shared" si="249"/>
        <v>1.549293976837353</v>
      </c>
      <c r="O613" s="367">
        <f t="shared" si="250"/>
        <v>65.388290475149603</v>
      </c>
      <c r="P613" s="368">
        <f t="shared" si="251"/>
        <v>2.8704864872556941</v>
      </c>
      <c r="Q613" s="369">
        <f t="shared" si="252"/>
        <v>-67.049868305647593</v>
      </c>
      <c r="R613" s="370">
        <f t="shared" si="253"/>
        <v>-345.29758325533425</v>
      </c>
      <c r="S613" s="372">
        <f t="shared" si="254"/>
        <v>-165.29758325533425</v>
      </c>
      <c r="U613" s="345">
        <f t="shared" si="260"/>
        <v>1000000</v>
      </c>
      <c r="V613" s="345">
        <f t="shared" si="261"/>
        <v>1000000000000</v>
      </c>
      <c r="X613" s="371">
        <f t="shared" si="255"/>
        <v>-15.656757596919206</v>
      </c>
      <c r="Y613" s="372">
        <f t="shared" si="256"/>
        <v>-88.813742460200274</v>
      </c>
      <c r="AA613" s="371">
        <f t="shared" si="257"/>
        <v>9.1674637632764817</v>
      </c>
      <c r="AB613" s="372">
        <f t="shared" si="258"/>
        <v>-256.48384079513403</v>
      </c>
      <c r="AD613">
        <f t="shared" si="262"/>
        <v>0</v>
      </c>
      <c r="AE613">
        <f t="shared" si="265"/>
        <v>0</v>
      </c>
    </row>
    <row r="614" spans="1:31" x14ac:dyDescent="0.2">
      <c r="A614" s="376"/>
      <c r="B614" s="376"/>
      <c r="C614" s="377"/>
      <c r="D614" s="377"/>
      <c r="E614" s="377"/>
      <c r="F614" s="377"/>
      <c r="G614" s="364"/>
      <c r="H614" s="365"/>
      <c r="I614" s="377"/>
      <c r="J614" s="377"/>
      <c r="K614" s="377"/>
      <c r="L614" s="377"/>
      <c r="M614" s="377"/>
      <c r="N614" s="377"/>
      <c r="O614" s="377"/>
      <c r="P614" s="378"/>
      <c r="Q614" s="465"/>
      <c r="R614" s="370"/>
      <c r="S614" s="379"/>
      <c r="AA614" s="371"/>
      <c r="AB614" s="372"/>
    </row>
    <row r="615" spans="1:31" x14ac:dyDescent="0.2">
      <c r="A615" s="376"/>
      <c r="B615" s="376"/>
      <c r="C615" s="377"/>
      <c r="D615" s="377"/>
      <c r="E615" s="377"/>
      <c r="F615" s="377"/>
      <c r="G615" s="364"/>
      <c r="H615" s="365"/>
      <c r="I615" s="377"/>
      <c r="J615" s="377"/>
      <c r="K615" s="377"/>
      <c r="L615" s="377"/>
      <c r="M615" s="377"/>
      <c r="N615" s="377"/>
      <c r="O615" s="377"/>
      <c r="P615" s="378"/>
      <c r="Q615" s="379"/>
      <c r="R615" s="370"/>
      <c r="S615" s="379"/>
      <c r="AA615" s="371"/>
      <c r="AB615" s="372"/>
    </row>
    <row r="616" spans="1:31" x14ac:dyDescent="0.2">
      <c r="A616" s="345" t="s">
        <v>507</v>
      </c>
      <c r="G616" s="364"/>
      <c r="H616" s="365"/>
      <c r="Q616" s="369"/>
      <c r="R616" s="370"/>
      <c r="S616" s="379"/>
      <c r="AA616" s="371"/>
      <c r="AB616" s="372"/>
    </row>
    <row r="617" spans="1:31" x14ac:dyDescent="0.2">
      <c r="A617" s="380">
        <f>Q4*1000</f>
        <v>4365.2</v>
      </c>
      <c r="B617" s="380"/>
      <c r="C617" s="381">
        <f t="shared" ref="C617:C626" si="266">SQRT(1+(A617/pole1)^2)</f>
        <v>6.2264231657936779</v>
      </c>
      <c r="D617" s="374">
        <f t="shared" ref="D617:D626" si="267">ATAN(A617/pole1)</f>
        <v>1.4094918838089112</v>
      </c>
      <c r="E617" s="374">
        <f t="shared" ref="E617:E626" si="268">SQRT(1+(A617/Zero1)^2)</f>
        <v>1.0014734946595409</v>
      </c>
      <c r="F617" s="375">
        <f t="shared" ref="F617:F626" si="269">ATAN(A617/Zero1)</f>
        <v>5.4252882126992613E-2</v>
      </c>
      <c r="G617" s="364">
        <f>IF(VIN_nom&gt;Vout, 1, SQRT(1+(A617/z_RHP)^2))</f>
        <v>1.0048380873987448</v>
      </c>
      <c r="H617" s="365">
        <f>IF(VIN_nom&gt;Vout, 0, -ATAN(A617/z_RHP))</f>
        <v>-9.8169869951231142E-2</v>
      </c>
      <c r="I617" s="381">
        <f t="shared" ref="I617:I626" si="270">SQRT(1+(A617/Pole2)^2)</f>
        <v>18107.524760331624</v>
      </c>
      <c r="J617" s="382">
        <f t="shared" ref="J617:J626" si="271">ATAN(A617/Pole2)</f>
        <v>1.5707411011351919</v>
      </c>
      <c r="K617" s="374">
        <f t="shared" ref="K617:K626" si="272">SQRT(1+(A617/Zero2)^2)</f>
        <v>5.5575297745207113</v>
      </c>
      <c r="L617" s="375">
        <f t="shared" ref="L617:L626" si="273">ATAN(A617/Zero2)</f>
        <v>1.3898748788646995</v>
      </c>
      <c r="M617" s="381">
        <f t="shared" ref="M617:M626" si="274">SQRT(1+(A617/pole4)^2)</f>
        <v>1.020392330042259</v>
      </c>
      <c r="N617" s="382">
        <f t="shared" ref="N617:N626" si="275">ATAN(A617/pole4)</f>
        <v>0.20025841258566052</v>
      </c>
      <c r="O617" s="381">
        <f t="shared" ref="O617:O626" si="276">SQRT((1-(A617^2/(pole3^2)))^2+(A617/(Q*pole3))^2)</f>
        <v>1.0017011773551208</v>
      </c>
      <c r="P617" s="456">
        <f t="shared" ref="P617:P626" si="277">ATAN((A617/(Q*pole3))/(1-A617^2/pole3^2))</f>
        <v>7.6382633369819181E-2</v>
      </c>
      <c r="Q617" s="369">
        <f>20*LOG10(((E617*K617*G617)/(C617*I617*O617*M617))*Adc)</f>
        <v>0.70420531002888465</v>
      </c>
      <c r="R617" s="370">
        <f>((F617+L617+H617)-(D617+J617+P617+N617))*radconv</f>
        <v>-109.48742994246625</v>
      </c>
      <c r="S617" s="372">
        <f t="shared" ref="S617:S626" si="278">IF(R617&gt;0,R617,R617+180)</f>
        <v>70.51257005753375</v>
      </c>
      <c r="T617" s="345" t="s">
        <v>508</v>
      </c>
      <c r="X617" s="371">
        <f t="shared" ref="X617:X626" si="279">20*LOG10((K617/(I617*M617))*AEA)</f>
        <v>17.661784830096828</v>
      </c>
      <c r="Y617" s="372">
        <f t="shared" ref="Y617:Y626" si="280">(L617-(J617+N617))*radconv</f>
        <v>-21.83683307067437</v>
      </c>
      <c r="AA617" s="371">
        <f>20*LOG10((E617*G617/(C617*O617))*Acs*Am)</f>
        <v>43.602994951936928</v>
      </c>
      <c r="AB617" s="372">
        <f>(F617+H617-(D617+P617))*radconv</f>
        <v>-87.650596871791876</v>
      </c>
    </row>
    <row r="618" spans="1:31" x14ac:dyDescent="0.2">
      <c r="A618" s="380">
        <f>A617</f>
        <v>4365.2</v>
      </c>
      <c r="B618" s="380"/>
      <c r="C618" s="381"/>
      <c r="D618" s="374"/>
      <c r="E618" s="374"/>
      <c r="F618" s="375"/>
      <c r="G618" s="364"/>
      <c r="H618" s="365"/>
      <c r="I618" s="381"/>
      <c r="J618" s="382"/>
      <c r="K618" s="374"/>
      <c r="L618" s="375"/>
      <c r="M618" s="363"/>
      <c r="N618" s="366"/>
      <c r="O618" s="381"/>
      <c r="P618" s="368"/>
      <c r="Q618" s="369"/>
      <c r="R618" s="370">
        <v>-90</v>
      </c>
      <c r="S618" s="372"/>
      <c r="X618" s="371"/>
      <c r="Y618" s="372"/>
      <c r="AA618" s="371"/>
      <c r="AB618" s="372"/>
    </row>
    <row r="619" spans="1:31" x14ac:dyDescent="0.2">
      <c r="A619" s="345">
        <f>A618</f>
        <v>4365.2</v>
      </c>
      <c r="B619" s="380"/>
      <c r="C619" s="381"/>
      <c r="D619" s="374"/>
      <c r="E619" s="374"/>
      <c r="F619" s="375"/>
      <c r="G619" s="364"/>
      <c r="H619" s="365"/>
      <c r="I619" s="381"/>
      <c r="J619" s="382"/>
      <c r="K619" s="374"/>
      <c r="L619" s="375"/>
      <c r="M619" s="363"/>
      <c r="N619" s="366"/>
      <c r="O619" s="381"/>
      <c r="P619" s="368"/>
      <c r="Q619" s="369"/>
      <c r="R619" s="370">
        <f>R617</f>
        <v>-109.48742994246625</v>
      </c>
      <c r="S619" s="372"/>
      <c r="X619" s="371"/>
      <c r="Y619" s="372"/>
      <c r="AA619" s="371"/>
      <c r="AB619" s="372"/>
    </row>
    <row r="620" spans="1:31" x14ac:dyDescent="0.2">
      <c r="A620" s="380">
        <v>1000000</v>
      </c>
      <c r="B620" s="380"/>
      <c r="C620" s="381"/>
      <c r="D620" s="374"/>
      <c r="E620" s="374"/>
      <c r="F620" s="375"/>
      <c r="G620" s="364"/>
      <c r="H620" s="365"/>
      <c r="I620" s="381"/>
      <c r="J620" s="382"/>
      <c r="K620" s="374"/>
      <c r="L620" s="375"/>
      <c r="M620" s="363"/>
      <c r="N620" s="366"/>
      <c r="O620" s="381"/>
      <c r="P620" s="368"/>
      <c r="Q620" s="369"/>
      <c r="R620" s="370">
        <f>R617</f>
        <v>-109.48742994246625</v>
      </c>
      <c r="S620" s="372"/>
      <c r="X620" s="371"/>
      <c r="Y620" s="372"/>
      <c r="AA620" s="371"/>
      <c r="AB620" s="372"/>
    </row>
    <row r="621" spans="1:31" x14ac:dyDescent="0.2">
      <c r="A621" s="380"/>
      <c r="B621" s="380"/>
      <c r="C621" s="381"/>
      <c r="D621" s="374"/>
      <c r="E621" s="374"/>
      <c r="F621" s="375"/>
      <c r="G621" s="364"/>
      <c r="H621" s="365"/>
      <c r="I621" s="381"/>
      <c r="J621" s="382"/>
      <c r="K621" s="374"/>
      <c r="L621" s="375"/>
      <c r="M621" s="363"/>
      <c r="N621" s="366"/>
      <c r="O621" s="381"/>
      <c r="P621" s="368"/>
      <c r="Q621" s="369"/>
      <c r="R621" s="370"/>
      <c r="S621" s="372"/>
      <c r="X621" s="371"/>
      <c r="Y621" s="372"/>
      <c r="AA621" s="371"/>
      <c r="AB621" s="372"/>
    </row>
    <row r="622" spans="1:31" x14ac:dyDescent="0.2">
      <c r="A622" s="466">
        <f>pole1</f>
        <v>710.29730474096323</v>
      </c>
      <c r="B622" s="380"/>
      <c r="C622" s="381">
        <f t="shared" si="266"/>
        <v>1.4142135623730951</v>
      </c>
      <c r="D622" s="374">
        <f t="shared" si="267"/>
        <v>0.78539816339744828</v>
      </c>
      <c r="E622" s="374">
        <f t="shared" si="268"/>
        <v>1.0000390419927303</v>
      </c>
      <c r="F622" s="375">
        <f t="shared" si="269"/>
        <v>8.8363705831691116E-3</v>
      </c>
      <c r="G622" s="364">
        <f t="shared" ref="G622:G628" si="281">IF(VIN_nom&gt;Vout, 1, SQRT(1+(A622/z_RHP)^2))</f>
        <v>1.0001284006368034</v>
      </c>
      <c r="H622" s="365">
        <f t="shared" ref="H622:H628" si="282">IF(VIN_nom&gt;Vout, 0, -ATAN(A622/z_RHP))</f>
        <v>-1.6024162965495248E-2</v>
      </c>
      <c r="I622" s="381">
        <f t="shared" si="270"/>
        <v>2946.423246115427</v>
      </c>
      <c r="J622" s="382">
        <f t="shared" si="271"/>
        <v>1.5704569322355724</v>
      </c>
      <c r="K622" s="374">
        <f t="shared" si="272"/>
        <v>1.3383950102065787</v>
      </c>
      <c r="L622" s="375">
        <f t="shared" si="273"/>
        <v>0.7270121576475963</v>
      </c>
      <c r="M622" s="363">
        <f t="shared" si="274"/>
        <v>1.0005452883454824</v>
      </c>
      <c r="N622" s="366">
        <f t="shared" si="275"/>
        <v>3.3016380113749931E-2</v>
      </c>
      <c r="O622" s="381">
        <f t="shared" si="276"/>
        <v>1.000045060541324</v>
      </c>
      <c r="P622" s="368">
        <f t="shared" si="277"/>
        <v>1.2437642691589602E-2</v>
      </c>
      <c r="Q622" s="369">
        <f t="shared" ref="Q622:Q628" si="283">20*LOG10(((E622*K622*G622)/(C622*I622*O622*M622))*Adc)</f>
        <v>17.115731684771308</v>
      </c>
      <c r="R622" s="370">
        <f t="shared" ref="R622:R628" si="284">((F622+L622+H622)-(D622+J622+P622+N622))*radconv</f>
        <v>-96.341979782501767</v>
      </c>
      <c r="S622" s="372">
        <f t="shared" si="278"/>
        <v>83.658020217498233</v>
      </c>
      <c r="T622" s="345" t="s">
        <v>482</v>
      </c>
      <c r="X622" s="371">
        <f t="shared" si="279"/>
        <v>21.237722839906745</v>
      </c>
      <c r="Y622" s="372">
        <f t="shared" si="280"/>
        <v>-50.217525128953518</v>
      </c>
      <c r="AA622" s="371">
        <f t="shared" ref="AA622:AA628" si="285">20*LOG10((E622*G622/(C622*O622))*Acs*Am)</f>
        <v>56.438583316869433</v>
      </c>
      <c r="AB622" s="372">
        <f t="shared" ref="AB622:AB628" si="286">(F622+H622-(D622+P622))*radconv</f>
        <v>-46.124454653548263</v>
      </c>
    </row>
    <row r="623" spans="1:31" x14ac:dyDescent="0.2">
      <c r="A623" s="466">
        <f>Zero1</f>
        <v>80381.28448169514</v>
      </c>
      <c r="B623" s="380"/>
      <c r="C623" s="381">
        <f t="shared" si="266"/>
        <v>113.17010805290151</v>
      </c>
      <c r="D623" s="374">
        <f t="shared" si="267"/>
        <v>1.5619599562117275</v>
      </c>
      <c r="E623" s="374">
        <f t="shared" si="268"/>
        <v>1.4142135623730951</v>
      </c>
      <c r="F623" s="375">
        <f t="shared" si="269"/>
        <v>0.78539816339744828</v>
      </c>
      <c r="G623" s="364">
        <f t="shared" si="281"/>
        <v>2.0709731541477749</v>
      </c>
      <c r="H623" s="365">
        <f t="shared" si="282"/>
        <v>-1.0668731158749274</v>
      </c>
      <c r="I623" s="381">
        <f t="shared" si="270"/>
        <v>333434.00000149955</v>
      </c>
      <c r="J623" s="382">
        <f t="shared" si="271"/>
        <v>1.5707933277006232</v>
      </c>
      <c r="K623" s="374">
        <f t="shared" si="272"/>
        <v>100.67163343155698</v>
      </c>
      <c r="L623" s="375">
        <f t="shared" si="273"/>
        <v>1.5608628786956922</v>
      </c>
      <c r="M623" s="363">
        <f t="shared" si="274"/>
        <v>3.8691406287611496</v>
      </c>
      <c r="N623" s="366">
        <f t="shared" si="275"/>
        <v>1.3093734704147966</v>
      </c>
      <c r="O623" s="381">
        <f t="shared" si="276"/>
        <v>1.5248407914860236</v>
      </c>
      <c r="P623" s="368">
        <f t="shared" si="277"/>
        <v>1.1759987311102877</v>
      </c>
      <c r="Q623" s="369">
        <f t="shared" si="283"/>
        <v>-30.575760735146474</v>
      </c>
      <c r="R623" s="370">
        <f t="shared" si="284"/>
        <v>-248.59135084221052</v>
      </c>
      <c r="S623" s="372">
        <f t="shared" si="278"/>
        <v>-68.591350842210517</v>
      </c>
      <c r="T623" s="345" t="s">
        <v>477</v>
      </c>
      <c r="X623" s="371">
        <f t="shared" si="279"/>
        <v>5.9423286892889227</v>
      </c>
      <c r="Y623" s="372">
        <f t="shared" si="280"/>
        <v>-75.590546564192834</v>
      </c>
      <c r="AA623" s="371">
        <f t="shared" si="285"/>
        <v>24.042485047569478</v>
      </c>
      <c r="AB623" s="372">
        <f t="shared" si="286"/>
        <v>-173.00080427801768</v>
      </c>
    </row>
    <row r="624" spans="1:31" x14ac:dyDescent="0.2">
      <c r="A624" s="466">
        <f>Pole2</f>
        <v>0.24107104998798903</v>
      </c>
      <c r="B624" s="380"/>
      <c r="C624" s="381">
        <f t="shared" si="266"/>
        <v>1.0000000575943362</v>
      </c>
      <c r="D624" s="374">
        <f t="shared" si="267"/>
        <v>3.3939455932426352E-4</v>
      </c>
      <c r="E624" s="374">
        <f t="shared" si="268"/>
        <v>1.0000000000044973</v>
      </c>
      <c r="F624" s="375">
        <f t="shared" si="269"/>
        <v>2.9990942735204023E-6</v>
      </c>
      <c r="G624" s="364">
        <f t="shared" si="281"/>
        <v>1.0000000000147913</v>
      </c>
      <c r="H624" s="365">
        <f t="shared" si="282"/>
        <v>-5.4389794740887324E-6</v>
      </c>
      <c r="I624" s="381">
        <f t="shared" si="270"/>
        <v>1.4142135623730951</v>
      </c>
      <c r="J624" s="382">
        <f t="shared" si="271"/>
        <v>0.78539816339744828</v>
      </c>
      <c r="K624" s="374">
        <f t="shared" si="272"/>
        <v>1.0000000455744678</v>
      </c>
      <c r="L624" s="375">
        <f t="shared" si="273"/>
        <v>3.0190881436240334E-4</v>
      </c>
      <c r="M624" s="363">
        <f t="shared" si="274"/>
        <v>1.0000000000628282</v>
      </c>
      <c r="N624" s="366">
        <f t="shared" si="275"/>
        <v>1.1209653649822093E-5</v>
      </c>
      <c r="O624" s="381">
        <f t="shared" si="276"/>
        <v>1.0000000000051905</v>
      </c>
      <c r="P624" s="368">
        <f t="shared" si="277"/>
        <v>4.2213497961720141E-6</v>
      </c>
      <c r="Q624" s="369">
        <f t="shared" si="283"/>
        <v>83.973620144521561</v>
      </c>
      <c r="R624" s="370">
        <f t="shared" si="284"/>
        <v>-45.003171752897437</v>
      </c>
      <c r="S624" s="372">
        <f t="shared" si="278"/>
        <v>134.99682824710257</v>
      </c>
      <c r="T624" s="345" t="s">
        <v>485</v>
      </c>
      <c r="W624" s="345">
        <f>Pole2</f>
        <v>0.24107104998798903</v>
      </c>
      <c r="X624" s="371">
        <f t="shared" si="279"/>
        <v>85.086374771068023</v>
      </c>
      <c r="Y624" s="372">
        <f t="shared" si="280"/>
        <v>-44.98334421638414</v>
      </c>
      <c r="AA624" s="371">
        <f t="shared" si="285"/>
        <v>59.447819845458412</v>
      </c>
      <c r="AB624" s="372">
        <f t="shared" si="286"/>
        <v>-1.9827536513297064E-2</v>
      </c>
    </row>
    <row r="625" spans="1:28" x14ac:dyDescent="0.2">
      <c r="A625" s="466">
        <f>Zero2</f>
        <v>798.48958094399131</v>
      </c>
      <c r="B625" s="380"/>
      <c r="C625" s="381">
        <f t="shared" si="266"/>
        <v>1.5045734563601081</v>
      </c>
      <c r="D625" s="374">
        <f t="shared" si="267"/>
        <v>0.84378416914730037</v>
      </c>
      <c r="E625" s="374">
        <f t="shared" si="268"/>
        <v>1.0000493387240759</v>
      </c>
      <c r="F625" s="375">
        <f t="shared" si="269"/>
        <v>9.9334480992044963E-3</v>
      </c>
      <c r="G625" s="364">
        <f t="shared" si="281"/>
        <v>1.0001622624387507</v>
      </c>
      <c r="H625" s="365">
        <f t="shared" si="282"/>
        <v>-1.801335620435885E-2</v>
      </c>
      <c r="I625" s="381">
        <f t="shared" si="270"/>
        <v>3312.2584291001031</v>
      </c>
      <c r="J625" s="382">
        <f t="shared" si="271"/>
        <v>1.5704944179805342</v>
      </c>
      <c r="K625" s="374">
        <f t="shared" si="272"/>
        <v>1.4142135623730951</v>
      </c>
      <c r="L625" s="375">
        <f t="shared" si="273"/>
        <v>0.78539816339744828</v>
      </c>
      <c r="M625" s="363">
        <f t="shared" si="274"/>
        <v>1.0006890538771358</v>
      </c>
      <c r="N625" s="366">
        <f t="shared" si="275"/>
        <v>3.7112220276843036E-2</v>
      </c>
      <c r="O625" s="381">
        <f t="shared" si="276"/>
        <v>1.0000569447018066</v>
      </c>
      <c r="P625" s="368">
        <f t="shared" si="277"/>
        <v>1.3981860193914184E-2</v>
      </c>
      <c r="Q625" s="369">
        <f t="shared" si="283"/>
        <v>16.038828201710157</v>
      </c>
      <c r="R625" s="370">
        <f t="shared" si="284"/>
        <v>-96.718393524104272</v>
      </c>
      <c r="S625" s="372">
        <f t="shared" si="278"/>
        <v>83.281606475895728</v>
      </c>
      <c r="T625" s="345" t="s">
        <v>480</v>
      </c>
      <c r="W625" s="345">
        <f>Zero2</f>
        <v>798.48958094399131</v>
      </c>
      <c r="X625" s="371">
        <f t="shared" si="279"/>
        <v>20.69850702480165</v>
      </c>
      <c r="Y625" s="372">
        <f t="shared" si="280"/>
        <v>-47.109075543192148</v>
      </c>
      <c r="AA625" s="371">
        <f t="shared" si="285"/>
        <v>55.900895648913377</v>
      </c>
      <c r="AB625" s="372">
        <f t="shared" si="286"/>
        <v>-49.609317980912131</v>
      </c>
    </row>
    <row r="626" spans="1:28" x14ac:dyDescent="0.2">
      <c r="A626" s="466">
        <f>pole3</f>
        <v>125000</v>
      </c>
      <c r="B626" s="380"/>
      <c r="C626" s="381">
        <f t="shared" si="266"/>
        <v>175.98548838410801</v>
      </c>
      <c r="D626" s="374">
        <f t="shared" si="267"/>
        <v>1.5651140095160276</v>
      </c>
      <c r="E626" s="374">
        <f t="shared" si="268"/>
        <v>1.8488644657871216</v>
      </c>
      <c r="F626" s="375">
        <f t="shared" si="269"/>
        <v>0.99932220168389552</v>
      </c>
      <c r="G626" s="364">
        <f t="shared" si="281"/>
        <v>2.9922597367867025</v>
      </c>
      <c r="H626" s="365">
        <f t="shared" si="282"/>
        <v>-1.2300447108976622</v>
      </c>
      <c r="I626" s="381">
        <f t="shared" si="270"/>
        <v>518519.33281271381</v>
      </c>
      <c r="J626" s="382">
        <f t="shared" si="271"/>
        <v>1.5707943982264967</v>
      </c>
      <c r="K626" s="374">
        <f t="shared" si="272"/>
        <v>156.54875567524172</v>
      </c>
      <c r="L626" s="375">
        <f t="shared" si="273"/>
        <v>1.5644084970325505</v>
      </c>
      <c r="M626" s="363">
        <f t="shared" si="274"/>
        <v>5.8978174809194011</v>
      </c>
      <c r="N626" s="366">
        <f t="shared" si="275"/>
        <v>1.4004189775563594</v>
      </c>
      <c r="O626" s="381">
        <f t="shared" si="276"/>
        <v>2.1888514798809884</v>
      </c>
      <c r="P626" s="368" t="e">
        <f t="shared" si="277"/>
        <v>#DIV/0!</v>
      </c>
      <c r="Q626" s="369">
        <f t="shared" si="283"/>
        <v>-35.687988785642737</v>
      </c>
      <c r="R626" s="370" t="e">
        <f t="shared" si="284"/>
        <v>#DIV/0!</v>
      </c>
      <c r="S626" s="372" t="e">
        <f t="shared" si="278"/>
        <v>#DIV/0!</v>
      </c>
      <c r="T626" s="345" t="s">
        <v>478</v>
      </c>
      <c r="X626" s="371">
        <f t="shared" si="279"/>
        <v>2.2805410939524098</v>
      </c>
      <c r="Y626" s="372">
        <f t="shared" si="280"/>
        <v>-80.603982242909495</v>
      </c>
      <c r="AA626" s="371">
        <f t="shared" si="285"/>
        <v>22.592044592409724</v>
      </c>
      <c r="AB626" s="372" t="e">
        <f t="shared" si="286"/>
        <v>#DIV/0!</v>
      </c>
    </row>
    <row r="627" spans="1:28" ht="13.5" thickBot="1" x14ac:dyDescent="0.25">
      <c r="A627" s="441">
        <f>Fp2_u</f>
        <v>21505.664448581574</v>
      </c>
      <c r="C627" s="381">
        <f>SQRT(1+(A627/pole1)^2)</f>
        <v>30.293499768543217</v>
      </c>
      <c r="D627" s="374">
        <f>ATAN(A627/pole1)</f>
        <v>1.5377799466811466</v>
      </c>
      <c r="E627" s="374">
        <f>SQRT(1+(A627/Zero1)^2)</f>
        <v>1.0351718139744319</v>
      </c>
      <c r="F627" s="375">
        <f>ATAN(A627/Zero1)</f>
        <v>0.26142285638009999</v>
      </c>
      <c r="G627" s="364">
        <f t="shared" si="281"/>
        <v>1.1114962197663076</v>
      </c>
      <c r="H627" s="365">
        <f t="shared" si="282"/>
        <v>-0.45174167121588626</v>
      </c>
      <c r="I627" s="381">
        <f>SQRT(1+(A627/Pole2)^2)</f>
        <v>89208.822258019864</v>
      </c>
      <c r="J627" s="382">
        <f>ATAN(A627/Pole2)</f>
        <v>1.5707851171412468</v>
      </c>
      <c r="K627" s="374">
        <f>SQRT(1+(A627/Zero2)^2)</f>
        <v>26.951488815431102</v>
      </c>
      <c r="L627" s="375">
        <f>ATAN(A627/Zero2)</f>
        <v>1.5336841065180535</v>
      </c>
      <c r="M627" s="363">
        <f>SQRT(1+(A627/pole4)^2)</f>
        <v>1.4142135623730951</v>
      </c>
      <c r="N627" s="366">
        <f>ATAN(A627/pole4)</f>
        <v>0.78539816339744828</v>
      </c>
      <c r="O627" s="381">
        <f>SQRT((1-(A627^2/(pole3^2)))^2+(A627/(Q*pole3))^2)</f>
        <v>1.0409085881353022</v>
      </c>
      <c r="P627" s="368">
        <f>ATAN((A627/(Q*pole3))/(1-A627^2/pole3^2))</f>
        <v>0.37017830671863661</v>
      </c>
      <c r="Q627" s="369">
        <f t="shared" si="283"/>
        <v>-15.179712911930514</v>
      </c>
      <c r="R627" s="370">
        <f t="shared" si="284"/>
        <v>-167.3481517745841</v>
      </c>
      <c r="S627" s="372">
        <f>IF(R627&gt;0,R627,R627+180)</f>
        <v>12.651848225415904</v>
      </c>
      <c r="T627" s="345" t="s">
        <v>490</v>
      </c>
      <c r="X627" s="383"/>
      <c r="Y627" s="384"/>
      <c r="AA627" s="371">
        <f t="shared" si="285"/>
        <v>30.690988083505935</v>
      </c>
      <c r="AB627" s="372">
        <f t="shared" si="286"/>
        <v>-120.22242039635613</v>
      </c>
    </row>
    <row r="628" spans="1:28" x14ac:dyDescent="0.2">
      <c r="A628" s="441">
        <f>z_RHP</f>
        <v>44322.846065897655</v>
      </c>
      <c r="C628" s="381">
        <f>SQRT(1+(A628/pole1)^2)</f>
        <v>62.408426516166401</v>
      </c>
      <c r="D628" s="374">
        <f>ATAN(A628/pole1)</f>
        <v>1.5547721638294014</v>
      </c>
      <c r="E628" s="374">
        <f>SQRT(1+(A628/Zero1)^2)</f>
        <v>1.1419502053217574</v>
      </c>
      <c r="F628" s="375">
        <f>ATAN(A628/Zero1)</f>
        <v>0.50392321091996917</v>
      </c>
      <c r="G628" s="364">
        <f t="shared" si="281"/>
        <v>1.4142135623730951</v>
      </c>
      <c r="H628" s="365">
        <f t="shared" si="282"/>
        <v>-0.78539816339744828</v>
      </c>
      <c r="I628" s="381">
        <f>SQRT(1+(A628/Pole2)^2)</f>
        <v>183858.02056597653</v>
      </c>
      <c r="J628" s="382">
        <f>ATAN(A628/Pole2)</f>
        <v>1.5707908878154224</v>
      </c>
      <c r="K628" s="374">
        <f>SQRT(1+(A628/Zero2)^2)</f>
        <v>55.517365607431941</v>
      </c>
      <c r="L628" s="375">
        <f>ATAN(A628/Zero2)</f>
        <v>1.5527829705905378</v>
      </c>
      <c r="M628" s="363">
        <f>SQRT(1+(A628/pole4)^2)</f>
        <v>2.2907767378830513</v>
      </c>
      <c r="N628" s="366">
        <f>ATAN(A628/pole4)</f>
        <v>1.1190546555790104</v>
      </c>
      <c r="O628" s="381">
        <f>SQRT((1-(A628^2/(pole3^2)))^2+(A628/(Q*pole3))^2)</f>
        <v>1.1690706303826679</v>
      </c>
      <c r="P628" s="368">
        <f>ATAN((A628/(Q*pole3))/(1-A628^2/pole3^2))</f>
        <v>0.72600250119896881</v>
      </c>
      <c r="Q628" s="369">
        <f t="shared" si="283"/>
        <v>-23.715246054012727</v>
      </c>
      <c r="R628" s="370">
        <f t="shared" si="284"/>
        <v>-211.95497584823858</v>
      </c>
      <c r="S628" s="372">
        <f>IF(R628&gt;0,R628,R628+180)</f>
        <v>-31.954975848238576</v>
      </c>
      <c r="T628" s="345" t="s">
        <v>612</v>
      </c>
      <c r="X628" s="379"/>
      <c r="Y628" s="379"/>
      <c r="AA628" s="371">
        <f t="shared" si="285"/>
        <v>26.34938397673092</v>
      </c>
      <c r="AB628" s="372">
        <f t="shared" si="286"/>
        <v>-146.80608930984508</v>
      </c>
    </row>
    <row r="629" spans="1:28" x14ac:dyDescent="0.2">
      <c r="A629" s="441">
        <f>Fp2_u</f>
        <v>21505.664448581574</v>
      </c>
      <c r="Q629" s="369">
        <v>-25</v>
      </c>
    </row>
    <row r="631" spans="1:28" x14ac:dyDescent="0.2">
      <c r="D631" s="345" t="s">
        <v>509</v>
      </c>
      <c r="E631" s="345" t="s">
        <v>510</v>
      </c>
    </row>
    <row r="632" spans="1:28" x14ac:dyDescent="0.2">
      <c r="A632" s="345" t="s">
        <v>482</v>
      </c>
      <c r="B632" s="345" t="s">
        <v>609</v>
      </c>
      <c r="C632" s="385">
        <f>pole1</f>
        <v>710.29730474096323</v>
      </c>
      <c r="D632" s="385">
        <f>Q622</f>
        <v>17.115731684771308</v>
      </c>
      <c r="E632" s="385">
        <f>AA622</f>
        <v>56.438583316869433</v>
      </c>
    </row>
    <row r="633" spans="1:28" x14ac:dyDescent="0.2">
      <c r="A633" s="345" t="s">
        <v>477</v>
      </c>
      <c r="B633" s="345" t="s">
        <v>621</v>
      </c>
      <c r="C633" s="385">
        <f>Zero1</f>
        <v>80381.28448169514</v>
      </c>
      <c r="D633" s="385">
        <f>Q623</f>
        <v>-30.575760735146474</v>
      </c>
      <c r="E633" s="385">
        <f>AA623</f>
        <v>24.042485047569478</v>
      </c>
    </row>
    <row r="634" spans="1:28" x14ac:dyDescent="0.2">
      <c r="A634" s="345" t="s">
        <v>485</v>
      </c>
      <c r="B634" s="345" t="s">
        <v>622</v>
      </c>
      <c r="C634" s="385">
        <f>Pole2</f>
        <v>0.24107104998798903</v>
      </c>
      <c r="D634" s="385">
        <f>Q624</f>
        <v>83.973620144521561</v>
      </c>
      <c r="E634" s="385">
        <f>AA624</f>
        <v>59.447819845458412</v>
      </c>
    </row>
    <row r="635" spans="1:28" x14ac:dyDescent="0.2">
      <c r="A635" s="345" t="s">
        <v>480</v>
      </c>
      <c r="B635" s="345" t="s">
        <v>623</v>
      </c>
      <c r="C635" s="385">
        <f>Zero2</f>
        <v>798.48958094399131</v>
      </c>
      <c r="D635" s="385">
        <f>Q625</f>
        <v>16.038828201710157</v>
      </c>
      <c r="E635" s="385">
        <f>AA625</f>
        <v>55.900895648913377</v>
      </c>
    </row>
    <row r="636" spans="1:28" x14ac:dyDescent="0.2">
      <c r="A636" s="345" t="s">
        <v>478</v>
      </c>
      <c r="B636" s="345" t="s">
        <v>620</v>
      </c>
      <c r="C636" s="345">
        <f>pole3</f>
        <v>125000</v>
      </c>
      <c r="D636" s="385">
        <f>Q626</f>
        <v>-35.687988785642737</v>
      </c>
      <c r="E636" s="385">
        <f>AA626</f>
        <v>22.592044592409724</v>
      </c>
    </row>
    <row r="637" spans="1:28" x14ac:dyDescent="0.2">
      <c r="A637" s="345" t="s">
        <v>608</v>
      </c>
      <c r="B637" s="345" t="s">
        <v>624</v>
      </c>
      <c r="C637" s="441">
        <f>z_RHP</f>
        <v>44322.846065897655</v>
      </c>
      <c r="D637" s="385">
        <f>Q628</f>
        <v>-23.715246054012727</v>
      </c>
      <c r="E637" s="385">
        <f>AA628</f>
        <v>26.34938397673092</v>
      </c>
    </row>
    <row r="639" spans="1:28" x14ac:dyDescent="0.2">
      <c r="A639" s="385">
        <f>Q4*1000</f>
        <v>4365.2</v>
      </c>
    </row>
    <row r="640" spans="1:28" x14ac:dyDescent="0.2">
      <c r="A640" s="385">
        <f>Q4*1000</f>
        <v>4365.2</v>
      </c>
    </row>
    <row r="687" spans="30:31" x14ac:dyDescent="0.2">
      <c r="AD687" t="s">
        <v>48</v>
      </c>
      <c r="AE687" s="4">
        <f>SUM(AE689:AE1306)</f>
        <v>0</v>
      </c>
    </row>
  </sheetData>
  <mergeCells count="20">
    <mergeCell ref="X10:Y10"/>
    <mergeCell ref="AA10:AB10"/>
    <mergeCell ref="C11:D11"/>
    <mergeCell ref="E11:F11"/>
    <mergeCell ref="I11:J11"/>
    <mergeCell ref="K11:L11"/>
    <mergeCell ref="M11:N11"/>
    <mergeCell ref="O11:P11"/>
    <mergeCell ref="B10:B11"/>
    <mergeCell ref="A2:D2"/>
    <mergeCell ref="J2:L2"/>
    <mergeCell ref="M2:O2"/>
    <mergeCell ref="A10:A12"/>
    <mergeCell ref="O10:P10"/>
    <mergeCell ref="P2:R2"/>
    <mergeCell ref="G11:H11"/>
    <mergeCell ref="E2:G2"/>
    <mergeCell ref="C10:H10"/>
    <mergeCell ref="I10:N10"/>
    <mergeCell ref="Q10:S10"/>
  </mergeCells>
  <pageMargins left="0.75" right="0.75" top="1" bottom="1" header="0.5" footer="0.5"/>
  <pageSetup scale="48" orientation="portrait" horizontalDpi="300" verticalDpi="300" r:id="rId1"/>
  <headerFooter alignWithMargins="0"/>
  <colBreaks count="1" manualBreakCount="1">
    <brk id="19" max="1048575" man="1"/>
  </colBreaks>
  <ignoredErrors>
    <ignoredError sqref="F13 A628" 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"/>
  <dimension ref="A2:P159"/>
  <sheetViews>
    <sheetView workbookViewId="0">
      <selection activeCell="N19" sqref="N19"/>
    </sheetView>
  </sheetViews>
  <sheetFormatPr defaultRowHeight="12.75" x14ac:dyDescent="0.2"/>
  <cols>
    <col min="1" max="1" width="17.28515625" customWidth="1"/>
    <col min="2" max="2" width="12" bestFit="1" customWidth="1"/>
    <col min="3" max="4" width="12.42578125" bestFit="1" customWidth="1"/>
    <col min="7" max="8" width="12.42578125" bestFit="1" customWidth="1"/>
    <col min="13" max="13" width="12.140625" customWidth="1"/>
    <col min="14" max="14" width="12.42578125" bestFit="1" customWidth="1"/>
    <col min="15" max="15" width="15.42578125" customWidth="1"/>
  </cols>
  <sheetData>
    <row r="2" spans="1:16" x14ac:dyDescent="0.2">
      <c r="A2" t="s">
        <v>193</v>
      </c>
      <c r="B2" t="s">
        <v>183</v>
      </c>
      <c r="C2" t="s">
        <v>33</v>
      </c>
      <c r="D2" t="s">
        <v>34</v>
      </c>
      <c r="E2" t="s">
        <v>27</v>
      </c>
      <c r="F2" t="s">
        <v>61</v>
      </c>
      <c r="G2" s="118" t="s">
        <v>438</v>
      </c>
      <c r="H2" s="118" t="s">
        <v>464</v>
      </c>
      <c r="I2" t="s">
        <v>191</v>
      </c>
      <c r="J2" t="s">
        <v>204</v>
      </c>
    </row>
    <row r="3" spans="1:16" x14ac:dyDescent="0.2">
      <c r="A3" t="s">
        <v>196</v>
      </c>
      <c r="B3">
        <f>Css</f>
        <v>2.1875000000000002E-7</v>
      </c>
      <c r="C3">
        <f>Cc1ea</f>
        <v>2.3860020812255342E-8</v>
      </c>
      <c r="D3">
        <f>Cc2ea</f>
        <v>7.0106451592707354E-10</v>
      </c>
      <c r="E3">
        <f>Cout</f>
        <v>9.8999999999999999E-4</v>
      </c>
      <c r="F3">
        <f>Cin</f>
        <v>2.9E-4</v>
      </c>
      <c r="G3">
        <f>Csideal*10^-12</f>
        <v>2.6666666666666668E-10</v>
      </c>
      <c r="H3">
        <f>N19</f>
        <v>4.1666666666666663E-8</v>
      </c>
      <c r="I3">
        <f>Csb</f>
        <v>1000</v>
      </c>
      <c r="J3">
        <f>Csby</f>
        <v>4.1666666666666663E-8</v>
      </c>
      <c r="M3" t="s">
        <v>198</v>
      </c>
      <c r="N3" t="s">
        <v>199</v>
      </c>
      <c r="O3" s="2" t="s">
        <v>195</v>
      </c>
    </row>
    <row r="4" spans="1:16" x14ac:dyDescent="0.2">
      <c r="A4" s="7" t="s">
        <v>195</v>
      </c>
      <c r="B4" s="7">
        <f>SUM(B6:B158)/1000000000000</f>
        <v>2.2000000000000001E-7</v>
      </c>
      <c r="C4" s="7">
        <f>SUM(C6:C158)/1000000000000000</f>
        <v>2.2000000000000002E-11</v>
      </c>
      <c r="D4" s="7">
        <f>SUM(D6:D158)/1000000000000</f>
        <v>6.8000000000000003E-10</v>
      </c>
      <c r="E4" s="7">
        <f>SUM(E6:E158)/1000000000000</f>
        <v>1E-3</v>
      </c>
      <c r="F4" s="7">
        <f>SUM(F6:F158)/1000000000000</f>
        <v>2.7E-4</v>
      </c>
      <c r="G4" s="7">
        <f>SUM(G6:G158)/1000000000000</f>
        <v>2.7E-10</v>
      </c>
      <c r="H4" s="7">
        <f t="shared" ref="H4:J4" si="0">IF(H3="OPEN","OPEN",SUM(H6:H158)/1000000000000)</f>
        <v>3.8999999999999998E-8</v>
      </c>
      <c r="I4" s="7">
        <f t="shared" si="0"/>
        <v>0</v>
      </c>
      <c r="J4" s="7">
        <f t="shared" si="0"/>
        <v>3.8999999999999998E-8</v>
      </c>
      <c r="M4" s="118" t="s">
        <v>359</v>
      </c>
      <c r="N4">
        <f>Rfadj</f>
        <v>32844.827586206899</v>
      </c>
      <c r="O4" s="2">
        <f t="shared" ref="O4:O9" si="1">IF(N4&gt;(INT(0.5+100*POWER(10,IF(96*(LOG(N4)-INT(LOG(N4)))-ROUND(96*(LOG(N4)-INT(LOG(N4))),0)&lt;0,ROUND(96*(LOG(N4)-INT(LOG(N4))),0)-1,ROUND(96*(LOG(N4)-INT(LOG(N4))),0))/96))*POWER(10,INT(LOG(N4))-2)+INT(0.5+100*POWER(10,(IF(96*(LOG(N4)-INT(LOG(N4)))-ROUND(96*(LOG(N4)-INT(LOG(N4))),0)&lt;0,ROUND(96*(LOG(N4)-INT(LOG(N4))),0)-1,ROUND(96*(LOG(N4)-INT(LOG(N4))),0))+1)/96))*POWER(10,INT(LOG(N4))-2))/2,INT(0.5+100*POWER(10,(IF(96*(LOG(N4)-INT(LOG(N4)))-ROUND(96*(LOG(N4)-INT(LOG(N4))),0)&lt;0,ROUND(96*(LOG(N4)-INT(LOG(N4))),0)-1,ROUND(96*(LOG(N4)-INT(LOG(N4))),0))+1)/96))*POWER(10,INT(LOG(N4))-2),INT(0.5+100*POWER(10,IF(96*(LOG(N4)-INT(LOG(N4)))-ROUND(96*(LOG(N4)-INT(LOG(N4))),0)&lt;0,ROUND(96*(LOG(N4)-INT(LOG(N4))),0)-1,ROUND(96*(LOG(N4)-INT(LOG(N4))),0))/96))*POWER(10,INT(LOG(N4))-2))</f>
        <v>33200</v>
      </c>
      <c r="P4" s="45" t="s">
        <v>347</v>
      </c>
    </row>
    <row r="5" spans="1:16" x14ac:dyDescent="0.2">
      <c r="A5" t="s">
        <v>194</v>
      </c>
      <c r="O5" s="2"/>
      <c r="P5" s="45"/>
    </row>
    <row r="6" spans="1:16" x14ac:dyDescent="0.2">
      <c r="A6">
        <v>0.47</v>
      </c>
      <c r="B6">
        <f t="shared" ref="B6:J6" si="2">IF(IF((B$3*10^12-$A7)*(B$3*10^12-$A6)*-1&lt;0,0,1)*IF(ABS(B$3*10^12-$A7)&gt;(B$3*10^12-$A6),$A6,$A7)=B7,0,IF((B$3*10^12-$A7)*(B$3*10^12-$A6)*-1&lt;0,0,1)*IF(ABS(B$3*10^12-$A7)&gt;(B$3*10^12-$A6),$A6,$A7))</f>
        <v>0</v>
      </c>
      <c r="C6">
        <f t="shared" si="2"/>
        <v>0</v>
      </c>
      <c r="D6">
        <f t="shared" si="2"/>
        <v>0</v>
      </c>
      <c r="E6">
        <f t="shared" si="2"/>
        <v>0</v>
      </c>
      <c r="F6">
        <f t="shared" si="2"/>
        <v>0</v>
      </c>
      <c r="G6">
        <f t="shared" si="2"/>
        <v>0</v>
      </c>
      <c r="H6">
        <f t="shared" si="2"/>
        <v>0</v>
      </c>
      <c r="I6">
        <f t="shared" si="2"/>
        <v>0</v>
      </c>
      <c r="J6">
        <f t="shared" si="2"/>
        <v>0</v>
      </c>
      <c r="M6" s="118" t="s">
        <v>454</v>
      </c>
      <c r="N6" s="53" t="e">
        <f>Rshunt</f>
        <v>#VALUE!</v>
      </c>
      <c r="O6" s="2" t="e">
        <f t="shared" si="1"/>
        <v>#VALUE!</v>
      </c>
      <c r="P6" s="45" t="s">
        <v>347</v>
      </c>
    </row>
    <row r="7" spans="1:16" x14ac:dyDescent="0.2">
      <c r="A7">
        <v>0.56000000000000005</v>
      </c>
      <c r="B7">
        <f t="shared" ref="B7:B70" si="3">IF(IF((B$3*10^12-$A8)*(B$3*10^12-$A7)*-1&lt;0,0,1)*IF(ABS(B$3*10^12-$A8)&gt;(B$3*10^12-$A7),$A7,$A8)=B8,0,IF((B$3*10^12-$A8)*(B$3*10^12-$A7)*-1&lt;0,0,1)*IF(ABS(B$3*10^12-$A8)&gt;(B$3*10^12-$A7),$A7,$A8))</f>
        <v>0</v>
      </c>
      <c r="C7">
        <f t="shared" ref="C7:C38" si="4">IF(IF((C$3*10^12-$A8)*(C$3*10^12-$A7)*-1&lt;0,0,1)*IF(ABS(C$3*10^12-$A8)&gt;(C$3*10^12-$A7),$A7,$A8)=C8,0,IF((C$3*10^12-$A8)*(C$3*10^12-$A7)*-1&lt;0,0,1)*IF(ABS(C$3*10^12-$A8)&gt;(C$3*10^12-$A7),$A7,$A8))</f>
        <v>0</v>
      </c>
      <c r="D7">
        <f t="shared" ref="D7:D69" si="5">IF(IF((D$3*10^12-$A8)*(D$3*10^12-$A7)*-1&lt;0,0,1)*IF(ABS(D$3*10^12-$A8)&gt;(D$3*10^12-$A7),$A7,$A8)=D8,0,IF((D$3*10^12-$A8)*(D$3*10^12-$A7)*-1&lt;0,0,1)*IF(ABS(D$3*10^12-$A8)&gt;(D$3*10^12-$A7),$A7,$A8))</f>
        <v>0</v>
      </c>
      <c r="E7">
        <f t="shared" ref="E7:E69" si="6">IF(IF((E$3*10^12-$A8)*(E$3*10^12-$A7)*-1&lt;0,0,1)*IF(ABS(E$3*10^12-$A8)&gt;(E$3*10^12-$A7),$A7,$A8)=E8,0,IF((E$3*10^12-$A8)*(E$3*10^12-$A7)*-1&lt;0,0,1)*IF(ABS(E$3*10^12-$A8)&gt;(E$3*10^12-$A7),$A7,$A8))</f>
        <v>0</v>
      </c>
      <c r="F7">
        <f t="shared" ref="F7:F69" si="7">IF(IF((F$3*10^12-$A8)*(F$3*10^12-$A7)*-1&lt;0,0,1)*IF(ABS(F$3*10^12-$A8)&gt;(F$3*10^12-$A7),$A7,$A8)=F8,0,IF((F$3*10^12-$A8)*(F$3*10^12-$A7)*-1&lt;0,0,1)*IF(ABS(F$3*10^12-$A8)&gt;(F$3*10^12-$A7),$A7,$A8))</f>
        <v>0</v>
      </c>
      <c r="G7">
        <f t="shared" ref="G7:J69" si="8">IF(IF((G$3*10^12-$A8)*(G$3*10^12-$A7)*-1&lt;0,0,1)*IF(ABS(G$3*10^12-$A8)&gt;(G$3*10^12-$A7),$A7,$A8)=G8,0,IF((G$3*10^12-$A8)*(G$3*10^12-$A7)*-1&lt;0,0,1)*IF(ABS(G$3*10^12-$A8)&gt;(G$3*10^12-$A7),$A7,$A8))</f>
        <v>0</v>
      </c>
      <c r="H7">
        <f t="shared" si="8"/>
        <v>0</v>
      </c>
      <c r="I7">
        <f t="shared" si="8"/>
        <v>0</v>
      </c>
      <c r="J7">
        <f t="shared" si="8"/>
        <v>0</v>
      </c>
      <c r="M7" t="s">
        <v>215</v>
      </c>
      <c r="N7">
        <f>Rcea1</f>
        <v>6260.6278411362937</v>
      </c>
      <c r="O7" s="2">
        <f t="shared" si="1"/>
        <v>6190</v>
      </c>
      <c r="P7" s="45" t="s">
        <v>347</v>
      </c>
    </row>
    <row r="8" spans="1:16" x14ac:dyDescent="0.2">
      <c r="A8">
        <v>0.68</v>
      </c>
      <c r="B8">
        <f t="shared" si="3"/>
        <v>0</v>
      </c>
      <c r="C8">
        <f t="shared" si="4"/>
        <v>0</v>
      </c>
      <c r="D8">
        <f t="shared" si="5"/>
        <v>0</v>
      </c>
      <c r="E8">
        <f t="shared" si="6"/>
        <v>0</v>
      </c>
      <c r="F8">
        <f t="shared" si="7"/>
        <v>0</v>
      </c>
      <c r="G8">
        <f t="shared" si="8"/>
        <v>0</v>
      </c>
      <c r="H8">
        <f t="shared" si="8"/>
        <v>0</v>
      </c>
      <c r="I8">
        <f t="shared" si="8"/>
        <v>0</v>
      </c>
      <c r="J8">
        <f t="shared" si="8"/>
        <v>0</v>
      </c>
      <c r="O8" s="2"/>
      <c r="P8" s="45"/>
    </row>
    <row r="9" spans="1:16" x14ac:dyDescent="0.2">
      <c r="A9">
        <v>0.82</v>
      </c>
      <c r="B9">
        <f t="shared" si="3"/>
        <v>0</v>
      </c>
      <c r="C9">
        <f t="shared" si="4"/>
        <v>0</v>
      </c>
      <c r="D9">
        <f t="shared" si="5"/>
        <v>0</v>
      </c>
      <c r="E9">
        <f t="shared" si="6"/>
        <v>0</v>
      </c>
      <c r="F9">
        <f t="shared" si="7"/>
        <v>0</v>
      </c>
      <c r="G9">
        <f t="shared" si="8"/>
        <v>0</v>
      </c>
      <c r="H9">
        <f t="shared" si="8"/>
        <v>0</v>
      </c>
      <c r="I9">
        <f t="shared" si="8"/>
        <v>0</v>
      </c>
      <c r="J9">
        <f t="shared" si="8"/>
        <v>0</v>
      </c>
      <c r="M9" t="s">
        <v>31</v>
      </c>
      <c r="N9">
        <f>Rfb1_</f>
        <v>310000</v>
      </c>
      <c r="O9" s="2">
        <f t="shared" si="1"/>
        <v>309000</v>
      </c>
      <c r="P9" s="45" t="s">
        <v>347</v>
      </c>
    </row>
    <row r="10" spans="1:16" x14ac:dyDescent="0.2">
      <c r="A10">
        <v>1</v>
      </c>
      <c r="B10">
        <f t="shared" si="3"/>
        <v>0</v>
      </c>
      <c r="C10">
        <f t="shared" si="4"/>
        <v>0</v>
      </c>
      <c r="D10">
        <f t="shared" si="5"/>
        <v>0</v>
      </c>
      <c r="E10">
        <f t="shared" si="6"/>
        <v>0</v>
      </c>
      <c r="F10">
        <f t="shared" si="7"/>
        <v>0</v>
      </c>
      <c r="G10">
        <f t="shared" si="8"/>
        <v>0</v>
      </c>
      <c r="H10">
        <f t="shared" si="8"/>
        <v>0</v>
      </c>
      <c r="I10">
        <f t="shared" si="8"/>
        <v>0</v>
      </c>
      <c r="J10">
        <f t="shared" si="8"/>
        <v>0</v>
      </c>
      <c r="M10" t="s">
        <v>43</v>
      </c>
      <c r="N10">
        <f>Rfb2_</f>
        <v>20666.666666666668</v>
      </c>
      <c r="O10" s="2">
        <f>IF(N10="OPEN","OPEN",IF(N10&gt;(INT(0.5+100*POWER(10,IF(96*(LOG(N10)-INT(LOG(N10)))-ROUND(96*(LOG(N10)-INT(LOG(N10))),0)&lt;0,ROUND(96*(LOG(N10)-INT(LOG(N10))),0)-1,ROUND(96*(LOG(N10)-INT(LOG(N10))),0))/96))*POWER(10,INT(LOG(N10))-2)+INT(0.5+100*POWER(10,(IF(96*(LOG(N10)-INT(LOG(N10)))-ROUND(96*(LOG(N10)-INT(LOG(N10))),0)&lt;0,ROUND(96*(LOG(N10)-INT(LOG(N10))),0)-1,ROUND(96*(LOG(N10)-INT(LOG(N10))),0))+1)/96))*POWER(10,INT(LOG(N10))-2))/2,INT(0.5+100*POWER(10,(IF(96*(LOG(N10)-INT(LOG(N10)))-ROUND(96*(LOG(N10)-INT(LOG(N10))),0)&lt;0,ROUND(96*(LOG(N10)-INT(LOG(N10))),0)-1,ROUND(96*(LOG(N10)-INT(LOG(N10))),0))+1)/96))*POWER(10,INT(LOG(N10))-2),INT(0.5+100*POWER(10,IF(96*(LOG(N10)-INT(LOG(N10)))-ROUND(96*(LOG(N10)-INT(LOG(N10))),0)&lt;0,ROUND(96*(LOG(N10)-INT(LOG(N10))),0)-1,ROUND(96*(LOG(N10)-INT(LOG(N10))),0))/96))*POWER(10,INT(LOG(N10))-2)))</f>
        <v>20500</v>
      </c>
      <c r="P10" s="45" t="s">
        <v>347</v>
      </c>
    </row>
    <row r="11" spans="1:16" x14ac:dyDescent="0.2">
      <c r="A11">
        <v>1.2</v>
      </c>
      <c r="B11">
        <f t="shared" si="3"/>
        <v>0</v>
      </c>
      <c r="C11">
        <f t="shared" si="4"/>
        <v>0</v>
      </c>
      <c r="D11">
        <f t="shared" si="5"/>
        <v>0</v>
      </c>
      <c r="E11">
        <f t="shared" si="6"/>
        <v>0</v>
      </c>
      <c r="F11">
        <f t="shared" si="7"/>
        <v>0</v>
      </c>
      <c r="G11">
        <f t="shared" si="8"/>
        <v>0</v>
      </c>
      <c r="H11">
        <f t="shared" si="8"/>
        <v>0</v>
      </c>
      <c r="I11">
        <f t="shared" si="8"/>
        <v>0</v>
      </c>
      <c r="J11">
        <f t="shared" si="8"/>
        <v>0</v>
      </c>
      <c r="O11" s="2"/>
    </row>
    <row r="12" spans="1:16" x14ac:dyDescent="0.2">
      <c r="A12">
        <v>1.5</v>
      </c>
      <c r="B12">
        <f t="shared" si="3"/>
        <v>0</v>
      </c>
      <c r="C12">
        <f t="shared" si="4"/>
        <v>0</v>
      </c>
      <c r="D12">
        <f t="shared" si="5"/>
        <v>0</v>
      </c>
      <c r="E12">
        <f t="shared" si="6"/>
        <v>0</v>
      </c>
      <c r="F12">
        <f t="shared" si="7"/>
        <v>0</v>
      </c>
      <c r="G12">
        <f t="shared" si="8"/>
        <v>0</v>
      </c>
      <c r="H12">
        <f t="shared" si="8"/>
        <v>0</v>
      </c>
      <c r="I12">
        <f t="shared" si="8"/>
        <v>0</v>
      </c>
      <c r="J12">
        <f t="shared" si="8"/>
        <v>0</v>
      </c>
      <c r="O12" s="2"/>
    </row>
    <row r="13" spans="1:16" x14ac:dyDescent="0.2">
      <c r="A13">
        <v>1.8</v>
      </c>
      <c r="B13">
        <f t="shared" si="3"/>
        <v>0</v>
      </c>
      <c r="C13">
        <f t="shared" si="4"/>
        <v>0</v>
      </c>
      <c r="D13">
        <f t="shared" si="5"/>
        <v>0</v>
      </c>
      <c r="E13">
        <f t="shared" si="6"/>
        <v>0</v>
      </c>
      <c r="F13">
        <f t="shared" si="7"/>
        <v>0</v>
      </c>
      <c r="G13">
        <f t="shared" si="8"/>
        <v>0</v>
      </c>
      <c r="H13">
        <f t="shared" si="8"/>
        <v>0</v>
      </c>
      <c r="I13">
        <f t="shared" si="8"/>
        <v>0</v>
      </c>
      <c r="J13">
        <f t="shared" si="8"/>
        <v>0</v>
      </c>
      <c r="M13" s="118" t="s">
        <v>200</v>
      </c>
      <c r="N13">
        <f>Rs_ideal*1000</f>
        <v>2.9506497232943962</v>
      </c>
      <c r="O13" s="2">
        <f>IF(N13=0,0,IF(N13&gt;(INT(0.5+100*POWER(10,IF(96*(LOG(N13)-INT(LOG(N13)))-ROUND(96*(LOG(N13)-INT(LOG(N13))),0)&lt;0,ROUND(96*(LOG(N13)-INT(LOG(N13))),0)-1,ROUND(96*(LOG(N13)-INT(LOG(N13))),0))/96))*POWER(10,INT(LOG(N13))-2)+INT(0.5+100*POWER(10,(IF(96*(LOG(N13)-INT(LOG(N13)))-ROUND(96*(LOG(N13)-INT(LOG(N13))),0)&lt;0,ROUND(96*(LOG(N13)-INT(LOG(N13))),0)-1,ROUND(96*(LOG(N13)-INT(LOG(N13))),0))+1)/96))*POWER(10,INT(LOG(N13))-2))/2,INT(0.5+100*POWER(10,(IF(96*(LOG(N13)-INT(LOG(N13)))-ROUND(96*(LOG(N13)-INT(LOG(N13))),0)&lt;0,ROUND(96*(LOG(N13)-INT(LOG(N13))),0)-1,ROUND(96*(LOG(N13)-INT(LOG(N13))),0))+1)/96))*POWER(10,INT(LOG(N13))-2),INT(0.5+100*POWER(10,IF(96*(LOG(N13)-INT(LOG(N13)))-ROUND(96*(LOG(N13)-INT(LOG(N13))),0)&lt;0,ROUND(96*(LOG(N13)-INT(LOG(N13))),0)-1,ROUND(96*(LOG(N13)-INT(LOG(N13))),0))/96))*POWER(10,INT(LOG(N13))-2)))</f>
        <v>2.94</v>
      </c>
      <c r="P13" s="45" t="s">
        <v>437</v>
      </c>
    </row>
    <row r="14" spans="1:16" x14ac:dyDescent="0.2">
      <c r="A14">
        <v>2.2000000000000002</v>
      </c>
      <c r="B14">
        <f t="shared" ref="B14:J14" si="9">IF(IF((B$3*10^12-$A15)*(B$3*10^12-$A14)*-1&lt;0,0,1)*IF(ABS(B$3*10^12-$A15)&gt;(B$3*10^12-$A14),$A14,$A15)=B15,0,IF((B$3*10^12-$A15)*(B$3*10^12-$A14)*-1&lt;0,0,1)*IF(ABS(B$3*10^12-$A15)&gt;(B$3*10^12-$A14),$A14,$A15))</f>
        <v>0</v>
      </c>
      <c r="C14">
        <f t="shared" si="9"/>
        <v>0</v>
      </c>
      <c r="D14">
        <f t="shared" si="9"/>
        <v>0</v>
      </c>
      <c r="E14">
        <f t="shared" si="9"/>
        <v>0</v>
      </c>
      <c r="F14">
        <f t="shared" si="9"/>
        <v>0</v>
      </c>
      <c r="G14">
        <f t="shared" si="9"/>
        <v>0</v>
      </c>
      <c r="H14">
        <f t="shared" si="9"/>
        <v>0</v>
      </c>
      <c r="I14">
        <f t="shared" si="9"/>
        <v>0</v>
      </c>
      <c r="J14">
        <f t="shared" si="9"/>
        <v>0</v>
      </c>
      <c r="M14" s="118" t="s">
        <v>436</v>
      </c>
      <c r="N14">
        <f>Cslope_ideal</f>
        <v>266.66666666666669</v>
      </c>
      <c r="O14">
        <f>G4*1000000000000</f>
        <v>270</v>
      </c>
      <c r="P14" s="118" t="s">
        <v>32</v>
      </c>
    </row>
    <row r="15" spans="1:16" x14ac:dyDescent="0.2">
      <c r="A15">
        <v>2.7</v>
      </c>
      <c r="B15">
        <f t="shared" si="3"/>
        <v>0</v>
      </c>
      <c r="C15">
        <f t="shared" si="4"/>
        <v>0</v>
      </c>
      <c r="D15">
        <f t="shared" si="5"/>
        <v>0</v>
      </c>
      <c r="E15">
        <f t="shared" si="6"/>
        <v>0</v>
      </c>
      <c r="F15">
        <f t="shared" si="7"/>
        <v>0</v>
      </c>
      <c r="G15">
        <f t="shared" si="8"/>
        <v>0</v>
      </c>
      <c r="H15">
        <f t="shared" si="8"/>
        <v>0</v>
      </c>
      <c r="I15">
        <f t="shared" si="8"/>
        <v>0</v>
      </c>
      <c r="J15">
        <f t="shared" si="8"/>
        <v>0</v>
      </c>
    </row>
    <row r="16" spans="1:16" x14ac:dyDescent="0.2">
      <c r="A16">
        <v>3.3</v>
      </c>
      <c r="B16">
        <f t="shared" si="3"/>
        <v>0</v>
      </c>
      <c r="C16">
        <f t="shared" si="4"/>
        <v>0</v>
      </c>
      <c r="D16">
        <f t="shared" si="5"/>
        <v>0</v>
      </c>
      <c r="E16">
        <f t="shared" si="6"/>
        <v>0</v>
      </c>
      <c r="F16">
        <f t="shared" si="7"/>
        <v>0</v>
      </c>
      <c r="G16">
        <f t="shared" si="8"/>
        <v>0</v>
      </c>
      <c r="H16">
        <f t="shared" si="8"/>
        <v>0</v>
      </c>
      <c r="I16">
        <f t="shared" si="8"/>
        <v>0</v>
      </c>
      <c r="J16">
        <f t="shared" si="8"/>
        <v>0</v>
      </c>
      <c r="M16" s="118" t="s">
        <v>340</v>
      </c>
      <c r="N16">
        <f>Ruvlo1</f>
        <v>249</v>
      </c>
      <c r="O16" s="2">
        <f>IF(N16="OPEN","OPEN",IF(N16&gt;(INT(0.5+100*POWER(10,IF(96*(LOG(N16)-INT(LOG(N16)))-ROUND(96*(LOG(N16)-INT(LOG(N16))),0)&lt;0,ROUND(96*(LOG(N16)-INT(LOG(N16))),0)-1,ROUND(96*(LOG(N16)-INT(LOG(N16))),0))/96))*POWER(10,INT(LOG(N16))-2)+INT(0.5+100*POWER(10,(IF(96*(LOG(N16)-INT(LOG(N16)))-ROUND(96*(LOG(N16)-INT(LOG(N16))),0)&lt;0,ROUND(96*(LOG(N16)-INT(LOG(N16))),0)-1,ROUND(96*(LOG(N16)-INT(LOG(N16))),0))+1)/96))*POWER(10,INT(LOG(N16))-2))/2,INT(0.5+100*POWER(10,(IF(96*(LOG(N16)-INT(LOG(N16)))-ROUND(96*(LOG(N16)-INT(LOG(N16))),0)&lt;0,ROUND(96*(LOG(N16)-INT(LOG(N16))),0)-1,ROUND(96*(LOG(N16)-INT(LOG(N16))),0))+1)/96))*POWER(10,INT(LOG(N16))-2),INT(0.5+100*POWER(10,IF(96*(LOG(N16)-INT(LOG(N16)))-ROUND(96*(LOG(N16)-INT(LOG(N16))),0)&lt;0,ROUND(96*(LOG(N16)-INT(LOG(N16))),0)-1,ROUND(96*(LOG(N16)-INT(LOG(N16))),0))/96))*POWER(10,INT(LOG(N16))-2)))</f>
        <v>249</v>
      </c>
      <c r="P16" s="45" t="s">
        <v>309</v>
      </c>
    </row>
    <row r="17" spans="1:16" x14ac:dyDescent="0.2">
      <c r="A17">
        <v>3.9</v>
      </c>
      <c r="B17">
        <f t="shared" si="3"/>
        <v>0</v>
      </c>
      <c r="C17">
        <f t="shared" si="4"/>
        <v>0</v>
      </c>
      <c r="D17">
        <f t="shared" si="5"/>
        <v>0</v>
      </c>
      <c r="E17">
        <f t="shared" si="6"/>
        <v>0</v>
      </c>
      <c r="F17">
        <f t="shared" si="7"/>
        <v>0</v>
      </c>
      <c r="G17">
        <f t="shared" si="8"/>
        <v>0</v>
      </c>
      <c r="H17">
        <f t="shared" si="8"/>
        <v>0</v>
      </c>
      <c r="I17">
        <f t="shared" si="8"/>
        <v>0</v>
      </c>
      <c r="J17">
        <f t="shared" si="8"/>
        <v>0</v>
      </c>
      <c r="M17" s="118" t="s">
        <v>341</v>
      </c>
      <c r="N17">
        <f>Ruvlo2</f>
        <v>36.807987301741164</v>
      </c>
      <c r="O17" s="2">
        <f>IF(N17="OPEN","OPEN",IF(N17&gt;(INT(0.5+100*POWER(10,IF(96*(LOG(N17)-INT(LOG(N17)))-ROUND(96*(LOG(N17)-INT(LOG(N17))),0)&lt;0,ROUND(96*(LOG(N17)-INT(LOG(N17))),0)-1,ROUND(96*(LOG(N17)-INT(LOG(N17))),0))/96))*POWER(10,INT(LOG(N17))-2)+INT(0.5+100*POWER(10,(IF(96*(LOG(N17)-INT(LOG(N17)))-ROUND(96*(LOG(N17)-INT(LOG(N17))),0)&lt;0,ROUND(96*(LOG(N17)-INT(LOG(N17))),0)-1,ROUND(96*(LOG(N17)-INT(LOG(N17))),0))+1)/96))*POWER(10,INT(LOG(N17))-2))/2,INT(0.5+100*POWER(10,(IF(96*(LOG(N17)-INT(LOG(N17)))-ROUND(96*(LOG(N17)-INT(LOG(N17))),0)&lt;0,ROUND(96*(LOG(N17)-INT(LOG(N17))),0)-1,ROUND(96*(LOG(N17)-INT(LOG(N17))),0))+1)/96))*POWER(10,INT(LOG(N17))-2),INT(0.5+100*POWER(10,IF(96*(LOG(N17)-INT(LOG(N17)))-ROUND(96*(LOG(N17)-INT(LOG(N17))),0)&lt;0,ROUND(96*(LOG(N17)-INT(LOG(N17))),0)-1,ROUND(96*(LOG(N17)-INT(LOG(N17))),0))/96))*POWER(10,INT(LOG(N17))-2)))</f>
        <v>36.5</v>
      </c>
      <c r="P17" s="45" t="s">
        <v>309</v>
      </c>
    </row>
    <row r="18" spans="1:16" x14ac:dyDescent="0.2">
      <c r="A18">
        <v>4.7</v>
      </c>
      <c r="B18">
        <f t="shared" si="3"/>
        <v>0</v>
      </c>
      <c r="C18">
        <f t="shared" si="4"/>
        <v>0</v>
      </c>
      <c r="D18">
        <f t="shared" si="5"/>
        <v>0</v>
      </c>
      <c r="E18">
        <f t="shared" si="6"/>
        <v>0</v>
      </c>
      <c r="F18">
        <f t="shared" si="7"/>
        <v>0</v>
      </c>
      <c r="G18">
        <f t="shared" si="8"/>
        <v>0</v>
      </c>
      <c r="H18">
        <f t="shared" si="8"/>
        <v>0</v>
      </c>
      <c r="I18">
        <f t="shared" si="8"/>
        <v>0</v>
      </c>
      <c r="J18">
        <f t="shared" si="8"/>
        <v>0</v>
      </c>
      <c r="O18" s="2"/>
    </row>
    <row r="19" spans="1:16" x14ac:dyDescent="0.2">
      <c r="A19">
        <v>5.6</v>
      </c>
      <c r="B19">
        <f t="shared" si="3"/>
        <v>0</v>
      </c>
      <c r="C19">
        <f t="shared" si="4"/>
        <v>0</v>
      </c>
      <c r="D19">
        <f t="shared" si="5"/>
        <v>0</v>
      </c>
      <c r="E19">
        <f t="shared" si="6"/>
        <v>0</v>
      </c>
      <c r="F19">
        <f t="shared" si="7"/>
        <v>0</v>
      </c>
      <c r="G19">
        <f t="shared" si="8"/>
        <v>0</v>
      </c>
      <c r="H19">
        <f t="shared" si="8"/>
        <v>0</v>
      </c>
      <c r="I19">
        <f t="shared" si="8"/>
        <v>0</v>
      </c>
      <c r="J19">
        <f t="shared" si="8"/>
        <v>0</v>
      </c>
      <c r="M19" s="118" t="s">
        <v>464</v>
      </c>
      <c r="N19">
        <f>Csby</f>
        <v>4.1666666666666663E-8</v>
      </c>
      <c r="O19" s="2">
        <f>H4</f>
        <v>3.8999999999999998E-8</v>
      </c>
    </row>
    <row r="20" spans="1:16" x14ac:dyDescent="0.2">
      <c r="A20">
        <v>6.8</v>
      </c>
      <c r="B20">
        <f t="shared" si="3"/>
        <v>0</v>
      </c>
      <c r="C20">
        <f t="shared" si="4"/>
        <v>0</v>
      </c>
      <c r="D20">
        <f t="shared" si="5"/>
        <v>0</v>
      </c>
      <c r="E20">
        <f t="shared" si="6"/>
        <v>0</v>
      </c>
      <c r="F20">
        <f t="shared" si="7"/>
        <v>0</v>
      </c>
      <c r="G20">
        <f t="shared" si="8"/>
        <v>0</v>
      </c>
      <c r="H20">
        <f t="shared" si="8"/>
        <v>0</v>
      </c>
      <c r="I20">
        <f t="shared" si="8"/>
        <v>0</v>
      </c>
      <c r="J20">
        <f t="shared" si="8"/>
        <v>0</v>
      </c>
      <c r="O20" s="2"/>
    </row>
    <row r="21" spans="1:16" x14ac:dyDescent="0.2">
      <c r="A21">
        <v>8.1999999999999993</v>
      </c>
      <c r="B21">
        <f t="shared" si="3"/>
        <v>0</v>
      </c>
      <c r="C21">
        <f t="shared" si="4"/>
        <v>0</v>
      </c>
      <c r="D21">
        <f t="shared" si="5"/>
        <v>0</v>
      </c>
      <c r="E21">
        <f t="shared" si="6"/>
        <v>0</v>
      </c>
      <c r="F21">
        <f t="shared" si="7"/>
        <v>0</v>
      </c>
      <c r="G21">
        <f t="shared" si="8"/>
        <v>0</v>
      </c>
      <c r="H21">
        <f t="shared" si="8"/>
        <v>0</v>
      </c>
      <c r="I21">
        <f t="shared" si="8"/>
        <v>0</v>
      </c>
      <c r="J21">
        <f t="shared" si="8"/>
        <v>0</v>
      </c>
      <c r="M21" s="118" t="s">
        <v>454</v>
      </c>
      <c r="N21" s="335" t="e">
        <f>Rshunt</f>
        <v>#VALUE!</v>
      </c>
      <c r="O21" s="2" t="e">
        <f>IF(N21=0,0,IF(N21&gt;(INT(0.5+100*POWER(10,IF(96*(LOG(N21)-INT(LOG(N21)))-ROUND(96*(LOG(N21)-INT(LOG(N21))),0)&lt;0,ROUND(96*(LOG(N21)-INT(LOG(N21))),0)-1,ROUND(96*(LOG(N21)-INT(LOG(N21))),0))/96))*POWER(10,INT(LOG(N21))-2)+INT(0.5+100*POWER(10,(IF(96*(LOG(N21)-INT(LOG(N21)))-ROUND(96*(LOG(N21)-INT(LOG(N21))),0)&lt;0,ROUND(96*(LOG(N21)-INT(LOG(N21))),0)-1,ROUND(96*(LOG(N21)-INT(LOG(N21))),0))+1)/96))*POWER(10,INT(LOG(N21))-2))/2,INT(0.5+100*POWER(10,(IF(96*(LOG(N21)-INT(LOG(N21)))-ROUND(96*(LOG(N21)-INT(LOG(N21))),0)&lt;0,ROUND(96*(LOG(N21)-INT(LOG(N21))),0)-1,ROUND(96*(LOG(N21)-INT(LOG(N21))),0))+1)/96))*POWER(10,INT(LOG(N21))-2),INT(0.5+100*POWER(10,IF(96*(LOG(N21)-INT(LOG(N21)))-ROUND(96*(LOG(N21)-INT(LOG(N21))),0)&lt;0,ROUND(96*(LOG(N21)-INT(LOG(N21))),0)-1,ROUND(96*(LOG(N21)-INT(LOG(N21))),0))/96))*POWER(10,INT(LOG(N21))-2)))</f>
        <v>#VALUE!</v>
      </c>
      <c r="P21" s="45" t="s">
        <v>437</v>
      </c>
    </row>
    <row r="22" spans="1:16" x14ac:dyDescent="0.2">
      <c r="A22">
        <v>10</v>
      </c>
      <c r="B22">
        <f t="shared" si="3"/>
        <v>0</v>
      </c>
      <c r="C22">
        <f t="shared" si="4"/>
        <v>0</v>
      </c>
      <c r="D22">
        <f t="shared" si="5"/>
        <v>0</v>
      </c>
      <c r="E22">
        <f t="shared" si="6"/>
        <v>0</v>
      </c>
      <c r="F22">
        <f t="shared" si="7"/>
        <v>0</v>
      </c>
      <c r="G22">
        <f t="shared" si="8"/>
        <v>0</v>
      </c>
      <c r="H22">
        <f t="shared" si="8"/>
        <v>0</v>
      </c>
      <c r="I22">
        <f t="shared" si="8"/>
        <v>0</v>
      </c>
      <c r="J22">
        <f t="shared" si="8"/>
        <v>0</v>
      </c>
    </row>
    <row r="23" spans="1:16" x14ac:dyDescent="0.2">
      <c r="A23">
        <v>12</v>
      </c>
      <c r="B23">
        <f t="shared" si="3"/>
        <v>0</v>
      </c>
      <c r="C23">
        <f t="shared" si="4"/>
        <v>0</v>
      </c>
      <c r="D23">
        <f t="shared" si="5"/>
        <v>0</v>
      </c>
      <c r="E23">
        <f t="shared" si="6"/>
        <v>0</v>
      </c>
      <c r="F23">
        <f t="shared" si="7"/>
        <v>0</v>
      </c>
      <c r="G23">
        <f t="shared" si="8"/>
        <v>0</v>
      </c>
      <c r="H23">
        <f t="shared" si="8"/>
        <v>0</v>
      </c>
      <c r="I23">
        <f t="shared" si="8"/>
        <v>0</v>
      </c>
      <c r="J23">
        <f t="shared" si="8"/>
        <v>0</v>
      </c>
      <c r="O23" s="2"/>
    </row>
    <row r="24" spans="1:16" x14ac:dyDescent="0.2">
      <c r="A24">
        <v>15</v>
      </c>
      <c r="B24">
        <f t="shared" si="3"/>
        <v>0</v>
      </c>
      <c r="C24">
        <f t="shared" si="4"/>
        <v>0</v>
      </c>
      <c r="D24">
        <f t="shared" si="5"/>
        <v>0</v>
      </c>
      <c r="E24">
        <f t="shared" si="6"/>
        <v>0</v>
      </c>
      <c r="F24">
        <f t="shared" si="7"/>
        <v>0</v>
      </c>
      <c r="G24">
        <f t="shared" si="8"/>
        <v>0</v>
      </c>
      <c r="H24">
        <f t="shared" si="8"/>
        <v>0</v>
      </c>
      <c r="I24">
        <f t="shared" si="8"/>
        <v>0</v>
      </c>
      <c r="J24">
        <f t="shared" si="8"/>
        <v>0</v>
      </c>
      <c r="M24" s="118"/>
      <c r="O24" s="2"/>
      <c r="P24" s="45"/>
    </row>
    <row r="25" spans="1:16" x14ac:dyDescent="0.2">
      <c r="A25">
        <v>18</v>
      </c>
      <c r="B25">
        <f t="shared" si="3"/>
        <v>0</v>
      </c>
      <c r="C25">
        <f t="shared" si="4"/>
        <v>0</v>
      </c>
      <c r="D25">
        <f t="shared" si="5"/>
        <v>0</v>
      </c>
      <c r="E25">
        <f t="shared" si="6"/>
        <v>0</v>
      </c>
      <c r="F25">
        <f t="shared" si="7"/>
        <v>0</v>
      </c>
      <c r="G25">
        <f t="shared" si="8"/>
        <v>0</v>
      </c>
      <c r="H25">
        <f t="shared" si="8"/>
        <v>0</v>
      </c>
      <c r="I25">
        <f t="shared" si="8"/>
        <v>0</v>
      </c>
      <c r="J25">
        <f t="shared" si="8"/>
        <v>0</v>
      </c>
    </row>
    <row r="26" spans="1:16" x14ac:dyDescent="0.2">
      <c r="A26">
        <v>22</v>
      </c>
      <c r="B26">
        <f t="shared" si="3"/>
        <v>0</v>
      </c>
      <c r="C26">
        <f t="shared" si="4"/>
        <v>0</v>
      </c>
      <c r="D26">
        <f t="shared" si="5"/>
        <v>0</v>
      </c>
      <c r="E26">
        <f t="shared" si="6"/>
        <v>0</v>
      </c>
      <c r="F26">
        <f t="shared" si="7"/>
        <v>0</v>
      </c>
      <c r="G26">
        <f t="shared" si="8"/>
        <v>0</v>
      </c>
      <c r="H26">
        <f t="shared" si="8"/>
        <v>0</v>
      </c>
      <c r="I26">
        <f t="shared" si="8"/>
        <v>0</v>
      </c>
      <c r="J26">
        <f t="shared" si="8"/>
        <v>0</v>
      </c>
    </row>
    <row r="27" spans="1:16" x14ac:dyDescent="0.2">
      <c r="A27">
        <v>27</v>
      </c>
      <c r="B27">
        <f t="shared" si="3"/>
        <v>0</v>
      </c>
      <c r="C27">
        <f t="shared" si="4"/>
        <v>0</v>
      </c>
      <c r="D27">
        <f t="shared" si="5"/>
        <v>0</v>
      </c>
      <c r="E27">
        <f t="shared" si="6"/>
        <v>0</v>
      </c>
      <c r="F27">
        <f t="shared" si="7"/>
        <v>0</v>
      </c>
      <c r="G27">
        <f t="shared" si="8"/>
        <v>0</v>
      </c>
      <c r="H27">
        <f t="shared" si="8"/>
        <v>0</v>
      </c>
      <c r="I27">
        <f t="shared" si="8"/>
        <v>0</v>
      </c>
      <c r="J27">
        <f t="shared" si="8"/>
        <v>0</v>
      </c>
      <c r="M27" s="3" t="s">
        <v>205</v>
      </c>
      <c r="N27" t="str">
        <f>O7/1000&amp;" kΩ"</f>
        <v>6.19 kΩ</v>
      </c>
      <c r="O27">
        <f>O7/1000</f>
        <v>6.19</v>
      </c>
      <c r="P27" s="45" t="s">
        <v>309</v>
      </c>
    </row>
    <row r="28" spans="1:16" x14ac:dyDescent="0.2">
      <c r="A28">
        <v>33</v>
      </c>
      <c r="B28">
        <f t="shared" si="3"/>
        <v>0</v>
      </c>
      <c r="C28">
        <f t="shared" si="4"/>
        <v>0</v>
      </c>
      <c r="D28">
        <f t="shared" si="5"/>
        <v>0</v>
      </c>
      <c r="E28">
        <f t="shared" si="6"/>
        <v>0</v>
      </c>
      <c r="F28">
        <f t="shared" si="7"/>
        <v>0</v>
      </c>
      <c r="G28">
        <f t="shared" si="8"/>
        <v>0</v>
      </c>
      <c r="H28">
        <f t="shared" si="8"/>
        <v>0</v>
      </c>
      <c r="I28">
        <f t="shared" si="8"/>
        <v>0</v>
      </c>
      <c r="J28">
        <f t="shared" si="8"/>
        <v>0</v>
      </c>
      <c r="M28" s="3" t="s">
        <v>202</v>
      </c>
      <c r="N28" t="str">
        <f>C4*1000000000&amp;" nF"</f>
        <v>0.022 nF</v>
      </c>
      <c r="O28">
        <f>C4*1000000000000</f>
        <v>22</v>
      </c>
      <c r="P28" s="118" t="s">
        <v>172</v>
      </c>
    </row>
    <row r="29" spans="1:16" x14ac:dyDescent="0.2">
      <c r="A29">
        <v>39</v>
      </c>
      <c r="B29">
        <f t="shared" si="3"/>
        <v>0</v>
      </c>
      <c r="C29">
        <f t="shared" si="4"/>
        <v>0</v>
      </c>
      <c r="D29">
        <f t="shared" si="5"/>
        <v>0</v>
      </c>
      <c r="E29">
        <f t="shared" si="6"/>
        <v>0</v>
      </c>
      <c r="F29">
        <f t="shared" si="7"/>
        <v>0</v>
      </c>
      <c r="G29">
        <f t="shared" si="8"/>
        <v>0</v>
      </c>
      <c r="H29">
        <f t="shared" si="8"/>
        <v>0</v>
      </c>
      <c r="I29">
        <f t="shared" si="8"/>
        <v>0</v>
      </c>
      <c r="J29">
        <f t="shared" si="8"/>
        <v>0</v>
      </c>
      <c r="M29" s="3" t="s">
        <v>203</v>
      </c>
      <c r="N29" t="str">
        <f>D4*1000000000000&amp;" pF"</f>
        <v>680 pF</v>
      </c>
      <c r="O29">
        <f>D4*1000000000000</f>
        <v>680</v>
      </c>
      <c r="P29" s="118" t="s">
        <v>32</v>
      </c>
    </row>
    <row r="30" spans="1:16" x14ac:dyDescent="0.2">
      <c r="A30">
        <v>47</v>
      </c>
      <c r="B30">
        <f t="shared" si="3"/>
        <v>0</v>
      </c>
      <c r="C30">
        <f t="shared" si="4"/>
        <v>0</v>
      </c>
      <c r="D30">
        <f t="shared" si="5"/>
        <v>0</v>
      </c>
      <c r="E30">
        <f t="shared" si="6"/>
        <v>0</v>
      </c>
      <c r="F30">
        <f t="shared" si="7"/>
        <v>0</v>
      </c>
      <c r="G30">
        <f t="shared" si="8"/>
        <v>0</v>
      </c>
      <c r="H30">
        <f t="shared" si="8"/>
        <v>0</v>
      </c>
      <c r="I30">
        <f t="shared" si="8"/>
        <v>0</v>
      </c>
      <c r="J30">
        <f t="shared" si="8"/>
        <v>0</v>
      </c>
      <c r="M30" s="3"/>
      <c r="P30" s="45"/>
    </row>
    <row r="31" spans="1:16" x14ac:dyDescent="0.2">
      <c r="A31">
        <v>56</v>
      </c>
      <c r="B31">
        <f t="shared" si="3"/>
        <v>0</v>
      </c>
      <c r="C31">
        <f t="shared" si="4"/>
        <v>0</v>
      </c>
      <c r="D31">
        <f t="shared" si="5"/>
        <v>0</v>
      </c>
      <c r="E31">
        <f t="shared" si="6"/>
        <v>0</v>
      </c>
      <c r="F31">
        <f t="shared" si="7"/>
        <v>0</v>
      </c>
      <c r="G31">
        <f t="shared" si="8"/>
        <v>0</v>
      </c>
      <c r="H31">
        <f t="shared" si="8"/>
        <v>0</v>
      </c>
      <c r="I31">
        <f t="shared" si="8"/>
        <v>0</v>
      </c>
      <c r="J31">
        <f t="shared" si="8"/>
        <v>0</v>
      </c>
      <c r="M31" s="3"/>
      <c r="P31" s="118"/>
    </row>
    <row r="32" spans="1:16" x14ac:dyDescent="0.2">
      <c r="A32">
        <v>68</v>
      </c>
      <c r="B32">
        <f t="shared" si="3"/>
        <v>0</v>
      </c>
      <c r="C32">
        <f t="shared" si="4"/>
        <v>0</v>
      </c>
      <c r="D32">
        <f t="shared" si="5"/>
        <v>0</v>
      </c>
      <c r="E32">
        <f t="shared" si="6"/>
        <v>0</v>
      </c>
      <c r="F32">
        <f t="shared" si="7"/>
        <v>0</v>
      </c>
      <c r="G32">
        <f t="shared" si="8"/>
        <v>0</v>
      </c>
      <c r="H32">
        <f t="shared" si="8"/>
        <v>0</v>
      </c>
      <c r="I32">
        <f t="shared" si="8"/>
        <v>0</v>
      </c>
      <c r="J32">
        <f t="shared" si="8"/>
        <v>0</v>
      </c>
    </row>
    <row r="33" spans="1:13" x14ac:dyDescent="0.2">
      <c r="A33">
        <v>82</v>
      </c>
      <c r="B33">
        <f t="shared" si="3"/>
        <v>0</v>
      </c>
      <c r="C33">
        <f t="shared" si="4"/>
        <v>0</v>
      </c>
      <c r="D33">
        <f t="shared" si="5"/>
        <v>0</v>
      </c>
      <c r="E33">
        <f t="shared" si="6"/>
        <v>0</v>
      </c>
      <c r="F33">
        <f t="shared" si="7"/>
        <v>0</v>
      </c>
      <c r="G33">
        <f t="shared" si="8"/>
        <v>0</v>
      </c>
      <c r="H33">
        <f t="shared" si="8"/>
        <v>0</v>
      </c>
      <c r="I33">
        <f t="shared" si="8"/>
        <v>0</v>
      </c>
      <c r="J33">
        <f t="shared" si="8"/>
        <v>0</v>
      </c>
    </row>
    <row r="34" spans="1:13" x14ac:dyDescent="0.2">
      <c r="A34">
        <f>A22*10</f>
        <v>100</v>
      </c>
      <c r="B34">
        <f t="shared" si="3"/>
        <v>0</v>
      </c>
      <c r="C34">
        <f t="shared" si="4"/>
        <v>0</v>
      </c>
      <c r="D34">
        <f t="shared" si="5"/>
        <v>0</v>
      </c>
      <c r="E34">
        <f t="shared" si="6"/>
        <v>0</v>
      </c>
      <c r="F34">
        <f t="shared" si="7"/>
        <v>0</v>
      </c>
      <c r="G34">
        <f t="shared" si="8"/>
        <v>0</v>
      </c>
      <c r="H34">
        <f t="shared" si="8"/>
        <v>0</v>
      </c>
      <c r="I34">
        <f t="shared" si="8"/>
        <v>0</v>
      </c>
      <c r="J34">
        <f t="shared" si="8"/>
        <v>0</v>
      </c>
      <c r="M34" s="118"/>
    </row>
    <row r="35" spans="1:13" x14ac:dyDescent="0.2">
      <c r="A35">
        <f t="shared" ref="A35:A98" si="10">A23*10</f>
        <v>120</v>
      </c>
      <c r="B35">
        <f t="shared" si="3"/>
        <v>0</v>
      </c>
      <c r="C35">
        <f t="shared" si="4"/>
        <v>0</v>
      </c>
      <c r="D35">
        <f t="shared" si="5"/>
        <v>0</v>
      </c>
      <c r="E35">
        <f t="shared" si="6"/>
        <v>0</v>
      </c>
      <c r="F35">
        <f t="shared" si="7"/>
        <v>0</v>
      </c>
      <c r="G35">
        <f t="shared" si="8"/>
        <v>0</v>
      </c>
      <c r="H35">
        <f t="shared" si="8"/>
        <v>0</v>
      </c>
      <c r="I35">
        <f t="shared" si="8"/>
        <v>0</v>
      </c>
      <c r="J35">
        <f t="shared" si="8"/>
        <v>0</v>
      </c>
      <c r="M35" s="118"/>
    </row>
    <row r="36" spans="1:13" x14ac:dyDescent="0.2">
      <c r="A36">
        <f t="shared" si="10"/>
        <v>150</v>
      </c>
      <c r="B36">
        <f t="shared" si="3"/>
        <v>0</v>
      </c>
      <c r="C36">
        <f t="shared" si="4"/>
        <v>0</v>
      </c>
      <c r="D36">
        <f t="shared" si="5"/>
        <v>0</v>
      </c>
      <c r="E36">
        <f t="shared" si="6"/>
        <v>0</v>
      </c>
      <c r="F36">
        <f t="shared" si="7"/>
        <v>0</v>
      </c>
      <c r="G36">
        <f t="shared" si="8"/>
        <v>0</v>
      </c>
      <c r="H36">
        <f t="shared" si="8"/>
        <v>0</v>
      </c>
      <c r="I36">
        <f t="shared" si="8"/>
        <v>0</v>
      </c>
      <c r="J36">
        <f t="shared" si="8"/>
        <v>0</v>
      </c>
    </row>
    <row r="37" spans="1:13" x14ac:dyDescent="0.2">
      <c r="A37">
        <f t="shared" si="10"/>
        <v>180</v>
      </c>
      <c r="B37">
        <f t="shared" si="3"/>
        <v>0</v>
      </c>
      <c r="C37">
        <f t="shared" si="4"/>
        <v>0</v>
      </c>
      <c r="D37">
        <f t="shared" si="5"/>
        <v>0</v>
      </c>
      <c r="E37">
        <f t="shared" si="6"/>
        <v>0</v>
      </c>
      <c r="F37">
        <f t="shared" si="7"/>
        <v>0</v>
      </c>
      <c r="G37">
        <f t="shared" si="8"/>
        <v>0</v>
      </c>
      <c r="H37">
        <f t="shared" si="8"/>
        <v>0</v>
      </c>
      <c r="I37">
        <f t="shared" si="8"/>
        <v>0</v>
      </c>
      <c r="J37">
        <f t="shared" si="8"/>
        <v>0</v>
      </c>
    </row>
    <row r="38" spans="1:13" x14ac:dyDescent="0.2">
      <c r="A38">
        <f t="shared" si="10"/>
        <v>220</v>
      </c>
      <c r="B38">
        <f t="shared" si="3"/>
        <v>0</v>
      </c>
      <c r="C38">
        <f t="shared" si="4"/>
        <v>0</v>
      </c>
      <c r="D38">
        <f t="shared" si="5"/>
        <v>0</v>
      </c>
      <c r="E38">
        <f t="shared" si="6"/>
        <v>0</v>
      </c>
      <c r="F38">
        <f t="shared" si="7"/>
        <v>0</v>
      </c>
      <c r="G38">
        <f t="shared" si="8"/>
        <v>270</v>
      </c>
      <c r="H38">
        <f t="shared" si="8"/>
        <v>0</v>
      </c>
      <c r="I38">
        <f t="shared" si="8"/>
        <v>0</v>
      </c>
      <c r="J38">
        <f t="shared" si="8"/>
        <v>0</v>
      </c>
    </row>
    <row r="39" spans="1:13" x14ac:dyDescent="0.2">
      <c r="A39">
        <f t="shared" si="10"/>
        <v>270</v>
      </c>
      <c r="B39">
        <f t="shared" si="3"/>
        <v>0</v>
      </c>
      <c r="C39">
        <f t="shared" ref="C39:C70" si="11">IF(IF((C$3*10^12-$A40)*(C$3*10^12-$A39)*-1&lt;0,0,1)*IF(ABS(C$3*10^12-$A40)&gt;(C$3*10^12-$A39),$A39,$A40)=C40,0,IF((C$3*10^12-$A40)*(C$3*10^12-$A39)*-1&lt;0,0,1)*IF(ABS(C$3*10^12-$A40)&gt;(C$3*10^12-$A39),$A39,$A40))</f>
        <v>0</v>
      </c>
      <c r="D39">
        <f t="shared" si="5"/>
        <v>0</v>
      </c>
      <c r="E39">
        <f t="shared" si="6"/>
        <v>0</v>
      </c>
      <c r="F39">
        <f t="shared" si="7"/>
        <v>0</v>
      </c>
      <c r="G39">
        <f t="shared" si="8"/>
        <v>0</v>
      </c>
      <c r="H39">
        <f t="shared" si="8"/>
        <v>0</v>
      </c>
      <c r="I39">
        <f t="shared" si="8"/>
        <v>0</v>
      </c>
      <c r="J39">
        <f t="shared" si="8"/>
        <v>0</v>
      </c>
    </row>
    <row r="40" spans="1:13" x14ac:dyDescent="0.2">
      <c r="A40">
        <f t="shared" si="10"/>
        <v>330</v>
      </c>
      <c r="B40">
        <f t="shared" si="3"/>
        <v>0</v>
      </c>
      <c r="C40">
        <f t="shared" si="11"/>
        <v>0</v>
      </c>
      <c r="D40">
        <f t="shared" si="5"/>
        <v>0</v>
      </c>
      <c r="E40">
        <f t="shared" si="6"/>
        <v>0</v>
      </c>
      <c r="F40">
        <f t="shared" si="7"/>
        <v>0</v>
      </c>
      <c r="G40">
        <f t="shared" si="8"/>
        <v>0</v>
      </c>
      <c r="H40">
        <f t="shared" si="8"/>
        <v>0</v>
      </c>
      <c r="I40">
        <f t="shared" si="8"/>
        <v>0</v>
      </c>
      <c r="J40">
        <f t="shared" si="8"/>
        <v>0</v>
      </c>
    </row>
    <row r="41" spans="1:13" x14ac:dyDescent="0.2">
      <c r="A41">
        <f t="shared" si="10"/>
        <v>390</v>
      </c>
      <c r="B41">
        <f t="shared" si="3"/>
        <v>0</v>
      </c>
      <c r="C41">
        <f t="shared" si="11"/>
        <v>0</v>
      </c>
      <c r="D41">
        <f t="shared" si="5"/>
        <v>0</v>
      </c>
      <c r="E41">
        <f t="shared" si="6"/>
        <v>0</v>
      </c>
      <c r="F41">
        <f t="shared" si="7"/>
        <v>0</v>
      </c>
      <c r="G41">
        <f t="shared" si="8"/>
        <v>0</v>
      </c>
      <c r="H41">
        <f t="shared" si="8"/>
        <v>0</v>
      </c>
      <c r="I41">
        <f t="shared" si="8"/>
        <v>0</v>
      </c>
      <c r="J41">
        <f t="shared" si="8"/>
        <v>0</v>
      </c>
    </row>
    <row r="42" spans="1:13" x14ac:dyDescent="0.2">
      <c r="A42">
        <f t="shared" si="10"/>
        <v>470</v>
      </c>
      <c r="B42">
        <f t="shared" si="3"/>
        <v>0</v>
      </c>
      <c r="C42">
        <f t="shared" si="11"/>
        <v>0</v>
      </c>
      <c r="D42">
        <f t="shared" si="5"/>
        <v>0</v>
      </c>
      <c r="E42">
        <f t="shared" si="6"/>
        <v>0</v>
      </c>
      <c r="F42">
        <f t="shared" si="7"/>
        <v>0</v>
      </c>
      <c r="G42">
        <f t="shared" si="8"/>
        <v>0</v>
      </c>
      <c r="H42">
        <f t="shared" si="8"/>
        <v>0</v>
      </c>
      <c r="I42">
        <f t="shared" si="8"/>
        <v>0</v>
      </c>
      <c r="J42">
        <f t="shared" si="8"/>
        <v>0</v>
      </c>
    </row>
    <row r="43" spans="1:13" x14ac:dyDescent="0.2">
      <c r="A43">
        <f t="shared" si="10"/>
        <v>560</v>
      </c>
      <c r="B43">
        <f t="shared" si="3"/>
        <v>0</v>
      </c>
      <c r="C43">
        <f t="shared" si="11"/>
        <v>0</v>
      </c>
      <c r="D43">
        <f t="shared" si="5"/>
        <v>0</v>
      </c>
      <c r="E43">
        <f t="shared" si="6"/>
        <v>0</v>
      </c>
      <c r="F43">
        <f t="shared" si="7"/>
        <v>0</v>
      </c>
      <c r="G43">
        <f t="shared" si="8"/>
        <v>0</v>
      </c>
      <c r="H43">
        <f t="shared" si="8"/>
        <v>0</v>
      </c>
      <c r="I43">
        <f t="shared" si="8"/>
        <v>0</v>
      </c>
      <c r="J43">
        <f t="shared" si="8"/>
        <v>0</v>
      </c>
    </row>
    <row r="44" spans="1:13" x14ac:dyDescent="0.2">
      <c r="A44">
        <f t="shared" si="10"/>
        <v>680</v>
      </c>
      <c r="B44">
        <f t="shared" si="3"/>
        <v>0</v>
      </c>
      <c r="C44">
        <f t="shared" si="11"/>
        <v>0</v>
      </c>
      <c r="D44">
        <f t="shared" si="5"/>
        <v>680</v>
      </c>
      <c r="E44">
        <f t="shared" si="6"/>
        <v>0</v>
      </c>
      <c r="F44">
        <f t="shared" si="7"/>
        <v>0</v>
      </c>
      <c r="G44">
        <f t="shared" si="8"/>
        <v>0</v>
      </c>
      <c r="H44">
        <f t="shared" si="8"/>
        <v>0</v>
      </c>
      <c r="I44">
        <f t="shared" si="8"/>
        <v>0</v>
      </c>
      <c r="J44">
        <f t="shared" si="8"/>
        <v>0</v>
      </c>
    </row>
    <row r="45" spans="1:13" x14ac:dyDescent="0.2">
      <c r="A45">
        <f>A33*10</f>
        <v>820</v>
      </c>
      <c r="B45">
        <f t="shared" si="3"/>
        <v>0</v>
      </c>
      <c r="C45">
        <f t="shared" si="11"/>
        <v>0</v>
      </c>
      <c r="D45">
        <f t="shared" si="5"/>
        <v>0</v>
      </c>
      <c r="E45">
        <f t="shared" si="6"/>
        <v>0</v>
      </c>
      <c r="F45">
        <f t="shared" si="7"/>
        <v>0</v>
      </c>
      <c r="G45">
        <f t="shared" si="8"/>
        <v>0</v>
      </c>
      <c r="H45">
        <f t="shared" si="8"/>
        <v>0</v>
      </c>
      <c r="I45">
        <f t="shared" si="8"/>
        <v>0</v>
      </c>
      <c r="J45">
        <f t="shared" si="8"/>
        <v>0</v>
      </c>
    </row>
    <row r="46" spans="1:13" x14ac:dyDescent="0.2">
      <c r="A46">
        <f t="shared" si="10"/>
        <v>1000</v>
      </c>
      <c r="B46">
        <f t="shared" si="3"/>
        <v>0</v>
      </c>
      <c r="C46">
        <f t="shared" si="11"/>
        <v>0</v>
      </c>
      <c r="D46">
        <f t="shared" si="5"/>
        <v>0</v>
      </c>
      <c r="E46">
        <f t="shared" si="6"/>
        <v>0</v>
      </c>
      <c r="F46">
        <f t="shared" si="7"/>
        <v>0</v>
      </c>
      <c r="G46">
        <f t="shared" si="8"/>
        <v>0</v>
      </c>
      <c r="H46">
        <f t="shared" si="8"/>
        <v>0</v>
      </c>
      <c r="I46">
        <f t="shared" si="8"/>
        <v>0</v>
      </c>
      <c r="J46">
        <f t="shared" si="8"/>
        <v>0</v>
      </c>
    </row>
    <row r="47" spans="1:13" x14ac:dyDescent="0.2">
      <c r="A47">
        <f t="shared" si="10"/>
        <v>1200</v>
      </c>
      <c r="B47">
        <f t="shared" si="3"/>
        <v>0</v>
      </c>
      <c r="C47">
        <f t="shared" si="11"/>
        <v>0</v>
      </c>
      <c r="D47">
        <f t="shared" si="5"/>
        <v>0</v>
      </c>
      <c r="E47">
        <f t="shared" si="6"/>
        <v>0</v>
      </c>
      <c r="F47">
        <f t="shared" si="7"/>
        <v>0</v>
      </c>
      <c r="G47">
        <f t="shared" si="8"/>
        <v>0</v>
      </c>
      <c r="H47">
        <f t="shared" si="8"/>
        <v>0</v>
      </c>
      <c r="I47">
        <f t="shared" si="8"/>
        <v>0</v>
      </c>
      <c r="J47">
        <f t="shared" si="8"/>
        <v>0</v>
      </c>
    </row>
    <row r="48" spans="1:13" x14ac:dyDescent="0.2">
      <c r="A48">
        <f t="shared" si="10"/>
        <v>1500</v>
      </c>
      <c r="B48">
        <f t="shared" si="3"/>
        <v>0</v>
      </c>
      <c r="C48">
        <f t="shared" si="11"/>
        <v>0</v>
      </c>
      <c r="D48">
        <f t="shared" si="5"/>
        <v>0</v>
      </c>
      <c r="E48">
        <f t="shared" si="6"/>
        <v>0</v>
      </c>
      <c r="F48">
        <f t="shared" si="7"/>
        <v>0</v>
      </c>
      <c r="G48">
        <f t="shared" si="8"/>
        <v>0</v>
      </c>
      <c r="H48">
        <f t="shared" si="8"/>
        <v>0</v>
      </c>
      <c r="I48">
        <f t="shared" si="8"/>
        <v>0</v>
      </c>
      <c r="J48">
        <f t="shared" si="8"/>
        <v>0</v>
      </c>
    </row>
    <row r="49" spans="1:10" x14ac:dyDescent="0.2">
      <c r="A49">
        <f t="shared" si="10"/>
        <v>1800</v>
      </c>
      <c r="B49">
        <f t="shared" si="3"/>
        <v>0</v>
      </c>
      <c r="C49">
        <f t="shared" si="11"/>
        <v>0</v>
      </c>
      <c r="D49">
        <f t="shared" si="5"/>
        <v>0</v>
      </c>
      <c r="E49">
        <f t="shared" si="6"/>
        <v>0</v>
      </c>
      <c r="F49">
        <f t="shared" si="7"/>
        <v>0</v>
      </c>
      <c r="G49">
        <f t="shared" si="8"/>
        <v>0</v>
      </c>
      <c r="H49">
        <f t="shared" si="8"/>
        <v>0</v>
      </c>
      <c r="I49">
        <f t="shared" si="8"/>
        <v>0</v>
      </c>
      <c r="J49">
        <f t="shared" si="8"/>
        <v>0</v>
      </c>
    </row>
    <row r="50" spans="1:10" x14ac:dyDescent="0.2">
      <c r="A50">
        <f t="shared" si="10"/>
        <v>2200</v>
      </c>
      <c r="B50">
        <f t="shared" si="3"/>
        <v>0</v>
      </c>
      <c r="C50">
        <f t="shared" si="11"/>
        <v>0</v>
      </c>
      <c r="D50">
        <f t="shared" si="5"/>
        <v>0</v>
      </c>
      <c r="E50">
        <f t="shared" si="6"/>
        <v>0</v>
      </c>
      <c r="F50">
        <f t="shared" si="7"/>
        <v>0</v>
      </c>
      <c r="G50">
        <f t="shared" si="8"/>
        <v>0</v>
      </c>
      <c r="H50">
        <f t="shared" si="8"/>
        <v>0</v>
      </c>
      <c r="I50">
        <f t="shared" si="8"/>
        <v>0</v>
      </c>
      <c r="J50">
        <f t="shared" si="8"/>
        <v>0</v>
      </c>
    </row>
    <row r="51" spans="1:10" x14ac:dyDescent="0.2">
      <c r="A51">
        <f t="shared" si="10"/>
        <v>2700</v>
      </c>
      <c r="B51">
        <f t="shared" si="3"/>
        <v>0</v>
      </c>
      <c r="C51">
        <f t="shared" si="11"/>
        <v>0</v>
      </c>
      <c r="D51">
        <f t="shared" si="5"/>
        <v>0</v>
      </c>
      <c r="E51">
        <f t="shared" si="6"/>
        <v>0</v>
      </c>
      <c r="F51">
        <f t="shared" si="7"/>
        <v>0</v>
      </c>
      <c r="G51">
        <f t="shared" si="8"/>
        <v>0</v>
      </c>
      <c r="H51">
        <f t="shared" si="8"/>
        <v>0</v>
      </c>
      <c r="I51">
        <f t="shared" si="8"/>
        <v>0</v>
      </c>
      <c r="J51">
        <f t="shared" si="8"/>
        <v>0</v>
      </c>
    </row>
    <row r="52" spans="1:10" x14ac:dyDescent="0.2">
      <c r="A52">
        <f t="shared" si="10"/>
        <v>3300</v>
      </c>
      <c r="B52">
        <f t="shared" si="3"/>
        <v>0</v>
      </c>
      <c r="C52">
        <f t="shared" si="11"/>
        <v>0</v>
      </c>
      <c r="D52">
        <f t="shared" si="5"/>
        <v>0</v>
      </c>
      <c r="E52">
        <f t="shared" si="6"/>
        <v>0</v>
      </c>
      <c r="F52">
        <f t="shared" si="7"/>
        <v>0</v>
      </c>
      <c r="G52">
        <f t="shared" si="8"/>
        <v>0</v>
      </c>
      <c r="H52">
        <f t="shared" si="8"/>
        <v>0</v>
      </c>
      <c r="I52">
        <f t="shared" si="8"/>
        <v>0</v>
      </c>
      <c r="J52">
        <f t="shared" si="8"/>
        <v>0</v>
      </c>
    </row>
    <row r="53" spans="1:10" x14ac:dyDescent="0.2">
      <c r="A53">
        <f t="shared" si="10"/>
        <v>3900</v>
      </c>
      <c r="B53">
        <f t="shared" si="3"/>
        <v>0</v>
      </c>
      <c r="C53">
        <f t="shared" si="11"/>
        <v>0</v>
      </c>
      <c r="D53">
        <f t="shared" si="5"/>
        <v>0</v>
      </c>
      <c r="E53">
        <f t="shared" si="6"/>
        <v>0</v>
      </c>
      <c r="F53">
        <f t="shared" si="7"/>
        <v>0</v>
      </c>
      <c r="G53">
        <f t="shared" si="8"/>
        <v>0</v>
      </c>
      <c r="H53">
        <f t="shared" si="8"/>
        <v>0</v>
      </c>
      <c r="I53">
        <f t="shared" si="8"/>
        <v>0</v>
      </c>
      <c r="J53">
        <f t="shared" si="8"/>
        <v>0</v>
      </c>
    </row>
    <row r="54" spans="1:10" x14ac:dyDescent="0.2">
      <c r="A54">
        <f t="shared" si="10"/>
        <v>4700</v>
      </c>
      <c r="B54">
        <f t="shared" si="3"/>
        <v>0</v>
      </c>
      <c r="C54">
        <f t="shared" si="11"/>
        <v>0</v>
      </c>
      <c r="D54">
        <f t="shared" si="5"/>
        <v>0</v>
      </c>
      <c r="E54">
        <f t="shared" si="6"/>
        <v>0</v>
      </c>
      <c r="F54">
        <f t="shared" si="7"/>
        <v>0</v>
      </c>
      <c r="G54">
        <f t="shared" si="8"/>
        <v>0</v>
      </c>
      <c r="H54">
        <f t="shared" si="8"/>
        <v>0</v>
      </c>
      <c r="I54">
        <f t="shared" si="8"/>
        <v>0</v>
      </c>
      <c r="J54">
        <f t="shared" si="8"/>
        <v>0</v>
      </c>
    </row>
    <row r="55" spans="1:10" x14ac:dyDescent="0.2">
      <c r="A55">
        <f t="shared" si="10"/>
        <v>5600</v>
      </c>
      <c r="B55">
        <f t="shared" si="3"/>
        <v>0</v>
      </c>
      <c r="C55">
        <f t="shared" si="11"/>
        <v>0</v>
      </c>
      <c r="D55">
        <f t="shared" si="5"/>
        <v>0</v>
      </c>
      <c r="E55">
        <f t="shared" si="6"/>
        <v>0</v>
      </c>
      <c r="F55">
        <f t="shared" si="7"/>
        <v>0</v>
      </c>
      <c r="G55">
        <f t="shared" si="8"/>
        <v>0</v>
      </c>
      <c r="H55">
        <f t="shared" si="8"/>
        <v>0</v>
      </c>
      <c r="I55">
        <f t="shared" si="8"/>
        <v>0</v>
      </c>
      <c r="J55">
        <f t="shared" si="8"/>
        <v>0</v>
      </c>
    </row>
    <row r="56" spans="1:10" x14ac:dyDescent="0.2">
      <c r="A56">
        <f t="shared" si="10"/>
        <v>6800</v>
      </c>
      <c r="B56">
        <f t="shared" si="3"/>
        <v>0</v>
      </c>
      <c r="C56">
        <f t="shared" si="11"/>
        <v>0</v>
      </c>
      <c r="D56">
        <f t="shared" si="5"/>
        <v>0</v>
      </c>
      <c r="E56">
        <f t="shared" si="6"/>
        <v>0</v>
      </c>
      <c r="F56">
        <f t="shared" si="7"/>
        <v>0</v>
      </c>
      <c r="G56">
        <f t="shared" si="8"/>
        <v>0</v>
      </c>
      <c r="H56">
        <f t="shared" si="8"/>
        <v>0</v>
      </c>
      <c r="I56">
        <f t="shared" si="8"/>
        <v>0</v>
      </c>
      <c r="J56">
        <f t="shared" si="8"/>
        <v>0</v>
      </c>
    </row>
    <row r="57" spans="1:10" x14ac:dyDescent="0.2">
      <c r="A57">
        <f t="shared" si="10"/>
        <v>8200</v>
      </c>
      <c r="B57">
        <f t="shared" si="3"/>
        <v>0</v>
      </c>
      <c r="C57">
        <f t="shared" si="11"/>
        <v>0</v>
      </c>
      <c r="D57">
        <f t="shared" si="5"/>
        <v>0</v>
      </c>
      <c r="E57">
        <f t="shared" si="6"/>
        <v>0</v>
      </c>
      <c r="F57">
        <f t="shared" si="7"/>
        <v>0</v>
      </c>
      <c r="G57">
        <f t="shared" si="8"/>
        <v>0</v>
      </c>
      <c r="H57">
        <f t="shared" si="8"/>
        <v>0</v>
      </c>
      <c r="I57">
        <f t="shared" si="8"/>
        <v>0</v>
      </c>
      <c r="J57">
        <f t="shared" si="8"/>
        <v>0</v>
      </c>
    </row>
    <row r="58" spans="1:10" x14ac:dyDescent="0.2">
      <c r="A58">
        <f t="shared" si="10"/>
        <v>10000</v>
      </c>
      <c r="B58">
        <f t="shared" si="3"/>
        <v>0</v>
      </c>
      <c r="C58">
        <f t="shared" si="11"/>
        <v>0</v>
      </c>
      <c r="D58">
        <f t="shared" si="5"/>
        <v>0</v>
      </c>
      <c r="E58">
        <f t="shared" si="6"/>
        <v>0</v>
      </c>
      <c r="F58">
        <f t="shared" si="7"/>
        <v>0</v>
      </c>
      <c r="G58">
        <f t="shared" si="8"/>
        <v>0</v>
      </c>
      <c r="H58">
        <f t="shared" si="8"/>
        <v>0</v>
      </c>
      <c r="I58">
        <f t="shared" si="8"/>
        <v>0</v>
      </c>
      <c r="J58">
        <f t="shared" si="8"/>
        <v>0</v>
      </c>
    </row>
    <row r="59" spans="1:10" x14ac:dyDescent="0.2">
      <c r="A59">
        <f t="shared" si="10"/>
        <v>12000</v>
      </c>
      <c r="B59">
        <f t="shared" si="3"/>
        <v>0</v>
      </c>
      <c r="C59">
        <f t="shared" si="11"/>
        <v>0</v>
      </c>
      <c r="D59">
        <f t="shared" si="5"/>
        <v>0</v>
      </c>
      <c r="E59">
        <f t="shared" si="6"/>
        <v>0</v>
      </c>
      <c r="F59">
        <f t="shared" si="7"/>
        <v>0</v>
      </c>
      <c r="G59">
        <f t="shared" si="8"/>
        <v>0</v>
      </c>
      <c r="H59">
        <f t="shared" si="8"/>
        <v>0</v>
      </c>
      <c r="I59">
        <f t="shared" si="8"/>
        <v>0</v>
      </c>
      <c r="J59">
        <f t="shared" si="8"/>
        <v>0</v>
      </c>
    </row>
    <row r="60" spans="1:10" x14ac:dyDescent="0.2">
      <c r="A60">
        <f t="shared" si="10"/>
        <v>15000</v>
      </c>
      <c r="B60">
        <f t="shared" si="3"/>
        <v>0</v>
      </c>
      <c r="C60">
        <f t="shared" si="11"/>
        <v>0</v>
      </c>
      <c r="D60">
        <f t="shared" si="5"/>
        <v>0</v>
      </c>
      <c r="E60">
        <f t="shared" si="6"/>
        <v>0</v>
      </c>
      <c r="F60">
        <f t="shared" si="7"/>
        <v>0</v>
      </c>
      <c r="G60">
        <f t="shared" si="8"/>
        <v>0</v>
      </c>
      <c r="H60">
        <f t="shared" si="8"/>
        <v>0</v>
      </c>
      <c r="I60">
        <f t="shared" si="8"/>
        <v>0</v>
      </c>
      <c r="J60">
        <f t="shared" si="8"/>
        <v>0</v>
      </c>
    </row>
    <row r="61" spans="1:10" x14ac:dyDescent="0.2">
      <c r="A61">
        <f t="shared" si="10"/>
        <v>18000</v>
      </c>
      <c r="B61">
        <f t="shared" si="3"/>
        <v>0</v>
      </c>
      <c r="C61">
        <f t="shared" si="11"/>
        <v>0</v>
      </c>
      <c r="D61">
        <f t="shared" si="5"/>
        <v>0</v>
      </c>
      <c r="E61">
        <f t="shared" si="6"/>
        <v>0</v>
      </c>
      <c r="F61">
        <f t="shared" si="7"/>
        <v>0</v>
      </c>
      <c r="G61">
        <f t="shared" si="8"/>
        <v>0</v>
      </c>
      <c r="H61">
        <f t="shared" si="8"/>
        <v>0</v>
      </c>
      <c r="I61">
        <f t="shared" si="8"/>
        <v>0</v>
      </c>
      <c r="J61">
        <f t="shared" si="8"/>
        <v>0</v>
      </c>
    </row>
    <row r="62" spans="1:10" x14ac:dyDescent="0.2">
      <c r="A62">
        <f t="shared" si="10"/>
        <v>22000</v>
      </c>
      <c r="B62">
        <f t="shared" si="3"/>
        <v>0</v>
      </c>
      <c r="C62">
        <f t="shared" si="11"/>
        <v>22000</v>
      </c>
      <c r="D62">
        <f t="shared" si="5"/>
        <v>0</v>
      </c>
      <c r="E62">
        <f t="shared" si="6"/>
        <v>0</v>
      </c>
      <c r="F62">
        <f t="shared" si="7"/>
        <v>0</v>
      </c>
      <c r="G62">
        <f t="shared" si="8"/>
        <v>0</v>
      </c>
      <c r="H62">
        <f t="shared" si="8"/>
        <v>0</v>
      </c>
      <c r="I62">
        <f t="shared" si="8"/>
        <v>0</v>
      </c>
      <c r="J62">
        <f t="shared" si="8"/>
        <v>0</v>
      </c>
    </row>
    <row r="63" spans="1:10" x14ac:dyDescent="0.2">
      <c r="A63">
        <f t="shared" si="10"/>
        <v>27000</v>
      </c>
      <c r="B63">
        <f t="shared" si="3"/>
        <v>0</v>
      </c>
      <c r="C63">
        <f t="shared" si="11"/>
        <v>0</v>
      </c>
      <c r="D63">
        <f t="shared" si="5"/>
        <v>0</v>
      </c>
      <c r="E63">
        <f t="shared" si="6"/>
        <v>0</v>
      </c>
      <c r="F63">
        <f t="shared" si="7"/>
        <v>0</v>
      </c>
      <c r="G63">
        <f t="shared" si="8"/>
        <v>0</v>
      </c>
      <c r="H63">
        <f t="shared" si="8"/>
        <v>0</v>
      </c>
      <c r="I63">
        <f t="shared" si="8"/>
        <v>0</v>
      </c>
      <c r="J63">
        <f t="shared" si="8"/>
        <v>0</v>
      </c>
    </row>
    <row r="64" spans="1:10" x14ac:dyDescent="0.2">
      <c r="A64">
        <f t="shared" si="10"/>
        <v>33000</v>
      </c>
      <c r="B64">
        <f t="shared" si="3"/>
        <v>0</v>
      </c>
      <c r="C64">
        <f t="shared" si="11"/>
        <v>0</v>
      </c>
      <c r="D64">
        <f t="shared" si="5"/>
        <v>0</v>
      </c>
      <c r="E64">
        <f t="shared" si="6"/>
        <v>0</v>
      </c>
      <c r="F64">
        <f t="shared" si="7"/>
        <v>0</v>
      </c>
      <c r="G64">
        <f t="shared" si="8"/>
        <v>0</v>
      </c>
      <c r="H64">
        <f t="shared" si="8"/>
        <v>0</v>
      </c>
      <c r="I64">
        <f t="shared" si="8"/>
        <v>0</v>
      </c>
      <c r="J64">
        <f t="shared" si="8"/>
        <v>0</v>
      </c>
    </row>
    <row r="65" spans="1:10" x14ac:dyDescent="0.2">
      <c r="A65">
        <f t="shared" si="10"/>
        <v>39000</v>
      </c>
      <c r="B65">
        <f t="shared" si="3"/>
        <v>0</v>
      </c>
      <c r="C65">
        <f t="shared" si="11"/>
        <v>0</v>
      </c>
      <c r="D65">
        <f t="shared" si="5"/>
        <v>0</v>
      </c>
      <c r="E65">
        <f t="shared" si="6"/>
        <v>0</v>
      </c>
      <c r="F65">
        <f t="shared" si="7"/>
        <v>0</v>
      </c>
      <c r="G65">
        <f t="shared" si="8"/>
        <v>0</v>
      </c>
      <c r="H65">
        <f t="shared" si="8"/>
        <v>39000</v>
      </c>
      <c r="I65">
        <f t="shared" si="8"/>
        <v>0</v>
      </c>
      <c r="J65">
        <f t="shared" si="8"/>
        <v>39000</v>
      </c>
    </row>
    <row r="66" spans="1:10" x14ac:dyDescent="0.2">
      <c r="A66">
        <f t="shared" si="10"/>
        <v>47000</v>
      </c>
      <c r="B66">
        <f t="shared" si="3"/>
        <v>0</v>
      </c>
      <c r="C66">
        <f t="shared" si="11"/>
        <v>0</v>
      </c>
      <c r="D66">
        <f t="shared" si="5"/>
        <v>0</v>
      </c>
      <c r="E66">
        <f t="shared" si="6"/>
        <v>0</v>
      </c>
      <c r="F66">
        <f t="shared" si="7"/>
        <v>0</v>
      </c>
      <c r="G66">
        <f t="shared" si="8"/>
        <v>0</v>
      </c>
      <c r="H66">
        <f t="shared" si="8"/>
        <v>0</v>
      </c>
      <c r="I66">
        <f t="shared" si="8"/>
        <v>0</v>
      </c>
      <c r="J66">
        <f t="shared" si="8"/>
        <v>0</v>
      </c>
    </row>
    <row r="67" spans="1:10" x14ac:dyDescent="0.2">
      <c r="A67">
        <f t="shared" si="10"/>
        <v>56000</v>
      </c>
      <c r="B67">
        <f t="shared" si="3"/>
        <v>0</v>
      </c>
      <c r="C67">
        <f t="shared" si="11"/>
        <v>0</v>
      </c>
      <c r="D67">
        <f t="shared" si="5"/>
        <v>0</v>
      </c>
      <c r="E67">
        <f t="shared" si="6"/>
        <v>0</v>
      </c>
      <c r="F67">
        <f t="shared" si="7"/>
        <v>0</v>
      </c>
      <c r="G67">
        <f t="shared" si="8"/>
        <v>0</v>
      </c>
      <c r="H67">
        <f t="shared" si="8"/>
        <v>0</v>
      </c>
      <c r="I67">
        <f t="shared" si="8"/>
        <v>0</v>
      </c>
      <c r="J67">
        <f t="shared" si="8"/>
        <v>0</v>
      </c>
    </row>
    <row r="68" spans="1:10" x14ac:dyDescent="0.2">
      <c r="A68">
        <f t="shared" si="10"/>
        <v>68000</v>
      </c>
      <c r="B68">
        <f t="shared" si="3"/>
        <v>0</v>
      </c>
      <c r="C68">
        <f t="shared" si="11"/>
        <v>0</v>
      </c>
      <c r="D68">
        <f t="shared" si="5"/>
        <v>0</v>
      </c>
      <c r="E68">
        <f t="shared" si="6"/>
        <v>0</v>
      </c>
      <c r="F68">
        <f t="shared" si="7"/>
        <v>0</v>
      </c>
      <c r="G68">
        <f t="shared" si="8"/>
        <v>0</v>
      </c>
      <c r="H68">
        <f t="shared" si="8"/>
        <v>0</v>
      </c>
      <c r="I68">
        <f t="shared" si="8"/>
        <v>0</v>
      </c>
      <c r="J68">
        <f t="shared" si="8"/>
        <v>0</v>
      </c>
    </row>
    <row r="69" spans="1:10" x14ac:dyDescent="0.2">
      <c r="A69">
        <f t="shared" si="10"/>
        <v>82000</v>
      </c>
      <c r="B69">
        <f t="shared" si="3"/>
        <v>0</v>
      </c>
      <c r="C69">
        <f t="shared" si="11"/>
        <v>0</v>
      </c>
      <c r="D69">
        <f t="shared" si="5"/>
        <v>0</v>
      </c>
      <c r="E69">
        <f t="shared" si="6"/>
        <v>0</v>
      </c>
      <c r="F69">
        <f t="shared" si="7"/>
        <v>0</v>
      </c>
      <c r="G69">
        <f t="shared" si="8"/>
        <v>0</v>
      </c>
      <c r="H69">
        <f t="shared" si="8"/>
        <v>0</v>
      </c>
      <c r="I69">
        <f t="shared" si="8"/>
        <v>0</v>
      </c>
      <c r="J69">
        <f t="shared" ref="J69:J132" si="12">IF(IF((J$3*10^12-$A70)*(J$3*10^12-$A69)*-1&lt;0,0,1)*IF(ABS(J$3*10^12-$A70)&gt;(J$3*10^12-$A69),$A69,$A70)=J70,0,IF((J$3*10^12-$A70)*(J$3*10^12-$A69)*-1&lt;0,0,1)*IF(ABS(J$3*10^12-$A70)&gt;(J$3*10^12-$A69),$A69,$A70))</f>
        <v>0</v>
      </c>
    </row>
    <row r="70" spans="1:10" x14ac:dyDescent="0.2">
      <c r="A70">
        <f t="shared" si="10"/>
        <v>100000</v>
      </c>
      <c r="B70">
        <f t="shared" si="3"/>
        <v>0</v>
      </c>
      <c r="C70">
        <f t="shared" si="11"/>
        <v>0</v>
      </c>
      <c r="D70">
        <f t="shared" ref="D70:I70" si="13">IF(IF((D$3*10^12-$A71)*(D$3*10^12-$A70)*-1&lt;0,0,1)*IF(ABS(D$3*10^12-$A71)&gt;(D$3*10^12-$A70),$A70,$A71)=D71,0,IF((D$3*10^12-$A71)*(D$3*10^12-$A70)*-1&lt;0,0,1)*IF(ABS(D$3*10^12-$A71)&gt;(D$3*10^12-$A70),$A70,$A71))</f>
        <v>0</v>
      </c>
      <c r="E70">
        <f t="shared" si="13"/>
        <v>0</v>
      </c>
      <c r="F70">
        <f t="shared" si="13"/>
        <v>0</v>
      </c>
      <c r="G70">
        <f t="shared" si="13"/>
        <v>0</v>
      </c>
      <c r="H70">
        <f t="shared" si="13"/>
        <v>0</v>
      </c>
      <c r="I70">
        <f t="shared" si="13"/>
        <v>0</v>
      </c>
      <c r="J70">
        <f t="shared" si="12"/>
        <v>0</v>
      </c>
    </row>
    <row r="71" spans="1:10" x14ac:dyDescent="0.2">
      <c r="A71">
        <f t="shared" si="10"/>
        <v>120000</v>
      </c>
      <c r="B71">
        <f t="shared" ref="B71:B134" si="14">IF(IF((B$3*10^12-$A72)*(B$3*10^12-$A71)*-1&lt;0,0,1)*IF(ABS(B$3*10^12-$A72)&gt;(B$3*10^12-$A71),$A71,$A72)=B72,0,IF((B$3*10^12-$A72)*(B$3*10^12-$A71)*-1&lt;0,0,1)*IF(ABS(B$3*10^12-$A72)&gt;(B$3*10^12-$A71),$A71,$A72))</f>
        <v>0</v>
      </c>
      <c r="C71">
        <f t="shared" ref="C71:E134" si="15">IF(IF((C$3*10^12-$A72)*(C$3*10^12-$A71)*-1&lt;0,0,1)*IF(ABS(C$3*10^12-$A72)&gt;(C$3*10^12-$A71),$A71,$A72)=C72,0,IF((C$3*10^12-$A72)*(C$3*10^12-$A71)*-1&lt;0,0,1)*IF(ABS(C$3*10^12-$A72)&gt;(C$3*10^12-$A71),$A71,$A72))</f>
        <v>0</v>
      </c>
      <c r="D71">
        <f t="shared" si="15"/>
        <v>0</v>
      </c>
      <c r="E71">
        <f t="shared" si="15"/>
        <v>0</v>
      </c>
      <c r="F71">
        <f t="shared" ref="F71:F102" si="16">IF(IF((F$3*10^12-$A72)*(F$3*10^12-$A71)*-1&lt;0,0,1)*IF(ABS(F$3*10^12-$A72)&gt;(F$3*10^12-$A71),$A71,$A72)=F72,0,IF((F$3*10^12-$A72)*(F$3*10^12-$A71)*-1&lt;0,0,1)*IF(ABS(F$3*10^12-$A72)&gt;(F$3*10^12-$A71),$A71,$A72))</f>
        <v>0</v>
      </c>
      <c r="G71">
        <f t="shared" ref="G71:G102" si="17">IF(IF((G$3*10^12-$A72)*(G$3*10^12-$A71)*-1&lt;0,0,1)*IF(ABS(G$3*10^12-$A72)&gt;(G$3*10^12-$A71),$A71,$A72)=G72,0,IF((G$3*10^12-$A72)*(G$3*10^12-$A71)*-1&lt;0,0,1)*IF(ABS(G$3*10^12-$A72)&gt;(G$3*10^12-$A71),$A71,$A72))</f>
        <v>0</v>
      </c>
      <c r="H71">
        <f t="shared" ref="H71:H102" si="18">IF(IF((H$3*10^12-$A72)*(H$3*10^12-$A71)*-1&lt;0,0,1)*IF(ABS(H$3*10^12-$A72)&gt;(H$3*10^12-$A71),$A71,$A72)=H72,0,IF((H$3*10^12-$A72)*(H$3*10^12-$A71)*-1&lt;0,0,1)*IF(ABS(H$3*10^12-$A72)&gt;(H$3*10^12-$A71),$A71,$A72))</f>
        <v>0</v>
      </c>
      <c r="I71">
        <f t="shared" ref="I71:I102" si="19">IF(IF((I$3*10^12-$A72)*(I$3*10^12-$A71)*-1&lt;0,0,1)*IF(ABS(I$3*10^12-$A72)&gt;(I$3*10^12-$A71),$A71,$A72)=I72,0,IF((I$3*10^12-$A72)*(I$3*10^12-$A71)*-1&lt;0,0,1)*IF(ABS(I$3*10^12-$A72)&gt;(I$3*10^12-$A71),$A71,$A72))</f>
        <v>0</v>
      </c>
      <c r="J71">
        <f t="shared" si="12"/>
        <v>0</v>
      </c>
    </row>
    <row r="72" spans="1:10" x14ac:dyDescent="0.2">
      <c r="A72">
        <f t="shared" si="10"/>
        <v>150000</v>
      </c>
      <c r="B72">
        <f t="shared" si="14"/>
        <v>0</v>
      </c>
      <c r="C72">
        <f t="shared" si="15"/>
        <v>0</v>
      </c>
      <c r="D72">
        <f t="shared" si="15"/>
        <v>0</v>
      </c>
      <c r="E72">
        <f t="shared" si="15"/>
        <v>0</v>
      </c>
      <c r="F72">
        <f t="shared" si="16"/>
        <v>0</v>
      </c>
      <c r="G72">
        <f t="shared" si="17"/>
        <v>0</v>
      </c>
      <c r="H72">
        <f t="shared" si="18"/>
        <v>0</v>
      </c>
      <c r="I72">
        <f t="shared" si="19"/>
        <v>0</v>
      </c>
      <c r="J72">
        <f t="shared" si="12"/>
        <v>0</v>
      </c>
    </row>
    <row r="73" spans="1:10" x14ac:dyDescent="0.2">
      <c r="A73">
        <f t="shared" si="10"/>
        <v>180000</v>
      </c>
      <c r="B73">
        <f t="shared" si="14"/>
        <v>220000</v>
      </c>
      <c r="C73">
        <f t="shared" si="15"/>
        <v>0</v>
      </c>
      <c r="D73">
        <f t="shared" si="15"/>
        <v>0</v>
      </c>
      <c r="E73">
        <f t="shared" si="15"/>
        <v>0</v>
      </c>
      <c r="F73">
        <f t="shared" si="16"/>
        <v>0</v>
      </c>
      <c r="G73">
        <f t="shared" si="17"/>
        <v>0</v>
      </c>
      <c r="H73">
        <f t="shared" si="18"/>
        <v>0</v>
      </c>
      <c r="I73">
        <f t="shared" si="19"/>
        <v>0</v>
      </c>
      <c r="J73">
        <f t="shared" si="12"/>
        <v>0</v>
      </c>
    </row>
    <row r="74" spans="1:10" x14ac:dyDescent="0.2">
      <c r="A74">
        <f t="shared" si="10"/>
        <v>220000</v>
      </c>
      <c r="B74">
        <f t="shared" si="14"/>
        <v>0</v>
      </c>
      <c r="C74">
        <f t="shared" si="15"/>
        <v>0</v>
      </c>
      <c r="D74">
        <f t="shared" si="15"/>
        <v>0</v>
      </c>
      <c r="E74">
        <f t="shared" si="15"/>
        <v>0</v>
      </c>
      <c r="F74">
        <f t="shared" si="16"/>
        <v>0</v>
      </c>
      <c r="G74">
        <f t="shared" si="17"/>
        <v>0</v>
      </c>
      <c r="H74">
        <f t="shared" si="18"/>
        <v>0</v>
      </c>
      <c r="I74">
        <f t="shared" si="19"/>
        <v>0</v>
      </c>
      <c r="J74">
        <f t="shared" si="12"/>
        <v>0</v>
      </c>
    </row>
    <row r="75" spans="1:10" x14ac:dyDescent="0.2">
      <c r="A75">
        <f t="shared" si="10"/>
        <v>270000</v>
      </c>
      <c r="B75">
        <f t="shared" si="14"/>
        <v>0</v>
      </c>
      <c r="C75">
        <f t="shared" si="15"/>
        <v>0</v>
      </c>
      <c r="D75">
        <f t="shared" si="15"/>
        <v>0</v>
      </c>
      <c r="E75">
        <f t="shared" si="15"/>
        <v>0</v>
      </c>
      <c r="F75">
        <f t="shared" si="16"/>
        <v>0</v>
      </c>
      <c r="G75">
        <f t="shared" si="17"/>
        <v>0</v>
      </c>
      <c r="H75">
        <f t="shared" si="18"/>
        <v>0</v>
      </c>
      <c r="I75">
        <f t="shared" si="19"/>
        <v>0</v>
      </c>
      <c r="J75">
        <f t="shared" si="12"/>
        <v>0</v>
      </c>
    </row>
    <row r="76" spans="1:10" x14ac:dyDescent="0.2">
      <c r="A76">
        <f t="shared" si="10"/>
        <v>330000</v>
      </c>
      <c r="B76">
        <f t="shared" si="14"/>
        <v>0</v>
      </c>
      <c r="C76">
        <f t="shared" si="15"/>
        <v>0</v>
      </c>
      <c r="D76">
        <f t="shared" si="15"/>
        <v>0</v>
      </c>
      <c r="E76">
        <f t="shared" si="15"/>
        <v>0</v>
      </c>
      <c r="F76">
        <f t="shared" si="16"/>
        <v>0</v>
      </c>
      <c r="G76">
        <f t="shared" si="17"/>
        <v>0</v>
      </c>
      <c r="H76">
        <f t="shared" si="18"/>
        <v>0</v>
      </c>
      <c r="I76">
        <f t="shared" si="19"/>
        <v>0</v>
      </c>
      <c r="J76">
        <f t="shared" si="12"/>
        <v>0</v>
      </c>
    </row>
    <row r="77" spans="1:10" x14ac:dyDescent="0.2">
      <c r="A77">
        <f t="shared" si="10"/>
        <v>390000</v>
      </c>
      <c r="B77">
        <f t="shared" si="14"/>
        <v>0</v>
      </c>
      <c r="C77">
        <f t="shared" si="15"/>
        <v>0</v>
      </c>
      <c r="D77">
        <f t="shared" si="15"/>
        <v>0</v>
      </c>
      <c r="E77">
        <f t="shared" si="15"/>
        <v>0</v>
      </c>
      <c r="F77">
        <f t="shared" si="16"/>
        <v>0</v>
      </c>
      <c r="G77">
        <f t="shared" si="17"/>
        <v>0</v>
      </c>
      <c r="H77">
        <f t="shared" si="18"/>
        <v>0</v>
      </c>
      <c r="I77">
        <f t="shared" si="19"/>
        <v>0</v>
      </c>
      <c r="J77">
        <f t="shared" si="12"/>
        <v>0</v>
      </c>
    </row>
    <row r="78" spans="1:10" x14ac:dyDescent="0.2">
      <c r="A78">
        <f t="shared" si="10"/>
        <v>470000</v>
      </c>
      <c r="B78">
        <f t="shared" si="14"/>
        <v>0</v>
      </c>
      <c r="C78">
        <f t="shared" si="15"/>
        <v>0</v>
      </c>
      <c r="D78">
        <f t="shared" si="15"/>
        <v>0</v>
      </c>
      <c r="E78">
        <f t="shared" si="15"/>
        <v>0</v>
      </c>
      <c r="F78">
        <f t="shared" si="16"/>
        <v>0</v>
      </c>
      <c r="G78">
        <f t="shared" si="17"/>
        <v>0</v>
      </c>
      <c r="H78">
        <f t="shared" si="18"/>
        <v>0</v>
      </c>
      <c r="I78">
        <f t="shared" si="19"/>
        <v>0</v>
      </c>
      <c r="J78">
        <f t="shared" si="12"/>
        <v>0</v>
      </c>
    </row>
    <row r="79" spans="1:10" x14ac:dyDescent="0.2">
      <c r="A79">
        <f t="shared" si="10"/>
        <v>560000</v>
      </c>
      <c r="B79">
        <f t="shared" si="14"/>
        <v>0</v>
      </c>
      <c r="C79">
        <f t="shared" si="15"/>
        <v>0</v>
      </c>
      <c r="D79">
        <f t="shared" si="15"/>
        <v>0</v>
      </c>
      <c r="E79">
        <f t="shared" si="15"/>
        <v>0</v>
      </c>
      <c r="F79">
        <f t="shared" si="16"/>
        <v>0</v>
      </c>
      <c r="G79">
        <f t="shared" si="17"/>
        <v>0</v>
      </c>
      <c r="H79">
        <f t="shared" si="18"/>
        <v>0</v>
      </c>
      <c r="I79">
        <f t="shared" si="19"/>
        <v>0</v>
      </c>
      <c r="J79">
        <f t="shared" si="12"/>
        <v>0</v>
      </c>
    </row>
    <row r="80" spans="1:10" x14ac:dyDescent="0.2">
      <c r="A80">
        <f t="shared" si="10"/>
        <v>680000</v>
      </c>
      <c r="B80">
        <f t="shared" si="14"/>
        <v>0</v>
      </c>
      <c r="C80">
        <f t="shared" si="15"/>
        <v>0</v>
      </c>
      <c r="D80">
        <f t="shared" si="15"/>
        <v>0</v>
      </c>
      <c r="E80">
        <f t="shared" si="15"/>
        <v>0</v>
      </c>
      <c r="F80">
        <f t="shared" si="16"/>
        <v>0</v>
      </c>
      <c r="G80">
        <f t="shared" si="17"/>
        <v>0</v>
      </c>
      <c r="H80">
        <f t="shared" si="18"/>
        <v>0</v>
      </c>
      <c r="I80">
        <f t="shared" si="19"/>
        <v>0</v>
      </c>
      <c r="J80">
        <f t="shared" si="12"/>
        <v>0</v>
      </c>
    </row>
    <row r="81" spans="1:10" x14ac:dyDescent="0.2">
      <c r="A81">
        <f t="shared" si="10"/>
        <v>820000</v>
      </c>
      <c r="B81">
        <f t="shared" si="14"/>
        <v>0</v>
      </c>
      <c r="C81">
        <f t="shared" si="15"/>
        <v>0</v>
      </c>
      <c r="D81">
        <f t="shared" si="15"/>
        <v>0</v>
      </c>
      <c r="E81">
        <f t="shared" si="15"/>
        <v>0</v>
      </c>
      <c r="F81">
        <f t="shared" si="16"/>
        <v>0</v>
      </c>
      <c r="G81">
        <f t="shared" si="17"/>
        <v>0</v>
      </c>
      <c r="H81">
        <f t="shared" si="18"/>
        <v>0</v>
      </c>
      <c r="I81">
        <f t="shared" si="19"/>
        <v>0</v>
      </c>
      <c r="J81">
        <f t="shared" si="12"/>
        <v>0</v>
      </c>
    </row>
    <row r="82" spans="1:10" x14ac:dyDescent="0.2">
      <c r="A82">
        <f t="shared" si="10"/>
        <v>1000000</v>
      </c>
      <c r="B82">
        <f t="shared" si="14"/>
        <v>0</v>
      </c>
      <c r="C82">
        <f t="shared" si="15"/>
        <v>0</v>
      </c>
      <c r="D82">
        <f t="shared" si="15"/>
        <v>0</v>
      </c>
      <c r="E82">
        <f t="shared" si="15"/>
        <v>0</v>
      </c>
      <c r="F82">
        <f t="shared" si="16"/>
        <v>0</v>
      </c>
      <c r="G82">
        <f t="shared" si="17"/>
        <v>0</v>
      </c>
      <c r="H82">
        <f t="shared" si="18"/>
        <v>0</v>
      </c>
      <c r="I82">
        <f t="shared" si="19"/>
        <v>0</v>
      </c>
      <c r="J82">
        <f t="shared" si="12"/>
        <v>0</v>
      </c>
    </row>
    <row r="83" spans="1:10" x14ac:dyDescent="0.2">
      <c r="A83">
        <f t="shared" si="10"/>
        <v>1200000</v>
      </c>
      <c r="B83">
        <f t="shared" si="14"/>
        <v>0</v>
      </c>
      <c r="C83">
        <f t="shared" si="15"/>
        <v>0</v>
      </c>
      <c r="D83">
        <f t="shared" si="15"/>
        <v>0</v>
      </c>
      <c r="E83">
        <f t="shared" si="15"/>
        <v>0</v>
      </c>
      <c r="F83">
        <f t="shared" si="16"/>
        <v>0</v>
      </c>
      <c r="G83">
        <f t="shared" si="17"/>
        <v>0</v>
      </c>
      <c r="H83">
        <f t="shared" si="18"/>
        <v>0</v>
      </c>
      <c r="I83">
        <f t="shared" si="19"/>
        <v>0</v>
      </c>
      <c r="J83">
        <f t="shared" si="12"/>
        <v>0</v>
      </c>
    </row>
    <row r="84" spans="1:10" x14ac:dyDescent="0.2">
      <c r="A84">
        <f t="shared" si="10"/>
        <v>1500000</v>
      </c>
      <c r="B84">
        <f t="shared" si="14"/>
        <v>0</v>
      </c>
      <c r="C84">
        <f t="shared" si="15"/>
        <v>0</v>
      </c>
      <c r="D84">
        <f t="shared" si="15"/>
        <v>0</v>
      </c>
      <c r="E84">
        <f t="shared" si="15"/>
        <v>0</v>
      </c>
      <c r="F84">
        <f t="shared" si="16"/>
        <v>0</v>
      </c>
      <c r="G84">
        <f t="shared" si="17"/>
        <v>0</v>
      </c>
      <c r="H84">
        <f t="shared" si="18"/>
        <v>0</v>
      </c>
      <c r="I84">
        <f t="shared" si="19"/>
        <v>0</v>
      </c>
      <c r="J84">
        <f t="shared" si="12"/>
        <v>0</v>
      </c>
    </row>
    <row r="85" spans="1:10" x14ac:dyDescent="0.2">
      <c r="A85">
        <f t="shared" si="10"/>
        <v>1800000</v>
      </c>
      <c r="B85">
        <f t="shared" si="14"/>
        <v>0</v>
      </c>
      <c r="C85">
        <f t="shared" si="15"/>
        <v>0</v>
      </c>
      <c r="D85">
        <f t="shared" si="15"/>
        <v>0</v>
      </c>
      <c r="E85">
        <f t="shared" si="15"/>
        <v>0</v>
      </c>
      <c r="F85">
        <f t="shared" si="16"/>
        <v>0</v>
      </c>
      <c r="G85">
        <f t="shared" si="17"/>
        <v>0</v>
      </c>
      <c r="H85">
        <f t="shared" si="18"/>
        <v>0</v>
      </c>
      <c r="I85">
        <f t="shared" si="19"/>
        <v>0</v>
      </c>
      <c r="J85">
        <f t="shared" si="12"/>
        <v>0</v>
      </c>
    </row>
    <row r="86" spans="1:10" x14ac:dyDescent="0.2">
      <c r="A86">
        <f t="shared" si="10"/>
        <v>2200000</v>
      </c>
      <c r="B86">
        <f t="shared" si="14"/>
        <v>0</v>
      </c>
      <c r="C86">
        <f t="shared" si="15"/>
        <v>0</v>
      </c>
      <c r="D86">
        <f t="shared" si="15"/>
        <v>0</v>
      </c>
      <c r="E86">
        <f t="shared" si="15"/>
        <v>0</v>
      </c>
      <c r="F86">
        <f t="shared" si="16"/>
        <v>0</v>
      </c>
      <c r="G86">
        <f t="shared" si="17"/>
        <v>0</v>
      </c>
      <c r="H86">
        <f t="shared" si="18"/>
        <v>0</v>
      </c>
      <c r="I86">
        <f t="shared" si="19"/>
        <v>0</v>
      </c>
      <c r="J86">
        <f t="shared" si="12"/>
        <v>0</v>
      </c>
    </row>
    <row r="87" spans="1:10" x14ac:dyDescent="0.2">
      <c r="A87">
        <f t="shared" si="10"/>
        <v>2700000</v>
      </c>
      <c r="B87">
        <f t="shared" si="14"/>
        <v>0</v>
      </c>
      <c r="C87">
        <f t="shared" si="15"/>
        <v>0</v>
      </c>
      <c r="D87">
        <f t="shared" si="15"/>
        <v>0</v>
      </c>
      <c r="E87">
        <f t="shared" si="15"/>
        <v>0</v>
      </c>
      <c r="F87">
        <f t="shared" si="16"/>
        <v>0</v>
      </c>
      <c r="G87">
        <f t="shared" si="17"/>
        <v>0</v>
      </c>
      <c r="H87">
        <f t="shared" si="18"/>
        <v>0</v>
      </c>
      <c r="I87">
        <f t="shared" si="19"/>
        <v>0</v>
      </c>
      <c r="J87">
        <f t="shared" si="12"/>
        <v>0</v>
      </c>
    </row>
    <row r="88" spans="1:10" x14ac:dyDescent="0.2">
      <c r="A88">
        <f t="shared" si="10"/>
        <v>3300000</v>
      </c>
      <c r="B88">
        <f t="shared" si="14"/>
        <v>0</v>
      </c>
      <c r="C88">
        <f t="shared" si="15"/>
        <v>0</v>
      </c>
      <c r="D88">
        <f t="shared" si="15"/>
        <v>0</v>
      </c>
      <c r="E88">
        <f t="shared" si="15"/>
        <v>0</v>
      </c>
      <c r="F88">
        <f t="shared" si="16"/>
        <v>0</v>
      </c>
      <c r="G88">
        <f t="shared" si="17"/>
        <v>0</v>
      </c>
      <c r="H88">
        <f t="shared" si="18"/>
        <v>0</v>
      </c>
      <c r="I88">
        <f t="shared" si="19"/>
        <v>0</v>
      </c>
      <c r="J88">
        <f t="shared" si="12"/>
        <v>0</v>
      </c>
    </row>
    <row r="89" spans="1:10" x14ac:dyDescent="0.2">
      <c r="A89">
        <f t="shared" si="10"/>
        <v>3900000</v>
      </c>
      <c r="B89">
        <f t="shared" si="14"/>
        <v>0</v>
      </c>
      <c r="C89">
        <f t="shared" si="15"/>
        <v>0</v>
      </c>
      <c r="D89">
        <f t="shared" si="15"/>
        <v>0</v>
      </c>
      <c r="E89">
        <f t="shared" si="15"/>
        <v>0</v>
      </c>
      <c r="F89">
        <f t="shared" si="16"/>
        <v>0</v>
      </c>
      <c r="G89">
        <f t="shared" si="17"/>
        <v>0</v>
      </c>
      <c r="H89">
        <f t="shared" si="18"/>
        <v>0</v>
      </c>
      <c r="I89">
        <f t="shared" si="19"/>
        <v>0</v>
      </c>
      <c r="J89">
        <f t="shared" si="12"/>
        <v>0</v>
      </c>
    </row>
    <row r="90" spans="1:10" x14ac:dyDescent="0.2">
      <c r="A90">
        <f t="shared" si="10"/>
        <v>4700000</v>
      </c>
      <c r="B90">
        <f t="shared" si="14"/>
        <v>0</v>
      </c>
      <c r="C90">
        <f t="shared" si="15"/>
        <v>0</v>
      </c>
      <c r="D90">
        <f t="shared" si="15"/>
        <v>0</v>
      </c>
      <c r="E90">
        <f t="shared" si="15"/>
        <v>0</v>
      </c>
      <c r="F90">
        <f t="shared" si="16"/>
        <v>0</v>
      </c>
      <c r="G90">
        <f t="shared" si="17"/>
        <v>0</v>
      </c>
      <c r="H90">
        <f t="shared" si="18"/>
        <v>0</v>
      </c>
      <c r="I90">
        <f t="shared" si="19"/>
        <v>0</v>
      </c>
      <c r="J90">
        <f t="shared" si="12"/>
        <v>0</v>
      </c>
    </row>
    <row r="91" spans="1:10" x14ac:dyDescent="0.2">
      <c r="A91">
        <f t="shared" si="10"/>
        <v>5600000</v>
      </c>
      <c r="B91">
        <f t="shared" si="14"/>
        <v>0</v>
      </c>
      <c r="C91">
        <f t="shared" si="15"/>
        <v>0</v>
      </c>
      <c r="D91">
        <f t="shared" si="15"/>
        <v>0</v>
      </c>
      <c r="E91">
        <f t="shared" si="15"/>
        <v>0</v>
      </c>
      <c r="F91">
        <f t="shared" si="16"/>
        <v>0</v>
      </c>
      <c r="G91">
        <f t="shared" si="17"/>
        <v>0</v>
      </c>
      <c r="H91">
        <f t="shared" si="18"/>
        <v>0</v>
      </c>
      <c r="I91">
        <f t="shared" si="19"/>
        <v>0</v>
      </c>
      <c r="J91">
        <f t="shared" si="12"/>
        <v>0</v>
      </c>
    </row>
    <row r="92" spans="1:10" x14ac:dyDescent="0.2">
      <c r="A92">
        <f t="shared" si="10"/>
        <v>6800000</v>
      </c>
      <c r="B92">
        <f t="shared" si="14"/>
        <v>0</v>
      </c>
      <c r="C92">
        <f t="shared" si="15"/>
        <v>0</v>
      </c>
      <c r="D92">
        <f t="shared" si="15"/>
        <v>0</v>
      </c>
      <c r="E92">
        <f t="shared" si="15"/>
        <v>0</v>
      </c>
      <c r="F92">
        <f t="shared" si="16"/>
        <v>0</v>
      </c>
      <c r="G92">
        <f t="shared" si="17"/>
        <v>0</v>
      </c>
      <c r="H92">
        <f t="shared" si="18"/>
        <v>0</v>
      </c>
      <c r="I92">
        <f t="shared" si="19"/>
        <v>0</v>
      </c>
      <c r="J92">
        <f t="shared" si="12"/>
        <v>0</v>
      </c>
    </row>
    <row r="93" spans="1:10" x14ac:dyDescent="0.2">
      <c r="A93">
        <f t="shared" si="10"/>
        <v>8200000</v>
      </c>
      <c r="B93">
        <f t="shared" si="14"/>
        <v>0</v>
      </c>
      <c r="C93">
        <f t="shared" si="15"/>
        <v>0</v>
      </c>
      <c r="D93">
        <f t="shared" si="15"/>
        <v>0</v>
      </c>
      <c r="E93">
        <f t="shared" si="15"/>
        <v>0</v>
      </c>
      <c r="F93">
        <f t="shared" si="16"/>
        <v>0</v>
      </c>
      <c r="G93">
        <f t="shared" si="17"/>
        <v>0</v>
      </c>
      <c r="H93">
        <f t="shared" si="18"/>
        <v>0</v>
      </c>
      <c r="I93">
        <f t="shared" si="19"/>
        <v>0</v>
      </c>
      <c r="J93">
        <f t="shared" si="12"/>
        <v>0</v>
      </c>
    </row>
    <row r="94" spans="1:10" x14ac:dyDescent="0.2">
      <c r="A94">
        <f t="shared" si="10"/>
        <v>10000000</v>
      </c>
      <c r="B94">
        <f t="shared" si="14"/>
        <v>0</v>
      </c>
      <c r="C94">
        <f t="shared" si="15"/>
        <v>0</v>
      </c>
      <c r="D94">
        <f t="shared" si="15"/>
        <v>0</v>
      </c>
      <c r="E94">
        <f t="shared" si="15"/>
        <v>0</v>
      </c>
      <c r="F94">
        <f t="shared" si="16"/>
        <v>0</v>
      </c>
      <c r="G94">
        <f t="shared" si="17"/>
        <v>0</v>
      </c>
      <c r="H94">
        <f t="shared" si="18"/>
        <v>0</v>
      </c>
      <c r="I94">
        <f t="shared" si="19"/>
        <v>0</v>
      </c>
      <c r="J94">
        <f t="shared" si="12"/>
        <v>0</v>
      </c>
    </row>
    <row r="95" spans="1:10" x14ac:dyDescent="0.2">
      <c r="A95">
        <f t="shared" si="10"/>
        <v>12000000</v>
      </c>
      <c r="B95">
        <f t="shared" si="14"/>
        <v>0</v>
      </c>
      <c r="C95">
        <f t="shared" si="15"/>
        <v>0</v>
      </c>
      <c r="D95">
        <f t="shared" si="15"/>
        <v>0</v>
      </c>
      <c r="E95">
        <f t="shared" si="15"/>
        <v>0</v>
      </c>
      <c r="F95">
        <f t="shared" si="16"/>
        <v>0</v>
      </c>
      <c r="G95">
        <f t="shared" si="17"/>
        <v>0</v>
      </c>
      <c r="H95">
        <f t="shared" si="18"/>
        <v>0</v>
      </c>
      <c r="I95">
        <f t="shared" si="19"/>
        <v>0</v>
      </c>
      <c r="J95">
        <f t="shared" si="12"/>
        <v>0</v>
      </c>
    </row>
    <row r="96" spans="1:10" x14ac:dyDescent="0.2">
      <c r="A96">
        <f t="shared" si="10"/>
        <v>15000000</v>
      </c>
      <c r="B96">
        <f t="shared" si="14"/>
        <v>0</v>
      </c>
      <c r="C96">
        <f t="shared" si="15"/>
        <v>0</v>
      </c>
      <c r="D96">
        <f t="shared" si="15"/>
        <v>0</v>
      </c>
      <c r="E96">
        <f t="shared" si="15"/>
        <v>0</v>
      </c>
      <c r="F96">
        <f t="shared" si="16"/>
        <v>0</v>
      </c>
      <c r="G96">
        <f t="shared" si="17"/>
        <v>0</v>
      </c>
      <c r="H96">
        <f t="shared" si="18"/>
        <v>0</v>
      </c>
      <c r="I96">
        <f t="shared" si="19"/>
        <v>0</v>
      </c>
      <c r="J96">
        <f t="shared" si="12"/>
        <v>0</v>
      </c>
    </row>
    <row r="97" spans="1:10" x14ac:dyDescent="0.2">
      <c r="A97">
        <f t="shared" si="10"/>
        <v>18000000</v>
      </c>
      <c r="B97">
        <f t="shared" si="14"/>
        <v>0</v>
      </c>
      <c r="C97">
        <f t="shared" si="15"/>
        <v>0</v>
      </c>
      <c r="D97">
        <f t="shared" si="15"/>
        <v>0</v>
      </c>
      <c r="E97">
        <f t="shared" si="15"/>
        <v>0</v>
      </c>
      <c r="F97">
        <f t="shared" si="16"/>
        <v>0</v>
      </c>
      <c r="G97">
        <f t="shared" si="17"/>
        <v>0</v>
      </c>
      <c r="H97">
        <f t="shared" si="18"/>
        <v>0</v>
      </c>
      <c r="I97">
        <f t="shared" si="19"/>
        <v>0</v>
      </c>
      <c r="J97">
        <f t="shared" si="12"/>
        <v>0</v>
      </c>
    </row>
    <row r="98" spans="1:10" x14ac:dyDescent="0.2">
      <c r="A98">
        <f t="shared" si="10"/>
        <v>22000000</v>
      </c>
      <c r="B98">
        <f t="shared" si="14"/>
        <v>0</v>
      </c>
      <c r="C98">
        <f t="shared" si="15"/>
        <v>0</v>
      </c>
      <c r="D98">
        <f t="shared" si="15"/>
        <v>0</v>
      </c>
      <c r="E98">
        <f t="shared" si="15"/>
        <v>0</v>
      </c>
      <c r="F98">
        <f t="shared" si="16"/>
        <v>0</v>
      </c>
      <c r="G98">
        <f t="shared" si="17"/>
        <v>0</v>
      </c>
      <c r="H98">
        <f t="shared" si="18"/>
        <v>0</v>
      </c>
      <c r="I98">
        <f t="shared" si="19"/>
        <v>0</v>
      </c>
      <c r="J98">
        <f t="shared" si="12"/>
        <v>0</v>
      </c>
    </row>
    <row r="99" spans="1:10" x14ac:dyDescent="0.2">
      <c r="A99">
        <f t="shared" ref="A99:A159" si="20">A87*10</f>
        <v>27000000</v>
      </c>
      <c r="B99">
        <f t="shared" si="14"/>
        <v>0</v>
      </c>
      <c r="C99">
        <f t="shared" si="15"/>
        <v>0</v>
      </c>
      <c r="D99">
        <f t="shared" si="15"/>
        <v>0</v>
      </c>
      <c r="E99">
        <f t="shared" si="15"/>
        <v>0</v>
      </c>
      <c r="F99">
        <f t="shared" si="16"/>
        <v>0</v>
      </c>
      <c r="G99">
        <f t="shared" si="17"/>
        <v>0</v>
      </c>
      <c r="H99">
        <f t="shared" si="18"/>
        <v>0</v>
      </c>
      <c r="I99">
        <f t="shared" si="19"/>
        <v>0</v>
      </c>
      <c r="J99">
        <f t="shared" si="12"/>
        <v>0</v>
      </c>
    </row>
    <row r="100" spans="1:10" x14ac:dyDescent="0.2">
      <c r="A100">
        <f t="shared" si="20"/>
        <v>33000000</v>
      </c>
      <c r="B100">
        <f t="shared" si="14"/>
        <v>0</v>
      </c>
      <c r="C100">
        <f t="shared" si="15"/>
        <v>0</v>
      </c>
      <c r="D100">
        <f t="shared" si="15"/>
        <v>0</v>
      </c>
      <c r="E100">
        <f t="shared" si="15"/>
        <v>0</v>
      </c>
      <c r="F100">
        <f t="shared" si="16"/>
        <v>0</v>
      </c>
      <c r="G100">
        <f t="shared" si="17"/>
        <v>0</v>
      </c>
      <c r="H100">
        <f t="shared" si="18"/>
        <v>0</v>
      </c>
      <c r="I100">
        <f t="shared" si="19"/>
        <v>0</v>
      </c>
      <c r="J100">
        <f t="shared" si="12"/>
        <v>0</v>
      </c>
    </row>
    <row r="101" spans="1:10" x14ac:dyDescent="0.2">
      <c r="A101">
        <f t="shared" si="20"/>
        <v>39000000</v>
      </c>
      <c r="B101">
        <f t="shared" si="14"/>
        <v>0</v>
      </c>
      <c r="C101">
        <f t="shared" si="15"/>
        <v>0</v>
      </c>
      <c r="D101">
        <f t="shared" si="15"/>
        <v>0</v>
      </c>
      <c r="E101">
        <f t="shared" si="15"/>
        <v>0</v>
      </c>
      <c r="F101">
        <f t="shared" si="16"/>
        <v>0</v>
      </c>
      <c r="G101">
        <f t="shared" si="17"/>
        <v>0</v>
      </c>
      <c r="H101">
        <f t="shared" si="18"/>
        <v>0</v>
      </c>
      <c r="I101">
        <f t="shared" si="19"/>
        <v>0</v>
      </c>
      <c r="J101">
        <f t="shared" si="12"/>
        <v>0</v>
      </c>
    </row>
    <row r="102" spans="1:10" x14ac:dyDescent="0.2">
      <c r="A102">
        <f t="shared" si="20"/>
        <v>47000000</v>
      </c>
      <c r="B102">
        <f t="shared" si="14"/>
        <v>0</v>
      </c>
      <c r="C102">
        <f t="shared" si="15"/>
        <v>0</v>
      </c>
      <c r="D102">
        <f t="shared" si="15"/>
        <v>0</v>
      </c>
      <c r="E102">
        <f t="shared" si="15"/>
        <v>0</v>
      </c>
      <c r="F102">
        <f t="shared" si="16"/>
        <v>0</v>
      </c>
      <c r="G102">
        <f t="shared" si="17"/>
        <v>0</v>
      </c>
      <c r="H102">
        <f t="shared" si="18"/>
        <v>0</v>
      </c>
      <c r="I102">
        <f t="shared" si="19"/>
        <v>0</v>
      </c>
      <c r="J102">
        <f t="shared" si="12"/>
        <v>0</v>
      </c>
    </row>
    <row r="103" spans="1:10" x14ac:dyDescent="0.2">
      <c r="A103">
        <f t="shared" si="20"/>
        <v>56000000</v>
      </c>
      <c r="B103">
        <f t="shared" si="14"/>
        <v>0</v>
      </c>
      <c r="C103">
        <f t="shared" si="15"/>
        <v>0</v>
      </c>
      <c r="D103">
        <f t="shared" si="15"/>
        <v>0</v>
      </c>
      <c r="E103">
        <f t="shared" si="15"/>
        <v>0</v>
      </c>
      <c r="F103">
        <f t="shared" ref="F103:F134" si="21">IF(IF((F$3*10^12-$A104)*(F$3*10^12-$A103)*-1&lt;0,0,1)*IF(ABS(F$3*10^12-$A104)&gt;(F$3*10^12-$A103),$A103,$A104)=F104,0,IF((F$3*10^12-$A104)*(F$3*10^12-$A103)*-1&lt;0,0,1)*IF(ABS(F$3*10^12-$A104)&gt;(F$3*10^12-$A103),$A103,$A104))</f>
        <v>0</v>
      </c>
      <c r="G103">
        <f t="shared" ref="G103:G134" si="22">IF(IF((G$3*10^12-$A104)*(G$3*10^12-$A103)*-1&lt;0,0,1)*IF(ABS(G$3*10^12-$A104)&gt;(G$3*10^12-$A103),$A103,$A104)=G104,0,IF((G$3*10^12-$A104)*(G$3*10^12-$A103)*-1&lt;0,0,1)*IF(ABS(G$3*10^12-$A104)&gt;(G$3*10^12-$A103),$A103,$A104))</f>
        <v>0</v>
      </c>
      <c r="H103">
        <f t="shared" ref="H103:H134" si="23">IF(IF((H$3*10^12-$A104)*(H$3*10^12-$A103)*-1&lt;0,0,1)*IF(ABS(H$3*10^12-$A104)&gt;(H$3*10^12-$A103),$A103,$A104)=H104,0,IF((H$3*10^12-$A104)*(H$3*10^12-$A103)*-1&lt;0,0,1)*IF(ABS(H$3*10^12-$A104)&gt;(H$3*10^12-$A103),$A103,$A104))</f>
        <v>0</v>
      </c>
      <c r="I103">
        <f t="shared" ref="I103:I134" si="24">IF(IF((I$3*10^12-$A104)*(I$3*10^12-$A103)*-1&lt;0,0,1)*IF(ABS(I$3*10^12-$A104)&gt;(I$3*10^12-$A103),$A103,$A104)=I104,0,IF((I$3*10^12-$A104)*(I$3*10^12-$A103)*-1&lt;0,0,1)*IF(ABS(I$3*10^12-$A104)&gt;(I$3*10^12-$A103),$A103,$A104))</f>
        <v>0</v>
      </c>
      <c r="J103">
        <f t="shared" si="12"/>
        <v>0</v>
      </c>
    </row>
    <row r="104" spans="1:10" x14ac:dyDescent="0.2">
      <c r="A104">
        <f t="shared" si="20"/>
        <v>68000000</v>
      </c>
      <c r="B104">
        <f t="shared" si="14"/>
        <v>0</v>
      </c>
      <c r="C104">
        <f t="shared" si="15"/>
        <v>0</v>
      </c>
      <c r="D104">
        <f t="shared" si="15"/>
        <v>0</v>
      </c>
      <c r="E104">
        <f t="shared" si="15"/>
        <v>0</v>
      </c>
      <c r="F104">
        <f t="shared" si="21"/>
        <v>0</v>
      </c>
      <c r="G104">
        <f t="shared" si="22"/>
        <v>0</v>
      </c>
      <c r="H104">
        <f t="shared" si="23"/>
        <v>0</v>
      </c>
      <c r="I104">
        <f t="shared" si="24"/>
        <v>0</v>
      </c>
      <c r="J104">
        <f t="shared" si="12"/>
        <v>0</v>
      </c>
    </row>
    <row r="105" spans="1:10" x14ac:dyDescent="0.2">
      <c r="A105">
        <f t="shared" si="20"/>
        <v>82000000</v>
      </c>
      <c r="B105">
        <f t="shared" si="14"/>
        <v>0</v>
      </c>
      <c r="C105">
        <f t="shared" si="15"/>
        <v>0</v>
      </c>
      <c r="D105">
        <f t="shared" si="15"/>
        <v>0</v>
      </c>
      <c r="E105">
        <f t="shared" si="15"/>
        <v>0</v>
      </c>
      <c r="F105">
        <f t="shared" si="21"/>
        <v>0</v>
      </c>
      <c r="G105">
        <f t="shared" si="22"/>
        <v>0</v>
      </c>
      <c r="H105">
        <f t="shared" si="23"/>
        <v>0</v>
      </c>
      <c r="I105">
        <f t="shared" si="24"/>
        <v>0</v>
      </c>
      <c r="J105">
        <f t="shared" si="12"/>
        <v>0</v>
      </c>
    </row>
    <row r="106" spans="1:10" x14ac:dyDescent="0.2">
      <c r="A106">
        <f t="shared" si="20"/>
        <v>100000000</v>
      </c>
      <c r="B106">
        <f t="shared" si="14"/>
        <v>0</v>
      </c>
      <c r="C106">
        <f t="shared" si="15"/>
        <v>0</v>
      </c>
      <c r="D106">
        <f t="shared" si="15"/>
        <v>0</v>
      </c>
      <c r="E106">
        <f t="shared" si="15"/>
        <v>0</v>
      </c>
      <c r="F106">
        <f t="shared" si="21"/>
        <v>0</v>
      </c>
      <c r="G106">
        <f t="shared" si="22"/>
        <v>0</v>
      </c>
      <c r="H106">
        <f t="shared" si="23"/>
        <v>0</v>
      </c>
      <c r="I106">
        <f t="shared" si="24"/>
        <v>0</v>
      </c>
      <c r="J106">
        <f t="shared" si="12"/>
        <v>0</v>
      </c>
    </row>
    <row r="107" spans="1:10" x14ac:dyDescent="0.2">
      <c r="A107">
        <f t="shared" si="20"/>
        <v>120000000</v>
      </c>
      <c r="B107">
        <f t="shared" si="14"/>
        <v>0</v>
      </c>
      <c r="C107">
        <f t="shared" si="15"/>
        <v>0</v>
      </c>
      <c r="D107">
        <f t="shared" si="15"/>
        <v>0</v>
      </c>
      <c r="E107">
        <f t="shared" si="15"/>
        <v>0</v>
      </c>
      <c r="F107">
        <f t="shared" si="21"/>
        <v>0</v>
      </c>
      <c r="G107">
        <f t="shared" si="22"/>
        <v>0</v>
      </c>
      <c r="H107">
        <f t="shared" si="23"/>
        <v>0</v>
      </c>
      <c r="I107">
        <f t="shared" si="24"/>
        <v>0</v>
      </c>
      <c r="J107">
        <f t="shared" si="12"/>
        <v>0</v>
      </c>
    </row>
    <row r="108" spans="1:10" x14ac:dyDescent="0.2">
      <c r="A108">
        <f t="shared" si="20"/>
        <v>150000000</v>
      </c>
      <c r="B108">
        <f t="shared" si="14"/>
        <v>0</v>
      </c>
      <c r="C108">
        <f t="shared" si="15"/>
        <v>0</v>
      </c>
      <c r="D108">
        <f t="shared" si="15"/>
        <v>0</v>
      </c>
      <c r="E108">
        <f t="shared" si="15"/>
        <v>0</v>
      </c>
      <c r="F108">
        <f t="shared" si="21"/>
        <v>0</v>
      </c>
      <c r="G108">
        <f t="shared" si="22"/>
        <v>0</v>
      </c>
      <c r="H108">
        <f t="shared" si="23"/>
        <v>0</v>
      </c>
      <c r="I108">
        <f t="shared" si="24"/>
        <v>0</v>
      </c>
      <c r="J108">
        <f t="shared" si="12"/>
        <v>0</v>
      </c>
    </row>
    <row r="109" spans="1:10" x14ac:dyDescent="0.2">
      <c r="A109">
        <f t="shared" si="20"/>
        <v>180000000</v>
      </c>
      <c r="B109">
        <f t="shared" si="14"/>
        <v>0</v>
      </c>
      <c r="C109">
        <f t="shared" si="15"/>
        <v>0</v>
      </c>
      <c r="D109">
        <f t="shared" si="15"/>
        <v>0</v>
      </c>
      <c r="E109">
        <f t="shared" si="15"/>
        <v>0</v>
      </c>
      <c r="F109">
        <f t="shared" si="21"/>
        <v>0</v>
      </c>
      <c r="G109">
        <f t="shared" si="22"/>
        <v>0</v>
      </c>
      <c r="H109">
        <f t="shared" si="23"/>
        <v>0</v>
      </c>
      <c r="I109">
        <f t="shared" si="24"/>
        <v>0</v>
      </c>
      <c r="J109">
        <f t="shared" si="12"/>
        <v>0</v>
      </c>
    </row>
    <row r="110" spans="1:10" x14ac:dyDescent="0.2">
      <c r="A110">
        <f t="shared" si="20"/>
        <v>220000000</v>
      </c>
      <c r="B110">
        <f t="shared" si="14"/>
        <v>0</v>
      </c>
      <c r="C110">
        <f t="shared" si="15"/>
        <v>0</v>
      </c>
      <c r="D110">
        <f t="shared" si="15"/>
        <v>0</v>
      </c>
      <c r="E110">
        <f t="shared" si="15"/>
        <v>0</v>
      </c>
      <c r="F110">
        <f t="shared" si="21"/>
        <v>0</v>
      </c>
      <c r="G110">
        <f t="shared" si="22"/>
        <v>0</v>
      </c>
      <c r="H110">
        <f t="shared" si="23"/>
        <v>0</v>
      </c>
      <c r="I110">
        <f t="shared" si="24"/>
        <v>0</v>
      </c>
      <c r="J110">
        <f t="shared" si="12"/>
        <v>0</v>
      </c>
    </row>
    <row r="111" spans="1:10" x14ac:dyDescent="0.2">
      <c r="A111">
        <f t="shared" si="20"/>
        <v>270000000</v>
      </c>
      <c r="B111">
        <f t="shared" si="14"/>
        <v>0</v>
      </c>
      <c r="C111">
        <f t="shared" si="15"/>
        <v>0</v>
      </c>
      <c r="D111">
        <f t="shared" si="15"/>
        <v>0</v>
      </c>
      <c r="E111">
        <f t="shared" si="15"/>
        <v>0</v>
      </c>
      <c r="F111">
        <f t="shared" si="21"/>
        <v>270000000</v>
      </c>
      <c r="G111">
        <f t="shared" si="22"/>
        <v>0</v>
      </c>
      <c r="H111">
        <f t="shared" si="23"/>
        <v>0</v>
      </c>
      <c r="I111">
        <f t="shared" si="24"/>
        <v>0</v>
      </c>
      <c r="J111">
        <f t="shared" si="12"/>
        <v>0</v>
      </c>
    </row>
    <row r="112" spans="1:10" x14ac:dyDescent="0.2">
      <c r="A112">
        <f t="shared" si="20"/>
        <v>330000000</v>
      </c>
      <c r="B112">
        <f t="shared" si="14"/>
        <v>0</v>
      </c>
      <c r="C112">
        <f t="shared" si="15"/>
        <v>0</v>
      </c>
      <c r="D112">
        <f t="shared" si="15"/>
        <v>0</v>
      </c>
      <c r="E112">
        <f t="shared" si="15"/>
        <v>0</v>
      </c>
      <c r="F112">
        <f t="shared" si="21"/>
        <v>0</v>
      </c>
      <c r="G112">
        <f t="shared" si="22"/>
        <v>0</v>
      </c>
      <c r="H112">
        <f t="shared" si="23"/>
        <v>0</v>
      </c>
      <c r="I112">
        <f t="shared" si="24"/>
        <v>0</v>
      </c>
      <c r="J112">
        <f t="shared" si="12"/>
        <v>0</v>
      </c>
    </row>
    <row r="113" spans="1:10" x14ac:dyDescent="0.2">
      <c r="A113">
        <f t="shared" si="20"/>
        <v>390000000</v>
      </c>
      <c r="B113">
        <f t="shared" si="14"/>
        <v>0</v>
      </c>
      <c r="C113">
        <f t="shared" si="15"/>
        <v>0</v>
      </c>
      <c r="D113">
        <f t="shared" si="15"/>
        <v>0</v>
      </c>
      <c r="E113">
        <f t="shared" si="15"/>
        <v>0</v>
      </c>
      <c r="F113">
        <f t="shared" si="21"/>
        <v>0</v>
      </c>
      <c r="G113">
        <f t="shared" si="22"/>
        <v>0</v>
      </c>
      <c r="H113">
        <f t="shared" si="23"/>
        <v>0</v>
      </c>
      <c r="I113">
        <f t="shared" si="24"/>
        <v>0</v>
      </c>
      <c r="J113">
        <f t="shared" si="12"/>
        <v>0</v>
      </c>
    </row>
    <row r="114" spans="1:10" x14ac:dyDescent="0.2">
      <c r="A114">
        <f t="shared" si="20"/>
        <v>470000000</v>
      </c>
      <c r="B114">
        <f t="shared" si="14"/>
        <v>0</v>
      </c>
      <c r="C114">
        <f t="shared" si="15"/>
        <v>0</v>
      </c>
      <c r="D114">
        <f t="shared" si="15"/>
        <v>0</v>
      </c>
      <c r="E114">
        <f t="shared" si="15"/>
        <v>0</v>
      </c>
      <c r="F114">
        <f t="shared" si="21"/>
        <v>0</v>
      </c>
      <c r="G114">
        <f t="shared" si="22"/>
        <v>0</v>
      </c>
      <c r="H114">
        <f t="shared" si="23"/>
        <v>0</v>
      </c>
      <c r="I114">
        <f t="shared" si="24"/>
        <v>0</v>
      </c>
      <c r="J114">
        <f t="shared" si="12"/>
        <v>0</v>
      </c>
    </row>
    <row r="115" spans="1:10" x14ac:dyDescent="0.2">
      <c r="A115">
        <f t="shared" si="20"/>
        <v>560000000</v>
      </c>
      <c r="B115">
        <f t="shared" si="14"/>
        <v>0</v>
      </c>
      <c r="C115">
        <f t="shared" si="15"/>
        <v>0</v>
      </c>
      <c r="D115">
        <f t="shared" si="15"/>
        <v>0</v>
      </c>
      <c r="E115">
        <f t="shared" si="15"/>
        <v>0</v>
      </c>
      <c r="F115">
        <f t="shared" si="21"/>
        <v>0</v>
      </c>
      <c r="G115">
        <f t="shared" si="22"/>
        <v>0</v>
      </c>
      <c r="H115">
        <f t="shared" si="23"/>
        <v>0</v>
      </c>
      <c r="I115">
        <f t="shared" si="24"/>
        <v>0</v>
      </c>
      <c r="J115">
        <f t="shared" si="12"/>
        <v>0</v>
      </c>
    </row>
    <row r="116" spans="1:10" x14ac:dyDescent="0.2">
      <c r="A116">
        <f t="shared" si="20"/>
        <v>680000000</v>
      </c>
      <c r="B116">
        <f t="shared" si="14"/>
        <v>0</v>
      </c>
      <c r="C116">
        <f t="shared" si="15"/>
        <v>0</v>
      </c>
      <c r="D116">
        <f t="shared" si="15"/>
        <v>0</v>
      </c>
      <c r="E116">
        <f t="shared" si="15"/>
        <v>0</v>
      </c>
      <c r="F116">
        <f t="shared" si="21"/>
        <v>0</v>
      </c>
      <c r="G116">
        <f t="shared" si="22"/>
        <v>0</v>
      </c>
      <c r="H116">
        <f t="shared" si="23"/>
        <v>0</v>
      </c>
      <c r="I116">
        <f t="shared" si="24"/>
        <v>0</v>
      </c>
      <c r="J116">
        <f t="shared" si="12"/>
        <v>0</v>
      </c>
    </row>
    <row r="117" spans="1:10" x14ac:dyDescent="0.2">
      <c r="A117">
        <f t="shared" si="20"/>
        <v>820000000</v>
      </c>
      <c r="B117">
        <f t="shared" si="14"/>
        <v>0</v>
      </c>
      <c r="C117">
        <f t="shared" si="15"/>
        <v>0</v>
      </c>
      <c r="D117">
        <f t="shared" si="15"/>
        <v>0</v>
      </c>
      <c r="E117">
        <f t="shared" si="15"/>
        <v>1000000000</v>
      </c>
      <c r="F117">
        <f t="shared" si="21"/>
        <v>0</v>
      </c>
      <c r="G117">
        <f t="shared" si="22"/>
        <v>0</v>
      </c>
      <c r="H117">
        <f t="shared" si="23"/>
        <v>0</v>
      </c>
      <c r="I117">
        <f t="shared" si="24"/>
        <v>0</v>
      </c>
      <c r="J117">
        <f t="shared" si="12"/>
        <v>0</v>
      </c>
    </row>
    <row r="118" spans="1:10" x14ac:dyDescent="0.2">
      <c r="A118">
        <f t="shared" si="20"/>
        <v>1000000000</v>
      </c>
      <c r="B118">
        <f t="shared" si="14"/>
        <v>0</v>
      </c>
      <c r="C118">
        <f t="shared" si="15"/>
        <v>0</v>
      </c>
      <c r="D118">
        <f t="shared" si="15"/>
        <v>0</v>
      </c>
      <c r="E118">
        <f t="shared" si="15"/>
        <v>0</v>
      </c>
      <c r="F118">
        <f t="shared" si="21"/>
        <v>0</v>
      </c>
      <c r="G118">
        <f t="shared" si="22"/>
        <v>0</v>
      </c>
      <c r="H118">
        <f t="shared" si="23"/>
        <v>0</v>
      </c>
      <c r="I118">
        <f t="shared" si="24"/>
        <v>0</v>
      </c>
      <c r="J118">
        <f t="shared" si="12"/>
        <v>0</v>
      </c>
    </row>
    <row r="119" spans="1:10" x14ac:dyDescent="0.2">
      <c r="A119">
        <f t="shared" si="20"/>
        <v>1200000000</v>
      </c>
      <c r="B119">
        <f t="shared" si="14"/>
        <v>0</v>
      </c>
      <c r="C119">
        <f t="shared" si="15"/>
        <v>0</v>
      </c>
      <c r="D119">
        <f t="shared" si="15"/>
        <v>0</v>
      </c>
      <c r="E119">
        <f t="shared" si="15"/>
        <v>0</v>
      </c>
      <c r="F119">
        <f t="shared" si="21"/>
        <v>0</v>
      </c>
      <c r="G119">
        <f t="shared" si="22"/>
        <v>0</v>
      </c>
      <c r="H119">
        <f t="shared" si="23"/>
        <v>0</v>
      </c>
      <c r="I119">
        <f t="shared" si="24"/>
        <v>0</v>
      </c>
      <c r="J119">
        <f t="shared" si="12"/>
        <v>0</v>
      </c>
    </row>
    <row r="120" spans="1:10" x14ac:dyDescent="0.2">
      <c r="A120">
        <f t="shared" si="20"/>
        <v>1500000000</v>
      </c>
      <c r="B120">
        <f t="shared" si="14"/>
        <v>0</v>
      </c>
      <c r="C120">
        <f t="shared" si="15"/>
        <v>0</v>
      </c>
      <c r="D120">
        <f t="shared" si="15"/>
        <v>0</v>
      </c>
      <c r="E120">
        <f t="shared" si="15"/>
        <v>0</v>
      </c>
      <c r="F120">
        <f t="shared" si="21"/>
        <v>0</v>
      </c>
      <c r="G120">
        <f t="shared" si="22"/>
        <v>0</v>
      </c>
      <c r="H120">
        <f t="shared" si="23"/>
        <v>0</v>
      </c>
      <c r="I120">
        <f t="shared" si="24"/>
        <v>0</v>
      </c>
      <c r="J120">
        <f t="shared" si="12"/>
        <v>0</v>
      </c>
    </row>
    <row r="121" spans="1:10" x14ac:dyDescent="0.2">
      <c r="A121">
        <f t="shared" si="20"/>
        <v>1800000000</v>
      </c>
      <c r="B121">
        <f t="shared" si="14"/>
        <v>0</v>
      </c>
      <c r="C121">
        <f t="shared" si="15"/>
        <v>0</v>
      </c>
      <c r="D121">
        <f t="shared" si="15"/>
        <v>0</v>
      </c>
      <c r="E121">
        <f t="shared" si="15"/>
        <v>0</v>
      </c>
      <c r="F121">
        <f t="shared" si="21"/>
        <v>0</v>
      </c>
      <c r="G121">
        <f t="shared" si="22"/>
        <v>0</v>
      </c>
      <c r="H121">
        <f t="shared" si="23"/>
        <v>0</v>
      </c>
      <c r="I121">
        <f t="shared" si="24"/>
        <v>0</v>
      </c>
      <c r="J121">
        <f t="shared" si="12"/>
        <v>0</v>
      </c>
    </row>
    <row r="122" spans="1:10" x14ac:dyDescent="0.2">
      <c r="A122">
        <f t="shared" si="20"/>
        <v>2200000000</v>
      </c>
      <c r="B122">
        <f t="shared" si="14"/>
        <v>0</v>
      </c>
      <c r="C122">
        <f t="shared" si="15"/>
        <v>0</v>
      </c>
      <c r="D122">
        <f t="shared" si="15"/>
        <v>0</v>
      </c>
      <c r="E122">
        <f t="shared" si="15"/>
        <v>0</v>
      </c>
      <c r="F122">
        <f t="shared" si="21"/>
        <v>0</v>
      </c>
      <c r="G122">
        <f t="shared" si="22"/>
        <v>0</v>
      </c>
      <c r="H122">
        <f t="shared" si="23"/>
        <v>0</v>
      </c>
      <c r="I122">
        <f t="shared" si="24"/>
        <v>0</v>
      </c>
      <c r="J122">
        <f t="shared" si="12"/>
        <v>0</v>
      </c>
    </row>
    <row r="123" spans="1:10" x14ac:dyDescent="0.2">
      <c r="A123">
        <f t="shared" si="20"/>
        <v>2700000000</v>
      </c>
      <c r="B123">
        <f t="shared" si="14"/>
        <v>0</v>
      </c>
      <c r="C123">
        <f t="shared" si="15"/>
        <v>0</v>
      </c>
      <c r="D123">
        <f t="shared" si="15"/>
        <v>0</v>
      </c>
      <c r="E123">
        <f t="shared" si="15"/>
        <v>0</v>
      </c>
      <c r="F123">
        <f t="shared" si="21"/>
        <v>0</v>
      </c>
      <c r="G123">
        <f t="shared" si="22"/>
        <v>0</v>
      </c>
      <c r="H123">
        <f t="shared" si="23"/>
        <v>0</v>
      </c>
      <c r="I123">
        <f t="shared" si="24"/>
        <v>0</v>
      </c>
      <c r="J123">
        <f t="shared" si="12"/>
        <v>0</v>
      </c>
    </row>
    <row r="124" spans="1:10" x14ac:dyDescent="0.2">
      <c r="A124">
        <f t="shared" si="20"/>
        <v>3300000000</v>
      </c>
      <c r="B124">
        <f t="shared" si="14"/>
        <v>0</v>
      </c>
      <c r="C124">
        <f t="shared" si="15"/>
        <v>0</v>
      </c>
      <c r="D124">
        <f t="shared" si="15"/>
        <v>0</v>
      </c>
      <c r="E124">
        <f t="shared" si="15"/>
        <v>0</v>
      </c>
      <c r="F124">
        <f t="shared" si="21"/>
        <v>0</v>
      </c>
      <c r="G124">
        <f t="shared" si="22"/>
        <v>0</v>
      </c>
      <c r="H124">
        <f t="shared" si="23"/>
        <v>0</v>
      </c>
      <c r="I124">
        <f t="shared" si="24"/>
        <v>0</v>
      </c>
      <c r="J124">
        <f t="shared" si="12"/>
        <v>0</v>
      </c>
    </row>
    <row r="125" spans="1:10" x14ac:dyDescent="0.2">
      <c r="A125">
        <f t="shared" si="20"/>
        <v>3900000000</v>
      </c>
      <c r="B125">
        <f t="shared" si="14"/>
        <v>0</v>
      </c>
      <c r="C125">
        <f t="shared" si="15"/>
        <v>0</v>
      </c>
      <c r="D125">
        <f t="shared" si="15"/>
        <v>0</v>
      </c>
      <c r="E125">
        <f t="shared" si="15"/>
        <v>0</v>
      </c>
      <c r="F125">
        <f t="shared" si="21"/>
        <v>0</v>
      </c>
      <c r="G125">
        <f t="shared" si="22"/>
        <v>0</v>
      </c>
      <c r="H125">
        <f t="shared" si="23"/>
        <v>0</v>
      </c>
      <c r="I125">
        <f t="shared" si="24"/>
        <v>0</v>
      </c>
      <c r="J125">
        <f t="shared" si="12"/>
        <v>0</v>
      </c>
    </row>
    <row r="126" spans="1:10" x14ac:dyDescent="0.2">
      <c r="A126">
        <f t="shared" si="20"/>
        <v>4700000000</v>
      </c>
      <c r="B126">
        <f t="shared" si="14"/>
        <v>0</v>
      </c>
      <c r="C126">
        <f t="shared" si="15"/>
        <v>0</v>
      </c>
      <c r="D126">
        <f t="shared" si="15"/>
        <v>0</v>
      </c>
      <c r="E126">
        <f t="shared" si="15"/>
        <v>0</v>
      </c>
      <c r="F126">
        <f t="shared" si="21"/>
        <v>0</v>
      </c>
      <c r="G126">
        <f t="shared" si="22"/>
        <v>0</v>
      </c>
      <c r="H126">
        <f t="shared" si="23"/>
        <v>0</v>
      </c>
      <c r="I126">
        <f t="shared" si="24"/>
        <v>0</v>
      </c>
      <c r="J126">
        <f t="shared" si="12"/>
        <v>0</v>
      </c>
    </row>
    <row r="127" spans="1:10" x14ac:dyDescent="0.2">
      <c r="A127">
        <f t="shared" si="20"/>
        <v>5600000000</v>
      </c>
      <c r="B127">
        <f t="shared" si="14"/>
        <v>0</v>
      </c>
      <c r="C127">
        <f t="shared" si="15"/>
        <v>0</v>
      </c>
      <c r="D127">
        <f t="shared" si="15"/>
        <v>0</v>
      </c>
      <c r="E127">
        <f t="shared" si="15"/>
        <v>0</v>
      </c>
      <c r="F127">
        <f t="shared" si="21"/>
        <v>0</v>
      </c>
      <c r="G127">
        <f t="shared" si="22"/>
        <v>0</v>
      </c>
      <c r="H127">
        <f t="shared" si="23"/>
        <v>0</v>
      </c>
      <c r="I127">
        <f t="shared" si="24"/>
        <v>0</v>
      </c>
      <c r="J127">
        <f t="shared" si="12"/>
        <v>0</v>
      </c>
    </row>
    <row r="128" spans="1:10" x14ac:dyDescent="0.2">
      <c r="A128">
        <f t="shared" si="20"/>
        <v>6800000000</v>
      </c>
      <c r="B128">
        <f t="shared" si="14"/>
        <v>0</v>
      </c>
      <c r="C128">
        <f t="shared" si="15"/>
        <v>0</v>
      </c>
      <c r="D128">
        <f t="shared" si="15"/>
        <v>0</v>
      </c>
      <c r="E128">
        <f t="shared" si="15"/>
        <v>0</v>
      </c>
      <c r="F128">
        <f t="shared" si="21"/>
        <v>0</v>
      </c>
      <c r="G128">
        <f t="shared" si="22"/>
        <v>0</v>
      </c>
      <c r="H128">
        <f t="shared" si="23"/>
        <v>0</v>
      </c>
      <c r="I128">
        <f t="shared" si="24"/>
        <v>0</v>
      </c>
      <c r="J128">
        <f t="shared" si="12"/>
        <v>0</v>
      </c>
    </row>
    <row r="129" spans="1:10" x14ac:dyDescent="0.2">
      <c r="A129">
        <f t="shared" si="20"/>
        <v>8200000000</v>
      </c>
      <c r="B129">
        <f t="shared" si="14"/>
        <v>0</v>
      </c>
      <c r="C129">
        <f t="shared" si="15"/>
        <v>0</v>
      </c>
      <c r="D129">
        <f t="shared" si="15"/>
        <v>0</v>
      </c>
      <c r="E129">
        <f t="shared" si="15"/>
        <v>0</v>
      </c>
      <c r="F129">
        <f t="shared" si="21"/>
        <v>0</v>
      </c>
      <c r="G129">
        <f t="shared" si="22"/>
        <v>0</v>
      </c>
      <c r="H129">
        <f t="shared" si="23"/>
        <v>0</v>
      </c>
      <c r="I129">
        <f t="shared" si="24"/>
        <v>0</v>
      </c>
      <c r="J129">
        <f t="shared" si="12"/>
        <v>0</v>
      </c>
    </row>
    <row r="130" spans="1:10" x14ac:dyDescent="0.2">
      <c r="A130">
        <f t="shared" si="20"/>
        <v>10000000000</v>
      </c>
      <c r="B130">
        <f t="shared" si="14"/>
        <v>0</v>
      </c>
      <c r="C130">
        <f t="shared" si="15"/>
        <v>0</v>
      </c>
      <c r="D130">
        <f t="shared" si="15"/>
        <v>0</v>
      </c>
      <c r="E130">
        <f t="shared" si="15"/>
        <v>0</v>
      </c>
      <c r="F130">
        <f t="shared" si="21"/>
        <v>0</v>
      </c>
      <c r="G130">
        <f t="shared" si="22"/>
        <v>0</v>
      </c>
      <c r="H130">
        <f t="shared" si="23"/>
        <v>0</v>
      </c>
      <c r="I130">
        <f t="shared" si="24"/>
        <v>0</v>
      </c>
      <c r="J130">
        <f t="shared" si="12"/>
        <v>0</v>
      </c>
    </row>
    <row r="131" spans="1:10" x14ac:dyDescent="0.2">
      <c r="A131">
        <f t="shared" si="20"/>
        <v>12000000000</v>
      </c>
      <c r="B131">
        <f t="shared" si="14"/>
        <v>0</v>
      </c>
      <c r="C131">
        <f t="shared" si="15"/>
        <v>0</v>
      </c>
      <c r="D131">
        <f t="shared" si="15"/>
        <v>0</v>
      </c>
      <c r="E131">
        <f t="shared" si="15"/>
        <v>0</v>
      </c>
      <c r="F131">
        <f t="shared" si="21"/>
        <v>0</v>
      </c>
      <c r="G131">
        <f t="shared" si="22"/>
        <v>0</v>
      </c>
      <c r="H131">
        <f t="shared" si="23"/>
        <v>0</v>
      </c>
      <c r="I131">
        <f t="shared" si="24"/>
        <v>0</v>
      </c>
      <c r="J131">
        <f t="shared" si="12"/>
        <v>0</v>
      </c>
    </row>
    <row r="132" spans="1:10" x14ac:dyDescent="0.2">
      <c r="A132">
        <f t="shared" si="20"/>
        <v>15000000000</v>
      </c>
      <c r="B132">
        <f t="shared" si="14"/>
        <v>0</v>
      </c>
      <c r="C132">
        <f t="shared" si="15"/>
        <v>0</v>
      </c>
      <c r="D132">
        <f t="shared" si="15"/>
        <v>0</v>
      </c>
      <c r="E132">
        <f t="shared" si="15"/>
        <v>0</v>
      </c>
      <c r="F132">
        <f t="shared" si="21"/>
        <v>0</v>
      </c>
      <c r="G132">
        <f t="shared" si="22"/>
        <v>0</v>
      </c>
      <c r="H132">
        <f t="shared" si="23"/>
        <v>0</v>
      </c>
      <c r="I132">
        <f t="shared" si="24"/>
        <v>0</v>
      </c>
      <c r="J132">
        <f t="shared" si="12"/>
        <v>0</v>
      </c>
    </row>
    <row r="133" spans="1:10" x14ac:dyDescent="0.2">
      <c r="A133">
        <f t="shared" si="20"/>
        <v>18000000000</v>
      </c>
      <c r="B133">
        <f t="shared" si="14"/>
        <v>0</v>
      </c>
      <c r="C133">
        <f t="shared" si="15"/>
        <v>0</v>
      </c>
      <c r="D133">
        <f t="shared" si="15"/>
        <v>0</v>
      </c>
      <c r="E133">
        <f t="shared" si="15"/>
        <v>0</v>
      </c>
      <c r="F133">
        <f t="shared" si="21"/>
        <v>0</v>
      </c>
      <c r="G133">
        <f t="shared" si="22"/>
        <v>0</v>
      </c>
      <c r="H133">
        <f t="shared" si="23"/>
        <v>0</v>
      </c>
      <c r="I133">
        <f t="shared" si="24"/>
        <v>0</v>
      </c>
      <c r="J133">
        <f>IF(IF((J$3*10^12-$A134)*(J$3*10^12-$A133)*-1&lt;0,0,1)*IF(ABS(J$3*10^12-$A134)&gt;(J$3*10^12-$A133),$A133,$A134)=J134,0,IF((J$3*10^12-$A134)*(J$3*10^12-$A133)*-1&lt;0,0,1)*IF(ABS(J$3*10^12-$A134)&gt;(J$3*10^12-$A133),$A133,$A134))</f>
        <v>0</v>
      </c>
    </row>
    <row r="134" spans="1:10" x14ac:dyDescent="0.2">
      <c r="A134">
        <f t="shared" si="20"/>
        <v>22000000000</v>
      </c>
      <c r="B134">
        <f t="shared" si="14"/>
        <v>0</v>
      </c>
      <c r="C134">
        <f t="shared" si="15"/>
        <v>0</v>
      </c>
      <c r="D134">
        <f t="shared" si="15"/>
        <v>0</v>
      </c>
      <c r="E134">
        <f t="shared" ref="E134:J159" si="25">IF(IF((E$3*10^12-$A135)*(E$3*10^12-$A134)*-1&lt;0,0,1)*IF(ABS(E$3*10^12-$A135)&gt;(E$3*10^12-$A134),$A134,$A135)=E135,0,IF((E$3*10^12-$A135)*(E$3*10^12-$A134)*-1&lt;0,0,1)*IF(ABS(E$3*10^12-$A135)&gt;(E$3*10^12-$A134),$A134,$A135))</f>
        <v>0</v>
      </c>
      <c r="F134">
        <f t="shared" si="21"/>
        <v>0</v>
      </c>
      <c r="G134">
        <f t="shared" si="22"/>
        <v>0</v>
      </c>
      <c r="H134">
        <f t="shared" si="23"/>
        <v>0</v>
      </c>
      <c r="I134">
        <f t="shared" si="24"/>
        <v>0</v>
      </c>
      <c r="J134">
        <f>IF(IF((J$3*10^12-$A135)*(J$3*10^12-$A134)*-1&lt;0,0,1)*IF(ABS(J$3*10^12-$A135)&gt;(J$3*10^12-$A134),$A134,$A135)=J135,0,IF((J$3*10^12-$A135)*(J$3*10^12-$A134)*-1&lt;0,0,1)*IF(ABS(J$3*10^12-$A135)&gt;(J$3*10^12-$A134),$A134,$A135))</f>
        <v>0</v>
      </c>
    </row>
    <row r="135" spans="1:10" x14ac:dyDescent="0.2">
      <c r="A135">
        <f t="shared" si="20"/>
        <v>27000000000</v>
      </c>
      <c r="B135">
        <f t="shared" ref="B135:B159" si="26">IF(IF((B$3*10^12-$A136)*(B$3*10^12-$A135)*-1&lt;0,0,1)*IF(ABS(B$3*10^12-$A136)&gt;(B$3*10^12-$A135),$A135,$A136)=B136,0,IF((B$3*10^12-$A136)*(B$3*10^12-$A135)*-1&lt;0,0,1)*IF(ABS(B$3*10^12-$A136)&gt;(B$3*10^12-$A135),$A135,$A136))</f>
        <v>0</v>
      </c>
      <c r="C135">
        <f t="shared" ref="C135:D159" si="27">IF(IF((C$3*10^12-$A136)*(C$3*10^12-$A135)*-1&lt;0,0,1)*IF(ABS(C$3*10^12-$A136)&gt;(C$3*10^12-$A135),$A135,$A136)=C136,0,IF((C$3*10^12-$A136)*(C$3*10^12-$A135)*-1&lt;0,0,1)*IF(ABS(C$3*10^12-$A136)&gt;(C$3*10^12-$A135),$A135,$A136))</f>
        <v>0</v>
      </c>
      <c r="D135">
        <f t="shared" si="27"/>
        <v>0</v>
      </c>
      <c r="E135">
        <f t="shared" si="25"/>
        <v>0</v>
      </c>
      <c r="F135">
        <f t="shared" si="25"/>
        <v>0</v>
      </c>
      <c r="G135">
        <f t="shared" si="25"/>
        <v>0</v>
      </c>
      <c r="H135">
        <f t="shared" si="25"/>
        <v>0</v>
      </c>
      <c r="I135">
        <f t="shared" si="25"/>
        <v>0</v>
      </c>
      <c r="J135">
        <f t="shared" si="25"/>
        <v>0</v>
      </c>
    </row>
    <row r="136" spans="1:10" x14ac:dyDescent="0.2">
      <c r="A136">
        <f t="shared" si="20"/>
        <v>33000000000</v>
      </c>
      <c r="B136">
        <f t="shared" si="26"/>
        <v>0</v>
      </c>
      <c r="C136">
        <f t="shared" si="27"/>
        <v>0</v>
      </c>
      <c r="D136">
        <f t="shared" si="27"/>
        <v>0</v>
      </c>
      <c r="E136">
        <f t="shared" si="25"/>
        <v>0</v>
      </c>
      <c r="F136">
        <f t="shared" si="25"/>
        <v>0</v>
      </c>
      <c r="G136">
        <f t="shared" si="25"/>
        <v>0</v>
      </c>
      <c r="H136">
        <f t="shared" si="25"/>
        <v>0</v>
      </c>
      <c r="I136">
        <f t="shared" si="25"/>
        <v>0</v>
      </c>
      <c r="J136">
        <f t="shared" si="25"/>
        <v>0</v>
      </c>
    </row>
    <row r="137" spans="1:10" x14ac:dyDescent="0.2">
      <c r="A137">
        <f t="shared" si="20"/>
        <v>39000000000</v>
      </c>
      <c r="B137">
        <f t="shared" si="26"/>
        <v>0</v>
      </c>
      <c r="C137">
        <f t="shared" si="27"/>
        <v>0</v>
      </c>
      <c r="D137">
        <f t="shared" si="27"/>
        <v>0</v>
      </c>
      <c r="E137">
        <f t="shared" si="25"/>
        <v>0</v>
      </c>
      <c r="F137">
        <f t="shared" si="25"/>
        <v>0</v>
      </c>
      <c r="G137">
        <f t="shared" si="25"/>
        <v>0</v>
      </c>
      <c r="H137">
        <f t="shared" si="25"/>
        <v>0</v>
      </c>
      <c r="I137">
        <f t="shared" si="25"/>
        <v>0</v>
      </c>
      <c r="J137">
        <f t="shared" si="25"/>
        <v>0</v>
      </c>
    </row>
    <row r="138" spans="1:10" x14ac:dyDescent="0.2">
      <c r="A138">
        <f t="shared" si="20"/>
        <v>47000000000</v>
      </c>
      <c r="B138">
        <f t="shared" si="26"/>
        <v>0</v>
      </c>
      <c r="C138">
        <f t="shared" si="27"/>
        <v>0</v>
      </c>
      <c r="D138">
        <f t="shared" si="27"/>
        <v>0</v>
      </c>
      <c r="E138">
        <f t="shared" si="25"/>
        <v>0</v>
      </c>
      <c r="F138">
        <f t="shared" si="25"/>
        <v>0</v>
      </c>
      <c r="G138">
        <f t="shared" si="25"/>
        <v>0</v>
      </c>
      <c r="H138">
        <f t="shared" si="25"/>
        <v>0</v>
      </c>
      <c r="I138">
        <f t="shared" si="25"/>
        <v>0</v>
      </c>
      <c r="J138">
        <f t="shared" si="25"/>
        <v>0</v>
      </c>
    </row>
    <row r="139" spans="1:10" x14ac:dyDescent="0.2">
      <c r="A139">
        <f t="shared" si="20"/>
        <v>56000000000</v>
      </c>
      <c r="B139">
        <f t="shared" si="26"/>
        <v>0</v>
      </c>
      <c r="C139">
        <f t="shared" si="27"/>
        <v>0</v>
      </c>
      <c r="D139">
        <f t="shared" si="27"/>
        <v>0</v>
      </c>
      <c r="E139">
        <f t="shared" si="25"/>
        <v>0</v>
      </c>
      <c r="F139">
        <f t="shared" si="25"/>
        <v>0</v>
      </c>
      <c r="G139">
        <f t="shared" si="25"/>
        <v>0</v>
      </c>
      <c r="H139">
        <f t="shared" si="25"/>
        <v>0</v>
      </c>
      <c r="I139">
        <f t="shared" si="25"/>
        <v>0</v>
      </c>
      <c r="J139">
        <f t="shared" si="25"/>
        <v>0</v>
      </c>
    </row>
    <row r="140" spans="1:10" x14ac:dyDescent="0.2">
      <c r="A140">
        <f t="shared" si="20"/>
        <v>68000000000</v>
      </c>
      <c r="B140">
        <f t="shared" si="26"/>
        <v>0</v>
      </c>
      <c r="C140">
        <f t="shared" si="27"/>
        <v>0</v>
      </c>
      <c r="D140">
        <f t="shared" si="27"/>
        <v>0</v>
      </c>
      <c r="E140">
        <f t="shared" si="25"/>
        <v>0</v>
      </c>
      <c r="F140">
        <f t="shared" si="25"/>
        <v>0</v>
      </c>
      <c r="G140">
        <f t="shared" si="25"/>
        <v>0</v>
      </c>
      <c r="H140">
        <f t="shared" si="25"/>
        <v>0</v>
      </c>
      <c r="I140">
        <f t="shared" si="25"/>
        <v>0</v>
      </c>
      <c r="J140">
        <f t="shared" si="25"/>
        <v>0</v>
      </c>
    </row>
    <row r="141" spans="1:10" x14ac:dyDescent="0.2">
      <c r="A141">
        <f t="shared" si="20"/>
        <v>82000000000</v>
      </c>
      <c r="B141">
        <f t="shared" si="26"/>
        <v>0</v>
      </c>
      <c r="C141">
        <f t="shared" si="27"/>
        <v>0</v>
      </c>
      <c r="D141">
        <f t="shared" si="27"/>
        <v>0</v>
      </c>
      <c r="E141">
        <f t="shared" si="25"/>
        <v>0</v>
      </c>
      <c r="F141">
        <f t="shared" si="25"/>
        <v>0</v>
      </c>
      <c r="G141">
        <f t="shared" si="25"/>
        <v>0</v>
      </c>
      <c r="H141">
        <f t="shared" si="25"/>
        <v>0</v>
      </c>
      <c r="I141">
        <f t="shared" si="25"/>
        <v>0</v>
      </c>
      <c r="J141">
        <f t="shared" si="25"/>
        <v>0</v>
      </c>
    </row>
    <row r="142" spans="1:10" x14ac:dyDescent="0.2">
      <c r="A142">
        <f t="shared" si="20"/>
        <v>100000000000</v>
      </c>
      <c r="B142">
        <f t="shared" si="26"/>
        <v>0</v>
      </c>
      <c r="C142">
        <f t="shared" si="27"/>
        <v>0</v>
      </c>
      <c r="D142">
        <f t="shared" si="27"/>
        <v>0</v>
      </c>
      <c r="E142">
        <f t="shared" si="25"/>
        <v>0</v>
      </c>
      <c r="F142">
        <f t="shared" si="25"/>
        <v>0</v>
      </c>
      <c r="G142">
        <f t="shared" si="25"/>
        <v>0</v>
      </c>
      <c r="H142">
        <f t="shared" si="25"/>
        <v>0</v>
      </c>
      <c r="I142">
        <f t="shared" si="25"/>
        <v>0</v>
      </c>
      <c r="J142">
        <f t="shared" si="25"/>
        <v>0</v>
      </c>
    </row>
    <row r="143" spans="1:10" x14ac:dyDescent="0.2">
      <c r="A143">
        <f t="shared" si="20"/>
        <v>120000000000</v>
      </c>
      <c r="B143">
        <f t="shared" si="26"/>
        <v>0</v>
      </c>
      <c r="C143">
        <f t="shared" si="27"/>
        <v>0</v>
      </c>
      <c r="D143">
        <f t="shared" si="27"/>
        <v>0</v>
      </c>
      <c r="E143">
        <f t="shared" si="25"/>
        <v>0</v>
      </c>
      <c r="F143">
        <f t="shared" si="25"/>
        <v>0</v>
      </c>
      <c r="G143">
        <f t="shared" si="25"/>
        <v>0</v>
      </c>
      <c r="H143">
        <f t="shared" si="25"/>
        <v>0</v>
      </c>
      <c r="I143">
        <f t="shared" si="25"/>
        <v>0</v>
      </c>
      <c r="J143">
        <f t="shared" si="25"/>
        <v>0</v>
      </c>
    </row>
    <row r="144" spans="1:10" x14ac:dyDescent="0.2">
      <c r="A144">
        <f t="shared" si="20"/>
        <v>150000000000</v>
      </c>
      <c r="B144">
        <f t="shared" si="26"/>
        <v>0</v>
      </c>
      <c r="C144">
        <f t="shared" si="27"/>
        <v>0</v>
      </c>
      <c r="D144">
        <f t="shared" si="27"/>
        <v>0</v>
      </c>
      <c r="E144">
        <f t="shared" si="25"/>
        <v>0</v>
      </c>
      <c r="F144">
        <f t="shared" si="25"/>
        <v>0</v>
      </c>
      <c r="G144">
        <f t="shared" si="25"/>
        <v>0</v>
      </c>
      <c r="H144">
        <f t="shared" si="25"/>
        <v>0</v>
      </c>
      <c r="I144">
        <f t="shared" si="25"/>
        <v>0</v>
      </c>
      <c r="J144">
        <f t="shared" si="25"/>
        <v>0</v>
      </c>
    </row>
    <row r="145" spans="1:10" x14ac:dyDescent="0.2">
      <c r="A145">
        <f t="shared" si="20"/>
        <v>180000000000</v>
      </c>
      <c r="B145">
        <f t="shared" si="26"/>
        <v>0</v>
      </c>
      <c r="C145">
        <f t="shared" si="27"/>
        <v>0</v>
      </c>
      <c r="D145">
        <f t="shared" si="27"/>
        <v>0</v>
      </c>
      <c r="E145">
        <f t="shared" si="25"/>
        <v>0</v>
      </c>
      <c r="F145">
        <f t="shared" si="25"/>
        <v>0</v>
      </c>
      <c r="G145">
        <f t="shared" si="25"/>
        <v>0</v>
      </c>
      <c r="H145">
        <f t="shared" si="25"/>
        <v>0</v>
      </c>
      <c r="I145">
        <f t="shared" si="25"/>
        <v>0</v>
      </c>
      <c r="J145">
        <f t="shared" si="25"/>
        <v>0</v>
      </c>
    </row>
    <row r="146" spans="1:10" x14ac:dyDescent="0.2">
      <c r="A146">
        <f t="shared" si="20"/>
        <v>220000000000</v>
      </c>
      <c r="B146">
        <f t="shared" si="26"/>
        <v>0</v>
      </c>
      <c r="C146">
        <f t="shared" si="27"/>
        <v>0</v>
      </c>
      <c r="D146">
        <f t="shared" si="27"/>
        <v>0</v>
      </c>
      <c r="E146">
        <f t="shared" si="25"/>
        <v>0</v>
      </c>
      <c r="F146">
        <f t="shared" si="25"/>
        <v>0</v>
      </c>
      <c r="G146">
        <f t="shared" si="25"/>
        <v>0</v>
      </c>
      <c r="H146">
        <f t="shared" si="25"/>
        <v>0</v>
      </c>
      <c r="I146">
        <f t="shared" si="25"/>
        <v>0</v>
      </c>
      <c r="J146">
        <f t="shared" si="25"/>
        <v>0</v>
      </c>
    </row>
    <row r="147" spans="1:10" x14ac:dyDescent="0.2">
      <c r="A147">
        <f t="shared" si="20"/>
        <v>270000000000</v>
      </c>
      <c r="B147">
        <f t="shared" si="26"/>
        <v>0</v>
      </c>
      <c r="C147">
        <f t="shared" si="27"/>
        <v>0</v>
      </c>
      <c r="D147">
        <f t="shared" si="27"/>
        <v>0</v>
      </c>
      <c r="E147">
        <f t="shared" si="25"/>
        <v>0</v>
      </c>
      <c r="F147">
        <f t="shared" si="25"/>
        <v>0</v>
      </c>
      <c r="G147">
        <f t="shared" si="25"/>
        <v>0</v>
      </c>
      <c r="H147">
        <f t="shared" si="25"/>
        <v>0</v>
      </c>
      <c r="I147">
        <f t="shared" si="25"/>
        <v>0</v>
      </c>
      <c r="J147">
        <f t="shared" si="25"/>
        <v>0</v>
      </c>
    </row>
    <row r="148" spans="1:10" x14ac:dyDescent="0.2">
      <c r="A148">
        <f t="shared" si="20"/>
        <v>330000000000</v>
      </c>
      <c r="B148">
        <f t="shared" si="26"/>
        <v>0</v>
      </c>
      <c r="C148">
        <f t="shared" si="27"/>
        <v>0</v>
      </c>
      <c r="D148">
        <f t="shared" si="27"/>
        <v>0</v>
      </c>
      <c r="E148">
        <f t="shared" si="25"/>
        <v>0</v>
      </c>
      <c r="F148">
        <f t="shared" si="25"/>
        <v>0</v>
      </c>
      <c r="G148">
        <f t="shared" si="25"/>
        <v>0</v>
      </c>
      <c r="H148">
        <f t="shared" si="25"/>
        <v>0</v>
      </c>
      <c r="I148">
        <f t="shared" si="25"/>
        <v>0</v>
      </c>
      <c r="J148">
        <f t="shared" si="25"/>
        <v>0</v>
      </c>
    </row>
    <row r="149" spans="1:10" x14ac:dyDescent="0.2">
      <c r="A149">
        <f t="shared" si="20"/>
        <v>390000000000</v>
      </c>
      <c r="B149">
        <f t="shared" si="26"/>
        <v>0</v>
      </c>
      <c r="C149">
        <f t="shared" si="27"/>
        <v>0</v>
      </c>
      <c r="D149">
        <f t="shared" si="27"/>
        <v>0</v>
      </c>
      <c r="E149">
        <f t="shared" si="25"/>
        <v>0</v>
      </c>
      <c r="F149">
        <f t="shared" si="25"/>
        <v>0</v>
      </c>
      <c r="G149">
        <f t="shared" si="25"/>
        <v>0</v>
      </c>
      <c r="H149">
        <f t="shared" si="25"/>
        <v>0</v>
      </c>
      <c r="I149">
        <f t="shared" si="25"/>
        <v>0</v>
      </c>
      <c r="J149">
        <f t="shared" si="25"/>
        <v>0</v>
      </c>
    </row>
    <row r="150" spans="1:10" x14ac:dyDescent="0.2">
      <c r="A150">
        <f t="shared" si="20"/>
        <v>470000000000</v>
      </c>
      <c r="B150">
        <f t="shared" si="26"/>
        <v>0</v>
      </c>
      <c r="C150">
        <f t="shared" si="27"/>
        <v>0</v>
      </c>
      <c r="D150">
        <f t="shared" si="27"/>
        <v>0</v>
      </c>
      <c r="E150">
        <f t="shared" si="25"/>
        <v>0</v>
      </c>
      <c r="F150">
        <f t="shared" si="25"/>
        <v>0</v>
      </c>
      <c r="G150">
        <f t="shared" si="25"/>
        <v>0</v>
      </c>
      <c r="H150">
        <f t="shared" si="25"/>
        <v>0</v>
      </c>
      <c r="I150">
        <f t="shared" si="25"/>
        <v>0</v>
      </c>
      <c r="J150">
        <f t="shared" si="25"/>
        <v>0</v>
      </c>
    </row>
    <row r="151" spans="1:10" x14ac:dyDescent="0.2">
      <c r="A151">
        <f t="shared" si="20"/>
        <v>560000000000</v>
      </c>
      <c r="B151">
        <f t="shared" si="26"/>
        <v>0</v>
      </c>
      <c r="C151">
        <f t="shared" si="27"/>
        <v>0</v>
      </c>
      <c r="D151">
        <f t="shared" si="27"/>
        <v>0</v>
      </c>
      <c r="E151">
        <f t="shared" si="25"/>
        <v>0</v>
      </c>
      <c r="F151">
        <f t="shared" si="25"/>
        <v>0</v>
      </c>
      <c r="G151">
        <f t="shared" si="25"/>
        <v>0</v>
      </c>
      <c r="H151">
        <f t="shared" si="25"/>
        <v>0</v>
      </c>
      <c r="I151">
        <f t="shared" si="25"/>
        <v>0</v>
      </c>
      <c r="J151">
        <f t="shared" si="25"/>
        <v>0</v>
      </c>
    </row>
    <row r="152" spans="1:10" x14ac:dyDescent="0.2">
      <c r="A152">
        <f t="shared" si="20"/>
        <v>680000000000</v>
      </c>
      <c r="B152">
        <f t="shared" si="26"/>
        <v>0</v>
      </c>
      <c r="C152">
        <f t="shared" si="27"/>
        <v>0</v>
      </c>
      <c r="D152">
        <f t="shared" si="27"/>
        <v>0</v>
      </c>
      <c r="E152">
        <f t="shared" si="25"/>
        <v>0</v>
      </c>
      <c r="F152">
        <f t="shared" si="25"/>
        <v>0</v>
      </c>
      <c r="G152">
        <f t="shared" si="25"/>
        <v>0</v>
      </c>
      <c r="H152">
        <f t="shared" si="25"/>
        <v>0</v>
      </c>
      <c r="I152">
        <f t="shared" si="25"/>
        <v>0</v>
      </c>
      <c r="J152">
        <f t="shared" si="25"/>
        <v>0</v>
      </c>
    </row>
    <row r="153" spans="1:10" x14ac:dyDescent="0.2">
      <c r="A153">
        <f t="shared" si="20"/>
        <v>820000000000</v>
      </c>
      <c r="B153">
        <f t="shared" si="26"/>
        <v>0</v>
      </c>
      <c r="C153">
        <f t="shared" si="27"/>
        <v>0</v>
      </c>
      <c r="D153">
        <f t="shared" si="27"/>
        <v>0</v>
      </c>
      <c r="E153">
        <f t="shared" si="25"/>
        <v>0</v>
      </c>
      <c r="F153">
        <f t="shared" si="25"/>
        <v>0</v>
      </c>
      <c r="G153">
        <f t="shared" si="25"/>
        <v>0</v>
      </c>
      <c r="H153">
        <f t="shared" si="25"/>
        <v>0</v>
      </c>
      <c r="I153">
        <f t="shared" si="25"/>
        <v>0</v>
      </c>
      <c r="J153">
        <f t="shared" si="25"/>
        <v>0</v>
      </c>
    </row>
    <row r="154" spans="1:10" x14ac:dyDescent="0.2">
      <c r="A154">
        <f t="shared" si="20"/>
        <v>1000000000000</v>
      </c>
      <c r="B154">
        <f t="shared" si="26"/>
        <v>0</v>
      </c>
      <c r="C154">
        <f t="shared" si="27"/>
        <v>0</v>
      </c>
      <c r="D154">
        <f t="shared" si="27"/>
        <v>0</v>
      </c>
      <c r="E154">
        <f t="shared" si="25"/>
        <v>0</v>
      </c>
      <c r="F154">
        <f t="shared" si="25"/>
        <v>0</v>
      </c>
      <c r="G154">
        <f t="shared" si="25"/>
        <v>0</v>
      </c>
      <c r="H154">
        <f t="shared" si="25"/>
        <v>0</v>
      </c>
      <c r="I154">
        <f t="shared" si="25"/>
        <v>0</v>
      </c>
      <c r="J154">
        <f t="shared" si="25"/>
        <v>0</v>
      </c>
    </row>
    <row r="155" spans="1:10" x14ac:dyDescent="0.2">
      <c r="A155">
        <f t="shared" si="20"/>
        <v>1200000000000</v>
      </c>
      <c r="B155">
        <f t="shared" si="26"/>
        <v>0</v>
      </c>
      <c r="C155">
        <f t="shared" si="27"/>
        <v>0</v>
      </c>
      <c r="D155">
        <f t="shared" si="27"/>
        <v>0</v>
      </c>
      <c r="E155">
        <f t="shared" si="25"/>
        <v>0</v>
      </c>
      <c r="F155">
        <f t="shared" si="25"/>
        <v>0</v>
      </c>
      <c r="G155">
        <f t="shared" si="25"/>
        <v>0</v>
      </c>
      <c r="H155">
        <f t="shared" si="25"/>
        <v>0</v>
      </c>
      <c r="I155">
        <f t="shared" si="25"/>
        <v>0</v>
      </c>
      <c r="J155">
        <f t="shared" si="25"/>
        <v>0</v>
      </c>
    </row>
    <row r="156" spans="1:10" x14ac:dyDescent="0.2">
      <c r="A156">
        <f t="shared" si="20"/>
        <v>1500000000000</v>
      </c>
      <c r="B156">
        <f t="shared" si="26"/>
        <v>0</v>
      </c>
      <c r="C156">
        <f t="shared" si="27"/>
        <v>0</v>
      </c>
      <c r="D156">
        <f t="shared" si="27"/>
        <v>0</v>
      </c>
      <c r="E156">
        <f t="shared" si="25"/>
        <v>0</v>
      </c>
      <c r="F156">
        <f t="shared" si="25"/>
        <v>0</v>
      </c>
      <c r="G156">
        <f t="shared" si="25"/>
        <v>0</v>
      </c>
      <c r="H156">
        <f t="shared" si="25"/>
        <v>0</v>
      </c>
      <c r="I156">
        <f t="shared" si="25"/>
        <v>0</v>
      </c>
      <c r="J156">
        <f t="shared" si="25"/>
        <v>0</v>
      </c>
    </row>
    <row r="157" spans="1:10" x14ac:dyDescent="0.2">
      <c r="A157">
        <f t="shared" si="20"/>
        <v>1800000000000</v>
      </c>
      <c r="B157">
        <f t="shared" si="26"/>
        <v>0</v>
      </c>
      <c r="C157">
        <f t="shared" si="27"/>
        <v>0</v>
      </c>
      <c r="D157">
        <f t="shared" si="27"/>
        <v>0</v>
      </c>
      <c r="E157">
        <f t="shared" si="25"/>
        <v>0</v>
      </c>
      <c r="F157">
        <f t="shared" si="25"/>
        <v>0</v>
      </c>
      <c r="G157">
        <f t="shared" si="25"/>
        <v>0</v>
      </c>
      <c r="H157">
        <f t="shared" si="25"/>
        <v>0</v>
      </c>
      <c r="I157">
        <f t="shared" si="25"/>
        <v>0</v>
      </c>
      <c r="J157">
        <f t="shared" si="25"/>
        <v>0</v>
      </c>
    </row>
    <row r="158" spans="1:10" x14ac:dyDescent="0.2">
      <c r="A158">
        <f t="shared" si="20"/>
        <v>2200000000000</v>
      </c>
      <c r="B158">
        <f t="shared" si="26"/>
        <v>0</v>
      </c>
      <c r="C158">
        <f t="shared" si="27"/>
        <v>0</v>
      </c>
      <c r="D158">
        <f t="shared" si="27"/>
        <v>0</v>
      </c>
      <c r="E158">
        <f t="shared" si="25"/>
        <v>0</v>
      </c>
      <c r="F158">
        <f t="shared" si="25"/>
        <v>0</v>
      </c>
      <c r="G158">
        <f t="shared" si="25"/>
        <v>0</v>
      </c>
      <c r="H158">
        <f t="shared" si="25"/>
        <v>0</v>
      </c>
      <c r="I158">
        <f t="shared" si="25"/>
        <v>0</v>
      </c>
      <c r="J158">
        <f t="shared" si="25"/>
        <v>0</v>
      </c>
    </row>
    <row r="159" spans="1:10" x14ac:dyDescent="0.2">
      <c r="A159" s="43">
        <f t="shared" si="20"/>
        <v>2700000000000</v>
      </c>
      <c r="B159">
        <f t="shared" si="26"/>
        <v>2700000000000</v>
      </c>
      <c r="C159">
        <f t="shared" si="27"/>
        <v>2700000000000</v>
      </c>
      <c r="D159">
        <f t="shared" si="27"/>
        <v>2700000000000</v>
      </c>
      <c r="E159">
        <f t="shared" si="25"/>
        <v>2700000000000</v>
      </c>
      <c r="F159">
        <f t="shared" si="25"/>
        <v>2700000000000</v>
      </c>
      <c r="G159">
        <f t="shared" si="25"/>
        <v>2700000000000</v>
      </c>
      <c r="H159">
        <f t="shared" si="25"/>
        <v>2700000000000</v>
      </c>
      <c r="I159">
        <f t="shared" si="25"/>
        <v>0</v>
      </c>
      <c r="J159">
        <f t="shared" si="25"/>
        <v>2700000000000</v>
      </c>
    </row>
  </sheetData>
  <phoneticPr fontId="6" type="noConversion"/>
  <pageMargins left="0.75" right="0.75" top="1" bottom="1" header="0.5" footer="0.5"/>
  <pageSetup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/>
  <dimension ref="A1:E7"/>
  <sheetViews>
    <sheetView workbookViewId="0">
      <selection activeCell="M42" sqref="M42"/>
    </sheetView>
  </sheetViews>
  <sheetFormatPr defaultRowHeight="12.75" x14ac:dyDescent="0.2"/>
  <cols>
    <col min="1" max="1" width="18.5703125" customWidth="1"/>
    <col min="2" max="2" width="9.28515625" customWidth="1"/>
    <col min="4" max="4" width="11.140625" customWidth="1"/>
  </cols>
  <sheetData>
    <row r="1" spans="1:5" x14ac:dyDescent="0.2">
      <c r="C1" t="s">
        <v>219</v>
      </c>
      <c r="D1" t="s">
        <v>218</v>
      </c>
    </row>
    <row r="2" spans="1:5" x14ac:dyDescent="0.2">
      <c r="A2" t="s">
        <v>216</v>
      </c>
      <c r="B2" s="47">
        <v>85</v>
      </c>
      <c r="C2" t="s">
        <v>217</v>
      </c>
      <c r="D2">
        <f>B2*1000000</f>
        <v>85000000</v>
      </c>
      <c r="E2" t="s">
        <v>10</v>
      </c>
    </row>
    <row r="3" spans="1:5" x14ac:dyDescent="0.2">
      <c r="A3" t="s">
        <v>220</v>
      </c>
      <c r="B3" s="47">
        <v>3000</v>
      </c>
      <c r="C3" t="s">
        <v>32</v>
      </c>
      <c r="D3">
        <f>B3*0.000000000001</f>
        <v>3E-9</v>
      </c>
      <c r="E3" t="s">
        <v>26</v>
      </c>
    </row>
    <row r="4" spans="1:5" x14ac:dyDescent="0.2">
      <c r="A4" t="s">
        <v>222</v>
      </c>
      <c r="B4" s="48">
        <f>1000000000*1/((D2*2*3.14159)^2*D3)</f>
        <v>1.1686430773614742</v>
      </c>
      <c r="C4" t="s">
        <v>223</v>
      </c>
      <c r="D4">
        <f>B4/1000000000</f>
        <v>1.1686430773614743E-9</v>
      </c>
      <c r="E4" t="s">
        <v>20</v>
      </c>
    </row>
    <row r="5" spans="1:5" x14ac:dyDescent="0.2">
      <c r="A5" t="s">
        <v>221</v>
      </c>
      <c r="B5">
        <f>4*B3</f>
        <v>12000</v>
      </c>
      <c r="C5" t="s">
        <v>32</v>
      </c>
      <c r="D5">
        <f>B5*0.000000000001</f>
        <v>1.2E-8</v>
      </c>
      <c r="E5" t="s">
        <v>26</v>
      </c>
    </row>
    <row r="6" spans="1:5" x14ac:dyDescent="0.2">
      <c r="A6" t="s">
        <v>224</v>
      </c>
      <c r="B6" s="4">
        <f>SQRT(D4/D3)</f>
        <v>0.62413755891936573</v>
      </c>
      <c r="C6" s="4" t="s">
        <v>169</v>
      </c>
      <c r="D6" s="4">
        <f>B6</f>
        <v>0.62413755891936573</v>
      </c>
      <c r="E6" t="s">
        <v>169</v>
      </c>
    </row>
    <row r="7" spans="1:5" x14ac:dyDescent="0.2">
      <c r="B7" s="4"/>
      <c r="C7" s="4"/>
      <c r="D7" s="4"/>
    </row>
  </sheetData>
  <phoneticPr fontId="6" type="noConversion"/>
  <pageMargins left="0.75" right="0.75" top="1" bottom="1" header="0.5" footer="0.5"/>
  <pageSetup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"/>
  <dimension ref="A3:E16"/>
  <sheetViews>
    <sheetView workbookViewId="0">
      <selection activeCell="G37" sqref="G37"/>
    </sheetView>
  </sheetViews>
  <sheetFormatPr defaultRowHeight="12.75" x14ac:dyDescent="0.2"/>
  <sheetData>
    <row r="3" spans="1:5" x14ac:dyDescent="0.2">
      <c r="A3" t="s">
        <v>186</v>
      </c>
      <c r="B3" t="e">
        <f>Iripple1</f>
        <v>#NAME?</v>
      </c>
    </row>
    <row r="4" spans="1:5" x14ac:dyDescent="0.2">
      <c r="A4" t="s">
        <v>7</v>
      </c>
      <c r="B4">
        <f>Fsw</f>
        <v>250000</v>
      </c>
    </row>
    <row r="6" spans="1:5" x14ac:dyDescent="0.2">
      <c r="A6" t="s">
        <v>173</v>
      </c>
      <c r="B6" s="41">
        <v>0.5</v>
      </c>
      <c r="C6" t="s">
        <v>67</v>
      </c>
      <c r="D6">
        <f>B6/1000</f>
        <v>5.0000000000000001E-4</v>
      </c>
      <c r="E6" t="s">
        <v>21</v>
      </c>
    </row>
    <row r="7" spans="1:5" x14ac:dyDescent="0.2">
      <c r="A7" t="s">
        <v>184</v>
      </c>
      <c r="B7" s="41">
        <v>20</v>
      </c>
      <c r="C7" t="s">
        <v>25</v>
      </c>
      <c r="D7">
        <f>B7/1000000</f>
        <v>2.0000000000000002E-5</v>
      </c>
      <c r="E7" t="s">
        <v>26</v>
      </c>
    </row>
    <row r="9" spans="1:5" x14ac:dyDescent="0.2">
      <c r="A9" t="s">
        <v>174</v>
      </c>
      <c r="B9" s="41">
        <v>20</v>
      </c>
      <c r="C9" t="s">
        <v>67</v>
      </c>
      <c r="D9">
        <f>B9/1000</f>
        <v>0.02</v>
      </c>
      <c r="E9" t="s">
        <v>21</v>
      </c>
    </row>
    <row r="10" spans="1:5" x14ac:dyDescent="0.2">
      <c r="A10" t="s">
        <v>185</v>
      </c>
      <c r="B10" s="41">
        <v>68</v>
      </c>
      <c r="C10" t="s">
        <v>25</v>
      </c>
      <c r="D10">
        <f>B10/1000000</f>
        <v>6.7999999999999999E-5</v>
      </c>
      <c r="E10" t="s">
        <v>26</v>
      </c>
    </row>
    <row r="12" spans="1:5" x14ac:dyDescent="0.2">
      <c r="A12" t="s">
        <v>188</v>
      </c>
      <c r="B12">
        <f>(D7/(D7+D10))*SQRT((D9*D10*B4)^2+1)/SQRT((((D6+D9)*D7*D10/(D10+D7))*B4)^2+1)</f>
        <v>0.23930049040395651</v>
      </c>
      <c r="C12" t="s">
        <v>187</v>
      </c>
    </row>
    <row r="13" spans="1:5" x14ac:dyDescent="0.2">
      <c r="A13" t="s">
        <v>189</v>
      </c>
      <c r="B13">
        <f>1-B12</f>
        <v>0.76069950959604349</v>
      </c>
      <c r="C13" t="s">
        <v>187</v>
      </c>
    </row>
    <row r="15" spans="1:5" x14ac:dyDescent="0.2">
      <c r="A15" t="s">
        <v>188</v>
      </c>
      <c r="B15" t="e">
        <f>B12*(Iripple1/(2*SQRT(3)))</f>
        <v>#NAME?</v>
      </c>
      <c r="C15" t="s">
        <v>2</v>
      </c>
    </row>
    <row r="16" spans="1:5" x14ac:dyDescent="0.2">
      <c r="A16" t="s">
        <v>189</v>
      </c>
      <c r="B16" t="e">
        <f>B13*(Iripple1/(2*SQRT(3)))</f>
        <v>#NAME?</v>
      </c>
      <c r="C16" t="s">
        <v>2</v>
      </c>
    </row>
  </sheetData>
  <phoneticPr fontId="6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252</vt:i4>
      </vt:variant>
    </vt:vector>
  </HeadingPairs>
  <TitlesOfParts>
    <vt:vector size="265" baseType="lpstr">
      <vt:lpstr>Design Converter</vt:lpstr>
      <vt:lpstr>BOM &amp; Schematic</vt:lpstr>
      <vt:lpstr>Licenses</vt:lpstr>
      <vt:lpstr>EVMs</vt:lpstr>
      <vt:lpstr>Variable Management</vt:lpstr>
      <vt:lpstr>Schematic Management</vt:lpstr>
      <vt:lpstr>Efficiency Plot Management</vt:lpstr>
      <vt:lpstr>Efficiency vs VIN Calculations</vt:lpstr>
      <vt:lpstr>Efficiency vs Load Calculations</vt:lpstr>
      <vt:lpstr>Stability Calculations</vt:lpstr>
      <vt:lpstr>Standard Value Calculator</vt:lpstr>
      <vt:lpstr>Snubber</vt:lpstr>
      <vt:lpstr>Parallel Output Caps</vt:lpstr>
      <vt:lpstr>_Don1</vt:lpstr>
      <vt:lpstr>_Don2</vt:lpstr>
      <vt:lpstr>Acs</vt:lpstr>
      <vt:lpstr>Adc</vt:lpstr>
      <vt:lpstr>AEA</vt:lpstr>
      <vt:lpstr>Afb</vt:lpstr>
      <vt:lpstr>Am</vt:lpstr>
      <vt:lpstr>Am_boost</vt:lpstr>
      <vt:lpstr>Am_buck</vt:lpstr>
      <vt:lpstr>Boost_CS_Threshold</vt:lpstr>
      <vt:lpstr>Boost_CS_Threshold_max</vt:lpstr>
      <vt:lpstr>Boost_CS_Threshold_min</vt:lpstr>
      <vt:lpstr>Buck_CS_threshold</vt:lpstr>
      <vt:lpstr>Buck_CS_threshold_max</vt:lpstr>
      <vt:lpstr>Buck_CS_threshold_min</vt:lpstr>
      <vt:lpstr>Cb</vt:lpstr>
      <vt:lpstr>Cbw</vt:lpstr>
      <vt:lpstr>Cby</vt:lpstr>
      <vt:lpstr>Cc1ea</vt:lpstr>
      <vt:lpstr>Cc1ea_u</vt:lpstr>
      <vt:lpstr>Cc2ea</vt:lpstr>
      <vt:lpstr>Cc2ea_u</vt:lpstr>
      <vt:lpstr>Cdither</vt:lpstr>
      <vt:lpstr>Cin</vt:lpstr>
      <vt:lpstr>CinEsrMax</vt:lpstr>
      <vt:lpstr>Cinmin</vt:lpstr>
      <vt:lpstr>Constant_Current_Loop_Setpoint</vt:lpstr>
      <vt:lpstr>Cout</vt:lpstr>
      <vt:lpstr>CoutEsr</vt:lpstr>
      <vt:lpstr>CoutEsrMax</vt:lpstr>
      <vt:lpstr>Coutmin</vt:lpstr>
      <vt:lpstr>CSAmp_gain</vt:lpstr>
      <vt:lpstr>Csb</vt:lpstr>
      <vt:lpstr>Csby</vt:lpstr>
      <vt:lpstr>Csideal</vt:lpstr>
      <vt:lpstr>Cslope</vt:lpstr>
      <vt:lpstr>Cslope_ideal</vt:lpstr>
      <vt:lpstr>Css</vt:lpstr>
      <vt:lpstr>Css_u</vt:lpstr>
      <vt:lpstr>D_max_buck_BB</vt:lpstr>
      <vt:lpstr>D_max_buck_enterBB</vt:lpstr>
      <vt:lpstr>D_max_exitBB_to_buck</vt:lpstr>
      <vt:lpstr>D_min_boost</vt:lpstr>
      <vt:lpstr>D_min_boost_exitBB_to_buck</vt:lpstr>
      <vt:lpstr>Deadtime</vt:lpstr>
      <vt:lpstr>DITHER</vt:lpstr>
      <vt:lpstr>Doff1</vt:lpstr>
      <vt:lpstr>Doff2</vt:lpstr>
      <vt:lpstr>Don_buckboost</vt:lpstr>
      <vt:lpstr>Don_Vinmax</vt:lpstr>
      <vt:lpstr>Don_Vinmax_2</vt:lpstr>
      <vt:lpstr>Don_Vinmin</vt:lpstr>
      <vt:lpstr>Don_Vinmin_2</vt:lpstr>
      <vt:lpstr>Don_Vinnom</vt:lpstr>
      <vt:lpstr>Don_Vinnom_2</vt:lpstr>
      <vt:lpstr>EFF_IOUT</vt:lpstr>
      <vt:lpstr>EFF_VIN</vt:lpstr>
      <vt:lpstr>Efficiency</vt:lpstr>
      <vt:lpstr>Fcross</vt:lpstr>
      <vt:lpstr>Fdither</vt:lpstr>
      <vt:lpstr>Fesr</vt:lpstr>
      <vt:lpstr>Fload_u</vt:lpstr>
      <vt:lpstr>Fp_dominant</vt:lpstr>
      <vt:lpstr>Fp1_u</vt:lpstr>
      <vt:lpstr>Fp2_u</vt:lpstr>
      <vt:lpstr>Frhp</vt:lpstr>
      <vt:lpstr>Fsw</vt:lpstr>
      <vt:lpstr>Fz1_u</vt:lpstr>
      <vt:lpstr>GBW</vt:lpstr>
      <vt:lpstr>Gfs_Q1</vt:lpstr>
      <vt:lpstr>Gfs_Q2</vt:lpstr>
      <vt:lpstr>Gfs_Q3</vt:lpstr>
      <vt:lpstr>Gfs_Q4</vt:lpstr>
      <vt:lpstr>gm</vt:lpstr>
      <vt:lpstr>gm_slopecomp</vt:lpstr>
      <vt:lpstr>Icoutrms</vt:lpstr>
      <vt:lpstr>Iin_Vinmax</vt:lpstr>
      <vt:lpstr>Iin_Vinmin</vt:lpstr>
      <vt:lpstr>Iin_Vinnom</vt:lpstr>
      <vt:lpstr>IL_peak_OCP</vt:lpstr>
      <vt:lpstr>Ilimit_DC</vt:lpstr>
      <vt:lpstr>ILpeak_OCP_Vinmax</vt:lpstr>
      <vt:lpstr>ILpeak_OCP_Vinmin</vt:lpstr>
      <vt:lpstr>ILpeak_OCP_Vinnom</vt:lpstr>
      <vt:lpstr>Iout</vt:lpstr>
      <vt:lpstr>Iout_OCP_Vinmax</vt:lpstr>
      <vt:lpstr>Iout_OCP_Vinmin</vt:lpstr>
      <vt:lpstr>Iout_OCP_Vinnom</vt:lpstr>
      <vt:lpstr>Iout_threshold</vt:lpstr>
      <vt:lpstr>Iq</vt:lpstr>
      <vt:lpstr>Ireverse</vt:lpstr>
      <vt:lpstr>Iripple_edgebuckboost</vt:lpstr>
      <vt:lpstr>Iripple_Vinmax</vt:lpstr>
      <vt:lpstr>Iripple_Vinmin</vt:lpstr>
      <vt:lpstr>Iripple_Vinnom</vt:lpstr>
      <vt:lpstr>Isc_const</vt:lpstr>
      <vt:lpstr>Islope_fixed</vt:lpstr>
      <vt:lpstr>Iss</vt:lpstr>
      <vt:lpstr>Iuvlo_hys</vt:lpstr>
      <vt:lpstr>Iuvlo1</vt:lpstr>
      <vt:lpstr>Iuvlo2</vt:lpstr>
      <vt:lpstr>k</vt:lpstr>
      <vt:lpstr>K_1</vt:lpstr>
      <vt:lpstr>k_boost</vt:lpstr>
      <vt:lpstr>k_buck</vt:lpstr>
      <vt:lpstr>K_SL</vt:lpstr>
      <vt:lpstr>KD</vt:lpstr>
      <vt:lpstr>KM</vt:lpstr>
      <vt:lpstr>Lf</vt:lpstr>
      <vt:lpstr>Lopt</vt:lpstr>
      <vt:lpstr>Ltc</vt:lpstr>
      <vt:lpstr>mc</vt:lpstr>
      <vt:lpstr>mc_boost</vt:lpstr>
      <vt:lpstr>mc_buck</vt:lpstr>
      <vt:lpstr>Pi</vt:lpstr>
      <vt:lpstr>Pin</vt:lpstr>
      <vt:lpstr>PLOT_TYPE</vt:lpstr>
      <vt:lpstr>pole1</vt:lpstr>
      <vt:lpstr>Pole2</vt:lpstr>
      <vt:lpstr>pole3</vt:lpstr>
      <vt:lpstr>pole4</vt:lpstr>
      <vt:lpstr>Pout</vt:lpstr>
      <vt:lpstr>'BOM &amp; Schematic'!Print_Area</vt:lpstr>
      <vt:lpstr>'Design Converter'!Print_Area</vt:lpstr>
      <vt:lpstr>pterm1</vt:lpstr>
      <vt:lpstr>pterm2</vt:lpstr>
      <vt:lpstr>Q</vt:lpstr>
      <vt:lpstr>Qg_Q1</vt:lpstr>
      <vt:lpstr>Qg_Q2</vt:lpstr>
      <vt:lpstr>Qg_Q3</vt:lpstr>
      <vt:lpstr>Qg_Q4</vt:lpstr>
      <vt:lpstr>Qgd_Q1</vt:lpstr>
      <vt:lpstr>Qgd_Q2</vt:lpstr>
      <vt:lpstr>Qgd_Q3</vt:lpstr>
      <vt:lpstr>Qgd_Q4</vt:lpstr>
      <vt:lpstr>Qgs_Q1</vt:lpstr>
      <vt:lpstr>Qgs_Q2</vt:lpstr>
      <vt:lpstr>Qgs_Q3</vt:lpstr>
      <vt:lpstr>Qgs_Q4</vt:lpstr>
      <vt:lpstr>Qrr_Q1</vt:lpstr>
      <vt:lpstr>Qrr_Q2</vt:lpstr>
      <vt:lpstr>Qrr_Q3</vt:lpstr>
      <vt:lpstr>Qrr_Q4</vt:lpstr>
      <vt:lpstr>QrrSky_Q2</vt:lpstr>
      <vt:lpstr>QrrSky_Q3</vt:lpstr>
      <vt:lpstr>radconv</vt:lpstr>
      <vt:lpstr>Rcea1</vt:lpstr>
      <vt:lpstr>Rcea1_u</vt:lpstr>
      <vt:lpstr>RCinEsr</vt:lpstr>
      <vt:lpstr>RCoutEsr</vt:lpstr>
      <vt:lpstr>Rdcr</vt:lpstr>
      <vt:lpstr>Rdson1</vt:lpstr>
      <vt:lpstr>Rdson2</vt:lpstr>
      <vt:lpstr>Rdson3</vt:lpstr>
      <vt:lpstr>Rdson4</vt:lpstr>
      <vt:lpstr>RdsonBotTc</vt:lpstr>
      <vt:lpstr>RdsonDRB</vt:lpstr>
      <vt:lpstr>RdsonDRB2</vt:lpstr>
      <vt:lpstr>RdsonDRT</vt:lpstr>
      <vt:lpstr>RdsonDRT2</vt:lpstr>
      <vt:lpstr>RdsonTopTc</vt:lpstr>
      <vt:lpstr>Rfadj</vt:lpstr>
      <vt:lpstr>Rfb1_</vt:lpstr>
      <vt:lpstr>Rfb2_</vt:lpstr>
      <vt:lpstr>Rfb2_u</vt:lpstr>
      <vt:lpstr>Rfets</vt:lpstr>
      <vt:lpstr>Rgate1</vt:lpstr>
      <vt:lpstr>Rgate2</vt:lpstr>
      <vt:lpstr>Rgate3</vt:lpstr>
      <vt:lpstr>Rgate4</vt:lpstr>
      <vt:lpstr>Ri</vt:lpstr>
      <vt:lpstr>Ro</vt:lpstr>
      <vt:lpstr>RoEA</vt:lpstr>
      <vt:lpstr>Rout</vt:lpstr>
      <vt:lpstr>Rpg</vt:lpstr>
      <vt:lpstr>Rs</vt:lpstr>
      <vt:lpstr>Rs_ideal</vt:lpstr>
      <vt:lpstr>Rsb</vt:lpstr>
      <vt:lpstr>Rshunt</vt:lpstr>
      <vt:lpstr>Rshunt_std</vt:lpstr>
      <vt:lpstr>Ruvlo1</vt:lpstr>
      <vt:lpstr>Ruvlo2</vt:lpstr>
      <vt:lpstr>SCH_DITH</vt:lpstr>
      <vt:lpstr>SCH_NO_DITH</vt:lpstr>
      <vt:lpstr>SCH_WITH_DITH</vt:lpstr>
      <vt:lpstr>Se</vt:lpstr>
      <vt:lpstr>Se_ext</vt:lpstr>
      <vt:lpstr>Se_fixed</vt:lpstr>
      <vt:lpstr>Se_proportional</vt:lpstr>
      <vt:lpstr>Sf</vt:lpstr>
      <vt:lpstr>Sn</vt:lpstr>
      <vt:lpstr>Ta</vt:lpstr>
      <vt:lpstr>Tf_boost</vt:lpstr>
      <vt:lpstr>Tf_buck</vt:lpstr>
      <vt:lpstr>ThetaCa</vt:lpstr>
      <vt:lpstr>ThetaJA_Q1</vt:lpstr>
      <vt:lpstr>ThetaJA_Q2</vt:lpstr>
      <vt:lpstr>ThetaJA_Q3</vt:lpstr>
      <vt:lpstr>ThetaJA_Q4</vt:lpstr>
      <vt:lpstr>ThetaJaCtrl</vt:lpstr>
      <vt:lpstr>TL</vt:lpstr>
      <vt:lpstr>Toff_min_buck</vt:lpstr>
      <vt:lpstr>Toff_Vinmax</vt:lpstr>
      <vt:lpstr>Ton_min_boost</vt:lpstr>
      <vt:lpstr>Ton_Vinmin</vt:lpstr>
      <vt:lpstr>Tr_boost</vt:lpstr>
      <vt:lpstr>Tr_buck</vt:lpstr>
      <vt:lpstr>Trr_Q1</vt:lpstr>
      <vt:lpstr>Trr_Q2</vt:lpstr>
      <vt:lpstr>Trr_Q3</vt:lpstr>
      <vt:lpstr>Trr_Q4</vt:lpstr>
      <vt:lpstr>Ts</vt:lpstr>
      <vt:lpstr>Tss</vt:lpstr>
      <vt:lpstr>V_sc_fixed</vt:lpstr>
      <vt:lpstr>V_sc_proportional</vt:lpstr>
      <vt:lpstr>V_sc_total</vt:lpstr>
      <vt:lpstr>Vdd</vt:lpstr>
      <vt:lpstr>VfdSky_Q2</vt:lpstr>
      <vt:lpstr>VfdSky_Q3</vt:lpstr>
      <vt:lpstr>Vin</vt:lpstr>
      <vt:lpstr>VIN_BB_to_buck</vt:lpstr>
      <vt:lpstr>VIN_boost_to_BB</vt:lpstr>
      <vt:lpstr>VIN_edgebuckboost</vt:lpstr>
      <vt:lpstr>VIN_max</vt:lpstr>
      <vt:lpstr>VIN_min</vt:lpstr>
      <vt:lpstr>VIN_nom</vt:lpstr>
      <vt:lpstr>Vinripple1</vt:lpstr>
      <vt:lpstr>Vinripple2</vt:lpstr>
      <vt:lpstr>VINuvlo_off</vt:lpstr>
      <vt:lpstr>VINuvlo_on</vt:lpstr>
      <vt:lpstr>Vout</vt:lpstr>
      <vt:lpstr>Vref</vt:lpstr>
      <vt:lpstr>Vripple1</vt:lpstr>
      <vt:lpstr>Vripple2</vt:lpstr>
      <vt:lpstr>Vsd_Q1</vt:lpstr>
      <vt:lpstr>Vsd_Q2</vt:lpstr>
      <vt:lpstr>Vsd_Q3</vt:lpstr>
      <vt:lpstr>Vsd_Q4</vt:lpstr>
      <vt:lpstr>Vsp_Q1</vt:lpstr>
      <vt:lpstr>Vsp_Q2</vt:lpstr>
      <vt:lpstr>Vsp_Q3</vt:lpstr>
      <vt:lpstr>Vsp_Q4</vt:lpstr>
      <vt:lpstr>Vth_Q1</vt:lpstr>
      <vt:lpstr>Vth_Q2</vt:lpstr>
      <vt:lpstr>Vth_Q3</vt:lpstr>
      <vt:lpstr>Vth_Q4</vt:lpstr>
      <vt:lpstr>Vuvlo_hys</vt:lpstr>
      <vt:lpstr>Vuvlo_off</vt:lpstr>
      <vt:lpstr>Vuvlo_on</vt:lpstr>
      <vt:lpstr>z_RHP</vt:lpstr>
      <vt:lpstr>Zero1</vt:lpstr>
      <vt:lpstr>Zero2</vt:lpstr>
    </vt:vector>
  </TitlesOfParts>
  <Company>Texas Instruments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LM5176 Quickstart Tool</dc:title>
  <dc:creator>Vijay Choudhary</dc:creator>
  <cp:keywords>LM5176, PWM controller, current mode, PCB layout</cp:keywords>
  <cp:lastModifiedBy>Michael</cp:lastModifiedBy>
  <cp:lastPrinted>2014-12-22T00:10:27Z</cp:lastPrinted>
  <dcterms:created xsi:type="dcterms:W3CDTF">1996-10-14T23:33:28Z</dcterms:created>
  <dcterms:modified xsi:type="dcterms:W3CDTF">2024-04-26T17:17:08Z</dcterms:modified>
</cp:coreProperties>
</file>